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
    </mc:Choice>
  </mc:AlternateContent>
  <xr:revisionPtr revIDLastSave="0" documentId="13_ncr:1_{63B41C8B-09C8-44E7-9A0E-9D5A2757ED41}" xr6:coauthVersionLast="47" xr6:coauthVersionMax="47" xr10:uidLastSave="{00000000-0000-0000-0000-000000000000}"/>
  <bookViews>
    <workbookView xWindow="24" yWindow="0" windowWidth="23016" windowHeight="13800" tabRatio="928" firstSheet="4" activeTab="6" xr2:uid="{00000000-000D-0000-FFFF-FFFF00000000}"/>
  </bookViews>
  <sheets>
    <sheet name="INFO" sheetId="24" r:id="rId1"/>
    <sheet name="Short-Cuts" sheetId="49" r:id="rId2"/>
    <sheet name="References" sheetId="47" r:id="rId3"/>
    <sheet name="T_Stock_TOTAL_&amp;_City" sheetId="45" r:id="rId4"/>
    <sheet name="STAT_TRA_Mileage" sheetId="6" r:id="rId5"/>
    <sheet name="Pkm_Age_Gender" sheetId="58"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r:id="rId23"/>
    <sheet name="TC_City" sheetId="25" r:id="rId24"/>
    <sheet name="TC_Pool" sheetId="55" r:id="rId25"/>
    <sheet name="TMO" sheetId="4" r:id="rId26"/>
    <sheet name="TT" sheetId="7" r:id="rId27"/>
    <sheet name="TNA" sheetId="32" r:id="rId28"/>
    <sheet name="TF_City" sheetId="29" r:id="rId29"/>
    <sheet name="TAV" sheetId="23" r:id="rId30"/>
    <sheet name="TOV" sheetId="57" r:id="rId31"/>
  </sheets>
  <externalReferences>
    <externalReference r:id="rId32"/>
    <externalReference r:id="rId33"/>
    <externalReference r:id="rId34"/>
    <externalReference r:id="rId35"/>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1" i="34" l="1"/>
  <c r="AG30" i="34"/>
  <c r="AG29" i="34"/>
  <c r="AG28" i="34"/>
  <c r="AG27" i="34"/>
  <c r="AG26" i="34"/>
  <c r="AG25" i="34"/>
  <c r="AG24" i="34"/>
  <c r="AG23" i="34"/>
  <c r="AG22" i="34"/>
  <c r="AG21" i="34"/>
  <c r="AG20" i="34"/>
  <c r="AG19" i="34"/>
  <c r="AG18" i="34"/>
  <c r="AG17" i="34"/>
  <c r="AG16" i="34"/>
  <c r="AG15" i="34"/>
  <c r="AG14" i="34"/>
  <c r="AG13" i="34"/>
  <c r="AG12" i="34"/>
  <c r="AG11" i="34"/>
  <c r="D135" i="46"/>
  <c r="D134" i="46"/>
  <c r="D133" i="46"/>
  <c r="D132" i="46"/>
  <c r="D131" i="46"/>
  <c r="N214" i="28"/>
  <c r="AF9" i="28"/>
  <c r="AF6" i="28"/>
  <c r="AF9" i="31"/>
  <c r="AF6" i="31"/>
  <c r="AF5" i="31"/>
  <c r="AF9" i="26"/>
  <c r="AF6" i="26"/>
  <c r="AF5" i="26"/>
  <c r="I40" i="26" s="1"/>
  <c r="I39" i="26"/>
  <c r="D13" i="51"/>
  <c r="D12" i="51"/>
  <c r="I11" i="1"/>
  <c r="BO52" i="34"/>
  <c r="Y115" i="38"/>
  <c r="Y114" i="38"/>
  <c r="Y214" i="38"/>
  <c r="G62" i="38" l="1"/>
  <c r="G38" i="38"/>
  <c r="H38" i="38"/>
  <c r="D130" i="46"/>
  <c r="D129" i="46"/>
  <c r="D128" i="46"/>
  <c r="D127" i="46"/>
  <c r="D126" i="46"/>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215" i="31"/>
  <c r="AV60" i="31"/>
  <c r="AV199" i="28"/>
  <c r="AV49" i="28"/>
  <c r="N28" i="31"/>
  <c r="Z28" i="31" s="1"/>
  <c r="Z215" i="31" s="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Q115" i="25" l="1"/>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Z317" i="31"/>
  <c r="N364" i="31"/>
  <c r="Z364" i="31"/>
  <c r="N317" i="31"/>
  <c r="N279" i="31"/>
  <c r="Z279" i="31"/>
  <c r="W28" i="31"/>
  <c r="W468" i="31" s="1"/>
  <c r="Z167" i="31"/>
  <c r="O28" i="31"/>
  <c r="O468" i="31" s="1"/>
  <c r="Y28" i="31"/>
  <c r="Y468" i="31" s="1"/>
  <c r="N167" i="31"/>
  <c r="N215" i="31"/>
  <c r="Q28" i="31"/>
  <c r="Q468" i="31" s="1"/>
  <c r="AA28" i="31"/>
  <c r="AA468" i="31" s="1"/>
  <c r="S28" i="31"/>
  <c r="S468" i="31" s="1"/>
  <c r="U28" i="31"/>
  <c r="U468" i="31" s="1"/>
  <c r="N60" i="31"/>
  <c r="Z60" i="31"/>
  <c r="Z127" i="31"/>
  <c r="P28" i="31"/>
  <c r="P468" i="31" s="1"/>
  <c r="T28" i="31"/>
  <c r="T468" i="31" s="1"/>
  <c r="X28" i="31"/>
  <c r="X468" i="31" s="1"/>
  <c r="AB28" i="31"/>
  <c r="AB468" i="31" s="1"/>
  <c r="N127" i="31"/>
  <c r="O127" i="31"/>
  <c r="R28" i="31"/>
  <c r="R468" i="31" s="1"/>
  <c r="V28" i="31"/>
  <c r="V468" i="31" s="1"/>
  <c r="AV34" i="26"/>
  <c r="AV101" i="26"/>
  <c r="AV141" i="26"/>
  <c r="N18" i="25"/>
  <c r="N17" i="25"/>
  <c r="AB17" i="25" s="1"/>
  <c r="AB101" i="25" s="1"/>
  <c r="M17" i="25"/>
  <c r="N17" i="26"/>
  <c r="AB17" i="26" s="1"/>
  <c r="AB141" i="26" s="1"/>
  <c r="M18" i="26"/>
  <c r="M17" i="26"/>
  <c r="AA127" i="31" l="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X317" i="31"/>
  <c r="X279" i="31"/>
  <c r="U215" i="31"/>
  <c r="U279" i="31"/>
  <c r="U317" i="31"/>
  <c r="AA279" i="31"/>
  <c r="AA317" i="31"/>
  <c r="Y279" i="31"/>
  <c r="Y317" i="31"/>
  <c r="T317" i="31"/>
  <c r="T279" i="31"/>
  <c r="AA167" i="31"/>
  <c r="Q279" i="31"/>
  <c r="Q317" i="31"/>
  <c r="O279" i="31"/>
  <c r="O317" i="31"/>
  <c r="V279" i="31"/>
  <c r="V317" i="31"/>
  <c r="P317" i="31"/>
  <c r="P279" i="31"/>
  <c r="O167" i="31"/>
  <c r="R279" i="31"/>
  <c r="R317" i="31"/>
  <c r="AB317" i="31"/>
  <c r="AB279" i="31"/>
  <c r="Y127" i="31"/>
  <c r="S279" i="31"/>
  <c r="S317" i="31"/>
  <c r="W279" i="31"/>
  <c r="W317" i="31"/>
  <c r="R167" i="31"/>
  <c r="R215" i="31"/>
  <c r="T167" i="31"/>
  <c r="T215" i="31"/>
  <c r="P167" i="31"/>
  <c r="P215" i="31"/>
  <c r="S60" i="31"/>
  <c r="S215" i="31"/>
  <c r="W60" i="31"/>
  <c r="W215" i="31"/>
  <c r="W127" i="31"/>
  <c r="AB167" i="31"/>
  <c r="AB215" i="31"/>
  <c r="W167" i="31"/>
  <c r="AA60" i="31"/>
  <c r="AA215" i="31"/>
  <c r="Y60" i="31"/>
  <c r="Y167" i="31"/>
  <c r="Y215" i="31"/>
  <c r="V167" i="31"/>
  <c r="V215" i="31"/>
  <c r="S127" i="31"/>
  <c r="X167" i="31"/>
  <c r="X215" i="31"/>
  <c r="U127" i="31"/>
  <c r="S167" i="31"/>
  <c r="Q60" i="31"/>
  <c r="Q167" i="31"/>
  <c r="Q215" i="31"/>
  <c r="O60" i="31"/>
  <c r="O215"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2" i="34" l="1"/>
  <c r="N282" i="34" s="1"/>
  <c r="O282" i="34" s="1"/>
  <c r="P282" i="34" s="1"/>
  <c r="Q282" i="34" s="1"/>
  <c r="R282" i="34" s="1"/>
  <c r="S282" i="34" s="1"/>
  <c r="T282" i="34" s="1"/>
  <c r="U282" i="34" s="1"/>
  <c r="V282" i="34" s="1"/>
  <c r="W282" i="34" s="1"/>
  <c r="X282" i="34" s="1"/>
  <c r="Y282" i="34" s="1"/>
  <c r="Z282" i="34" s="1"/>
  <c r="M281" i="34"/>
  <c r="N281" i="34" s="1"/>
  <c r="O281" i="34" s="1"/>
  <c r="P281" i="34" s="1"/>
  <c r="Q281" i="34" s="1"/>
  <c r="R281" i="34" s="1"/>
  <c r="S281" i="34" s="1"/>
  <c r="T281" i="34" s="1"/>
  <c r="U281" i="34" s="1"/>
  <c r="V281" i="34" s="1"/>
  <c r="W281" i="34" s="1"/>
  <c r="X281" i="34" s="1"/>
  <c r="Y281" i="34" s="1"/>
  <c r="Z281" i="34" s="1"/>
  <c r="B281" i="34"/>
  <c r="B282" i="34" s="1"/>
  <c r="B283"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316" i="31"/>
  <c r="J278" i="31"/>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9" i="34"/>
  <c r="N279" i="34" s="1"/>
  <c r="O279" i="34" s="1"/>
  <c r="P279" i="34" s="1"/>
  <c r="Q279" i="34" s="1"/>
  <c r="R279" i="34" s="1"/>
  <c r="S279" i="34" s="1"/>
  <c r="T279" i="34" s="1"/>
  <c r="U279" i="34" s="1"/>
  <c r="V279" i="34" s="1"/>
  <c r="W279" i="34" s="1"/>
  <c r="X279" i="34" s="1"/>
  <c r="Y279" i="34" s="1"/>
  <c r="Z279" i="34" s="1"/>
  <c r="M278" i="34"/>
  <c r="N278" i="34" s="1"/>
  <c r="O278" i="34" s="1"/>
  <c r="P278" i="34" s="1"/>
  <c r="Q278" i="34" s="1"/>
  <c r="R278" i="34" s="1"/>
  <c r="S278" i="34" s="1"/>
  <c r="T278" i="34" s="1"/>
  <c r="U278" i="34" s="1"/>
  <c r="V278" i="34" s="1"/>
  <c r="W278" i="34" s="1"/>
  <c r="X278" i="34" s="1"/>
  <c r="Y278" i="34" s="1"/>
  <c r="Z278" i="34" s="1"/>
  <c r="B278" i="34"/>
  <c r="B279" i="34" s="1"/>
  <c r="B280"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s="1"/>
  <c r="B265" i="34" s="1"/>
  <c r="B266" i="34" s="1"/>
  <c r="B267" i="34" s="1"/>
  <c r="M12" i="5" l="1"/>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331" i="31"/>
  <c r="AW330" i="31"/>
  <c r="AV330" i="31"/>
  <c r="AW329" i="31"/>
  <c r="AV329" i="31"/>
  <c r="AV318" i="31"/>
  <c r="AW316" i="31"/>
  <c r="AV316" i="31"/>
  <c r="AW315" i="31"/>
  <c r="AV315" i="31"/>
  <c r="AV305" i="31"/>
  <c r="AV304" i="31"/>
  <c r="AW303" i="31"/>
  <c r="AV303" i="31"/>
  <c r="AV292" i="31"/>
  <c r="AW291" i="31"/>
  <c r="AV291" i="31"/>
  <c r="AW290" i="31"/>
  <c r="AV290" i="31"/>
  <c r="AW278" i="31"/>
  <c r="AV278" i="31"/>
  <c r="AW277" i="31"/>
  <c r="AV277" i="31"/>
  <c r="AV266" i="31"/>
  <c r="AW265" i="31"/>
  <c r="AV265" i="31"/>
  <c r="AW264" i="31"/>
  <c r="AV264" i="31"/>
  <c r="AV251" i="31"/>
  <c r="AV253" i="31"/>
  <c r="AV254"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333" i="31"/>
  <c r="AV332" i="31"/>
  <c r="AV320" i="31"/>
  <c r="AV319" i="31"/>
  <c r="AV307" i="31"/>
  <c r="AV306" i="31"/>
  <c r="AV294" i="31"/>
  <c r="AV293" i="31"/>
  <c r="AV281" i="31"/>
  <c r="AV280" i="31"/>
  <c r="AV268" i="31"/>
  <c r="AV267" i="31"/>
  <c r="AV252" i="31"/>
  <c r="AV241" i="31"/>
  <c r="AV240" i="31"/>
  <c r="AW239" i="31"/>
  <c r="AV239" i="31"/>
  <c r="AV229" i="31"/>
  <c r="AV228" i="31"/>
  <c r="AW227" i="31"/>
  <c r="AV227" i="31"/>
  <c r="AV216" i="31"/>
  <c r="AV214" i="31"/>
  <c r="AV213" i="31"/>
  <c r="AV202" i="31"/>
  <c r="AW201" i="31"/>
  <c r="AV201"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BE14" i="31"/>
  <c r="BD14" i="31"/>
  <c r="BC28" i="31"/>
  <c r="AL30" i="34" s="1"/>
  <c r="BD30" i="34" s="1"/>
  <c r="BB27" i="31"/>
  <c r="BA26" i="31"/>
  <c r="AJ28" i="34" s="1"/>
  <c r="AZ25" i="31"/>
  <c r="AI27" i="34" s="1"/>
  <c r="AY23" i="31"/>
  <c r="AH25" i="34" s="1"/>
  <c r="AX22" i="3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213" i="31"/>
  <c r="Z213" i="31" s="1"/>
  <c r="N201" i="31"/>
  <c r="Z201" i="31" s="1"/>
  <c r="N58" i="31"/>
  <c r="AB58" i="31" s="1"/>
  <c r="N46" i="31"/>
  <c r="AB46" i="31" s="1"/>
  <c r="N524" i="31"/>
  <c r="AB524" i="31" s="1"/>
  <c r="N513" i="31"/>
  <c r="AB513" i="31" s="1"/>
  <c r="N502" i="31"/>
  <c r="AB502" i="31" s="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O201" i="31" l="1"/>
  <c r="T201" i="31"/>
  <c r="T213" i="31"/>
  <c r="P213" i="31"/>
  <c r="AA201" i="31"/>
  <c r="AA213" i="31"/>
  <c r="U502" i="31"/>
  <c r="O46" i="31"/>
  <c r="Y201" i="31"/>
  <c r="Q46" i="31"/>
  <c r="W46" i="31"/>
  <c r="P201" i="31"/>
  <c r="Q524" i="31"/>
  <c r="Q58" i="31"/>
  <c r="Q513" i="31"/>
  <c r="U524" i="31"/>
  <c r="U58" i="31"/>
  <c r="U213" i="31"/>
  <c r="Q502" i="31"/>
  <c r="U513" i="31"/>
  <c r="Y46" i="31"/>
  <c r="U201" i="31"/>
  <c r="O213" i="31"/>
  <c r="Y213" i="31"/>
  <c r="S35" i="28"/>
  <c r="N47" i="28"/>
  <c r="Q30" i="55"/>
  <c r="Q42" i="4"/>
  <c r="Q73" i="4"/>
  <c r="O35" i="28"/>
  <c r="T35" i="28"/>
  <c r="Y35" i="28"/>
  <c r="N61" i="28"/>
  <c r="X35" i="28"/>
  <c r="U30" i="55"/>
  <c r="U42" i="4"/>
  <c r="U73" i="4"/>
  <c r="P35" i="28"/>
  <c r="U35" i="28"/>
  <c r="AA35" i="28"/>
  <c r="Y502" i="31"/>
  <c r="Y513" i="31"/>
  <c r="Y524" i="31"/>
  <c r="S46" i="31"/>
  <c r="AA46" i="31"/>
  <c r="Y58" i="31"/>
  <c r="Q201" i="31"/>
  <c r="W201" i="31"/>
  <c r="AB201" i="31"/>
  <c r="Q213" i="31"/>
  <c r="W213" i="31"/>
  <c r="AB213" i="31"/>
  <c r="Y30" i="55"/>
  <c r="Y42" i="4"/>
  <c r="Y73" i="4"/>
  <c r="Q35" i="28"/>
  <c r="W35" i="28"/>
  <c r="AB35" i="28"/>
  <c r="U46" i="31"/>
  <c r="S201" i="31"/>
  <c r="X201" i="31"/>
  <c r="S213" i="31"/>
  <c r="X213" i="31"/>
  <c r="R213" i="31"/>
  <c r="V213" i="31"/>
  <c r="R201" i="31"/>
  <c r="V201"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R338" i="46" l="1"/>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Z32" i="31" l="1"/>
  <c r="N428" i="31"/>
  <c r="N467" i="31"/>
  <c r="N316" i="31"/>
  <c r="N363" i="31"/>
  <c r="N166" i="31"/>
  <c r="N214" i="31"/>
  <c r="N278" i="31"/>
  <c r="N59" i="31"/>
  <c r="N126" i="31"/>
  <c r="U35" i="31"/>
  <c r="T33" i="31"/>
  <c r="N98" i="31"/>
  <c r="N86" i="26"/>
  <c r="N154" i="26"/>
  <c r="N114" i="26"/>
  <c r="O34" i="31"/>
  <c r="O85" i="31" s="1"/>
  <c r="N85" i="31"/>
  <c r="Y19" i="4"/>
  <c r="N43" i="4"/>
  <c r="N74" i="4"/>
  <c r="N401" i="31"/>
  <c r="N252" i="31"/>
  <c r="N330" i="31"/>
  <c r="N140" i="31"/>
  <c r="N481" i="31"/>
  <c r="N414" i="31"/>
  <c r="N180" i="31"/>
  <c r="N442" i="31"/>
  <c r="N265" i="31"/>
  <c r="N291"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I519" i="31"/>
  <c r="I518" i="31"/>
  <c r="B513" i="31"/>
  <c r="B514" i="31" s="1"/>
  <c r="B515" i="31" s="1"/>
  <c r="B516" i="31" s="1"/>
  <c r="B517" i="31" s="1"/>
  <c r="B518" i="31" s="1"/>
  <c r="B519" i="31" s="1"/>
  <c r="B520" i="31" s="1"/>
  <c r="B521" i="31" s="1"/>
  <c r="B522" i="31" s="1"/>
  <c r="B523" i="31" s="1"/>
  <c r="I532" i="31"/>
  <c r="I531" i="3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S180" i="35" l="1"/>
  <c r="O180" i="35"/>
  <c r="K180" i="35"/>
  <c r="K181" i="35" s="1"/>
  <c r="G180" i="35"/>
  <c r="G181" i="35" s="1"/>
  <c r="R180" i="35"/>
  <c r="R181" i="35" s="1"/>
  <c r="N180" i="35"/>
  <c r="N181" i="35" s="1"/>
  <c r="J180" i="35"/>
  <c r="J181" i="35" s="1"/>
  <c r="F180" i="35"/>
  <c r="F181" i="35" s="1"/>
  <c r="Q180" i="35"/>
  <c r="I180" i="35"/>
  <c r="P180" i="35"/>
  <c r="P181" i="35" s="1"/>
  <c r="H180" i="35"/>
  <c r="L180" i="35"/>
  <c r="L181" i="35" s="1"/>
  <c r="D180" i="35"/>
  <c r="M180" i="35"/>
  <c r="M181" i="35" s="1"/>
  <c r="E180" i="35"/>
  <c r="E181" i="35" s="1"/>
  <c r="S43" i="4"/>
  <c r="S74" i="4"/>
  <c r="R43" i="4"/>
  <c r="R74" i="4"/>
  <c r="Y481" i="31"/>
  <c r="Y291" i="31"/>
  <c r="Y112" i="31"/>
  <c r="Y180" i="31"/>
  <c r="Y265" i="31"/>
  <c r="Y330" i="31"/>
  <c r="Y140" i="31"/>
  <c r="Y414" i="31"/>
  <c r="Y442" i="31"/>
  <c r="W414" i="31"/>
  <c r="W180" i="31"/>
  <c r="W291" i="31"/>
  <c r="W112" i="31"/>
  <c r="W442" i="31"/>
  <c r="W265" i="31"/>
  <c r="W481" i="31"/>
  <c r="W330" i="31"/>
  <c r="W140" i="31"/>
  <c r="X74" i="4"/>
  <c r="X43" i="4"/>
  <c r="S414" i="31"/>
  <c r="S180" i="31"/>
  <c r="S330" i="31"/>
  <c r="S442" i="31"/>
  <c r="S265" i="31"/>
  <c r="S481" i="31"/>
  <c r="S291" i="31"/>
  <c r="S112" i="31"/>
  <c r="S140" i="31"/>
  <c r="Q481" i="31"/>
  <c r="Q291" i="31"/>
  <c r="Q112" i="31"/>
  <c r="Q180" i="31"/>
  <c r="Q265" i="31"/>
  <c r="Q330" i="31"/>
  <c r="Q140" i="31"/>
  <c r="Q414" i="31"/>
  <c r="Q442" i="31"/>
  <c r="T442" i="31"/>
  <c r="T265" i="31"/>
  <c r="T414" i="31"/>
  <c r="T481" i="31"/>
  <c r="T291" i="31"/>
  <c r="T112" i="31"/>
  <c r="T330" i="31"/>
  <c r="T140" i="31"/>
  <c r="T180" i="31"/>
  <c r="P442" i="31"/>
  <c r="P265" i="31"/>
  <c r="P330" i="31"/>
  <c r="P140" i="31"/>
  <c r="P481" i="31"/>
  <c r="P29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330" i="31"/>
  <c r="V140" i="31"/>
  <c r="V265" i="31"/>
  <c r="V481" i="31"/>
  <c r="V414" i="31"/>
  <c r="V180" i="31"/>
  <c r="V442" i="31"/>
  <c r="V291" i="31"/>
  <c r="V112" i="31"/>
  <c r="Z330" i="31"/>
  <c r="Z140" i="31"/>
  <c r="Z291" i="31"/>
  <c r="Z414" i="31"/>
  <c r="Z180" i="31"/>
  <c r="Z442" i="31"/>
  <c r="Z265" i="31"/>
  <c r="Z481" i="31"/>
  <c r="Z112" i="31"/>
  <c r="X442" i="31"/>
  <c r="X265" i="31"/>
  <c r="X330" i="31"/>
  <c r="X140" i="31"/>
  <c r="X180" i="31"/>
  <c r="X481" i="31"/>
  <c r="X291" i="31"/>
  <c r="X112" i="31"/>
  <c r="X414" i="31"/>
  <c r="AB442" i="31"/>
  <c r="AB265" i="31"/>
  <c r="AB414" i="31"/>
  <c r="AB481" i="31"/>
  <c r="AB291" i="31"/>
  <c r="AB112" i="31"/>
  <c r="AB330" i="31"/>
  <c r="AB140" i="31"/>
  <c r="AB180" i="31"/>
  <c r="U481" i="31"/>
  <c r="U291" i="31"/>
  <c r="U112" i="31"/>
  <c r="U414" i="31"/>
  <c r="U442" i="31"/>
  <c r="U330" i="31"/>
  <c r="U140" i="31"/>
  <c r="U180" i="31"/>
  <c r="U265"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330" i="31"/>
  <c r="R140" i="31"/>
  <c r="R265" i="31"/>
  <c r="R291" i="31"/>
  <c r="R414" i="31"/>
  <c r="R180" i="31"/>
  <c r="R442" i="31"/>
  <c r="R481" i="31"/>
  <c r="R112" i="31"/>
  <c r="AA414" i="31"/>
  <c r="AA180" i="31"/>
  <c r="AA481" i="31"/>
  <c r="AA330" i="31"/>
  <c r="AA442" i="31"/>
  <c r="AA265" i="31"/>
  <c r="AA291"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Q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O196" i="31"/>
  <c r="O195" i="31"/>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D128" i="35" s="1"/>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D83" i="35" s="1"/>
  <c r="S83" i="35" s="1"/>
  <c r="U82" i="35"/>
  <c r="D82" i="35" s="1"/>
  <c r="S82" i="35" s="1"/>
  <c r="U81" i="35"/>
  <c r="U80" i="35"/>
  <c r="D80" i="35" s="1"/>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D96" i="35" l="1"/>
  <c r="S96" i="35" s="1"/>
  <c r="D16" i="35"/>
  <c r="S16" i="35" s="1"/>
  <c r="D98" i="35"/>
  <c r="S98" i="35" s="1"/>
  <c r="D18" i="35"/>
  <c r="S18" i="35" s="1"/>
  <c r="D99" i="35"/>
  <c r="S99" i="35" s="1"/>
  <c r="D19" i="35"/>
  <c r="S19" i="35" s="1"/>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K112" i="35"/>
  <c r="G112" i="35"/>
  <c r="R112" i="35"/>
  <c r="N112" i="35"/>
  <c r="J112" i="35"/>
  <c r="F112" i="35"/>
  <c r="Q112" i="35"/>
  <c r="I112" i="35"/>
  <c r="H112" i="35"/>
  <c r="E112" i="35"/>
  <c r="P112" i="35"/>
  <c r="M112" i="35"/>
  <c r="L112" i="35"/>
  <c r="D112" i="35"/>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K113" i="35"/>
  <c r="G113" i="35"/>
  <c r="R113" i="35"/>
  <c r="N113" i="35"/>
  <c r="J113" i="35"/>
  <c r="F113" i="35"/>
  <c r="Q113" i="35"/>
  <c r="I113" i="35"/>
  <c r="P113" i="35"/>
  <c r="H113" i="35"/>
  <c r="E113" i="35"/>
  <c r="D113" i="35"/>
  <c r="M113" i="35"/>
  <c r="L113" i="35"/>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K110" i="35"/>
  <c r="G110" i="35"/>
  <c r="R110" i="35"/>
  <c r="Q110" i="35"/>
  <c r="L110" i="35"/>
  <c r="F110" i="35"/>
  <c r="P110" i="35"/>
  <c r="E110" i="35"/>
  <c r="N110" i="35"/>
  <c r="M110" i="35"/>
  <c r="J110" i="35"/>
  <c r="I110" i="35"/>
  <c r="D110" i="35"/>
  <c r="H110" i="35"/>
  <c r="O114" i="35"/>
  <c r="K114" i="35"/>
  <c r="G114" i="35"/>
  <c r="R114" i="35"/>
  <c r="N114" i="35"/>
  <c r="J114" i="35"/>
  <c r="F114" i="35"/>
  <c r="Q114" i="35"/>
  <c r="I114" i="35"/>
  <c r="P114" i="35"/>
  <c r="H114" i="35"/>
  <c r="M114" i="35"/>
  <c r="E114" i="35"/>
  <c r="D114" i="35"/>
  <c r="L114" i="35"/>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K108" i="35"/>
  <c r="G108" i="35"/>
  <c r="Q108" i="35"/>
  <c r="L108" i="35"/>
  <c r="F108" i="35"/>
  <c r="J108" i="35"/>
  <c r="E108" i="35"/>
  <c r="I108" i="35"/>
  <c r="R108" i="35"/>
  <c r="H108" i="35"/>
  <c r="P108" i="35"/>
  <c r="N108" i="35"/>
  <c r="D108" i="35"/>
  <c r="M108" i="35"/>
  <c r="O116" i="35"/>
  <c r="K116" i="35"/>
  <c r="G116" i="35"/>
  <c r="R116" i="35"/>
  <c r="N116" i="35"/>
  <c r="J116" i="35"/>
  <c r="F116" i="35"/>
  <c r="Q116" i="35"/>
  <c r="I116" i="35"/>
  <c r="P116" i="35"/>
  <c r="H116" i="35"/>
  <c r="E116" i="35"/>
  <c r="L116" i="35"/>
  <c r="D116" i="35"/>
  <c r="M116" i="35"/>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K109" i="35"/>
  <c r="G109" i="35"/>
  <c r="Q109" i="35"/>
  <c r="L109" i="35"/>
  <c r="F109" i="35"/>
  <c r="P109" i="35"/>
  <c r="J109" i="35"/>
  <c r="E109" i="35"/>
  <c r="N109" i="35"/>
  <c r="D109" i="35"/>
  <c r="R109" i="35"/>
  <c r="H109" i="35"/>
  <c r="I109" i="35"/>
  <c r="M109" i="35"/>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K106" i="35"/>
  <c r="G106" i="35"/>
  <c r="Q106" i="35"/>
  <c r="L106" i="35"/>
  <c r="F106" i="35"/>
  <c r="P106" i="35"/>
  <c r="J106" i="35"/>
  <c r="I106" i="35"/>
  <c r="R106" i="35"/>
  <c r="H106" i="35"/>
  <c r="E106" i="35"/>
  <c r="N106" i="35"/>
  <c r="D106" i="35"/>
  <c r="M106" i="35"/>
  <c r="O111" i="35"/>
  <c r="K111" i="35"/>
  <c r="G111" i="35"/>
  <c r="R111" i="35"/>
  <c r="F111" i="35"/>
  <c r="N111" i="35"/>
  <c r="J111" i="35"/>
  <c r="Q111" i="35"/>
  <c r="I111" i="35"/>
  <c r="P111" i="35"/>
  <c r="H111" i="35"/>
  <c r="L111" i="35"/>
  <c r="M111" i="35"/>
  <c r="E111" i="35"/>
  <c r="D111" i="35"/>
  <c r="O115" i="35"/>
  <c r="K115" i="35"/>
  <c r="G115" i="35"/>
  <c r="R115" i="35"/>
  <c r="N115" i="35"/>
  <c r="J115" i="35"/>
  <c r="F115" i="35"/>
  <c r="Q115" i="35"/>
  <c r="I115" i="35"/>
  <c r="P115" i="35"/>
  <c r="M115" i="35"/>
  <c r="D115" i="35"/>
  <c r="H115" i="35"/>
  <c r="E115" i="35"/>
  <c r="L115" i="35"/>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P195" i="3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P196" i="3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S90" i="35" l="1"/>
  <c r="S115" i="35"/>
  <c r="S111" i="35"/>
  <c r="S106" i="35"/>
  <c r="S109" i="35"/>
  <c r="S110" i="35"/>
  <c r="S117" i="35"/>
  <c r="S108" i="35"/>
  <c r="S114" i="35"/>
  <c r="S10" i="35"/>
  <c r="S133" i="35"/>
  <c r="S116" i="35"/>
  <c r="S113" i="35"/>
  <c r="S112" i="35"/>
  <c r="U517" i="31"/>
  <c r="AM516" i="31" s="1"/>
  <c r="AX513" i="31"/>
  <c r="O107" i="35"/>
  <c r="K107" i="35"/>
  <c r="G107" i="35"/>
  <c r="Q107" i="35"/>
  <c r="L107" i="35"/>
  <c r="F107" i="35"/>
  <c r="J107" i="35"/>
  <c r="N107" i="35"/>
  <c r="D107" i="35"/>
  <c r="R107" i="35"/>
  <c r="H107" i="35"/>
  <c r="P107" i="35"/>
  <c r="E107" i="35"/>
  <c r="I107" i="35"/>
  <c r="M107" i="35"/>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Q195" i="31"/>
  <c r="D146" i="35"/>
  <c r="Q196" i="31"/>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U522" i="31" l="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R195" i="31"/>
  <c r="V309" i="29"/>
  <c r="X322" i="29"/>
  <c r="V322" i="29"/>
  <c r="Y494" i="29"/>
  <c r="R196" i="31"/>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54" i="31"/>
  <c r="AD441" i="31"/>
  <c r="AD442" i="31" s="1"/>
  <c r="I488" i="31"/>
  <c r="I487" i="31"/>
  <c r="B480" i="31"/>
  <c r="B481" i="31" s="1"/>
  <c r="B482" i="31" s="1"/>
  <c r="B483" i="31" s="1"/>
  <c r="B484" i="31" s="1"/>
  <c r="B485" i="31" s="1"/>
  <c r="B486" i="31" s="1"/>
  <c r="B487" i="31" s="1"/>
  <c r="B488" i="31" s="1"/>
  <c r="B489" i="31" s="1"/>
  <c r="B490" i="31" s="1"/>
  <c r="B491" i="31" s="1"/>
  <c r="B492" i="31" s="1"/>
  <c r="I475" i="31"/>
  <c r="I474" i="31"/>
  <c r="AD467" i="31"/>
  <c r="B466" i="31"/>
  <c r="B467" i="31" s="1"/>
  <c r="I461" i="31"/>
  <c r="I460" i="31"/>
  <c r="B454" i="31"/>
  <c r="B455" i="31" s="1"/>
  <c r="B456" i="31" s="1"/>
  <c r="B457" i="31" s="1"/>
  <c r="B458" i="31" s="1"/>
  <c r="B459" i="31" s="1"/>
  <c r="B460" i="31" s="1"/>
  <c r="B461" i="31" s="1"/>
  <c r="B462" i="31" s="1"/>
  <c r="B463" i="31" s="1"/>
  <c r="B464" i="31" s="1"/>
  <c r="B465" i="31" s="1"/>
  <c r="I449" i="31"/>
  <c r="I448" i="31"/>
  <c r="B441" i="31"/>
  <c r="B442" i="31" s="1"/>
  <c r="B443" i="31" s="1"/>
  <c r="B444" i="31" s="1"/>
  <c r="B445" i="31" s="1"/>
  <c r="B446" i="31" s="1"/>
  <c r="B447" i="31" s="1"/>
  <c r="B448" i="31" s="1"/>
  <c r="B449" i="31" s="1"/>
  <c r="B450" i="31" s="1"/>
  <c r="B451" i="31" s="1"/>
  <c r="B452" i="31" s="1"/>
  <c r="B453" i="31" s="1"/>
  <c r="I383" i="31"/>
  <c r="I382" i="31"/>
  <c r="AD376" i="31"/>
  <c r="N376" i="31"/>
  <c r="B376" i="31"/>
  <c r="B377" i="31" s="1"/>
  <c r="B378" i="31" s="1"/>
  <c r="B379" i="31" s="1"/>
  <c r="B380" i="31" s="1"/>
  <c r="B381" i="31" s="1"/>
  <c r="B382" i="31" s="1"/>
  <c r="B383" i="31" s="1"/>
  <c r="B384" i="31" s="1"/>
  <c r="B385" i="31" s="1"/>
  <c r="B386" i="31" s="1"/>
  <c r="B387" i="31" s="1"/>
  <c r="AH26" i="34" l="1"/>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S195" i="31"/>
  <c r="S196" i="31"/>
  <c r="AD481" i="31"/>
  <c r="AD455" i="31"/>
  <c r="AD377" i="31"/>
  <c r="Y376" i="31"/>
  <c r="U376" i="31"/>
  <c r="Q376" i="31"/>
  <c r="AB376" i="31"/>
  <c r="X376" i="31"/>
  <c r="T376" i="31"/>
  <c r="P376" i="31"/>
  <c r="AA376" i="31"/>
  <c r="W376" i="31"/>
  <c r="S376" i="31"/>
  <c r="O376" i="31"/>
  <c r="V376" i="31"/>
  <c r="R376" i="31"/>
  <c r="Z376" i="31"/>
  <c r="I337" i="31"/>
  <c r="I336" i="31"/>
  <c r="AD329" i="31"/>
  <c r="B329" i="31"/>
  <c r="B330" i="31" s="1"/>
  <c r="B331" i="31" s="1"/>
  <c r="B332" i="31" s="1"/>
  <c r="B333" i="31" s="1"/>
  <c r="B334" i="31" s="1"/>
  <c r="B335" i="31" s="1"/>
  <c r="B336" i="31" s="1"/>
  <c r="B337" i="31" s="1"/>
  <c r="B338" i="31" s="1"/>
  <c r="B339" i="31" s="1"/>
  <c r="B340" i="31" s="1"/>
  <c r="B341" i="31" s="1"/>
  <c r="I324" i="31"/>
  <c r="I323" i="31"/>
  <c r="AD315" i="31"/>
  <c r="B315" i="31"/>
  <c r="B316" i="31" s="1"/>
  <c r="I298" i="31"/>
  <c r="I297" i="31"/>
  <c r="AD290" i="31"/>
  <c r="B290" i="31"/>
  <c r="B291" i="31" s="1"/>
  <c r="B292" i="31" s="1"/>
  <c r="B293" i="31" s="1"/>
  <c r="B294" i="31" s="1"/>
  <c r="B295" i="31" s="1"/>
  <c r="B296" i="31" s="1"/>
  <c r="B297" i="31" s="1"/>
  <c r="B298" i="31" s="1"/>
  <c r="B299" i="31" s="1"/>
  <c r="B300" i="31" s="1"/>
  <c r="B301" i="31" s="1"/>
  <c r="B302" i="31" s="1"/>
  <c r="I208" i="31"/>
  <c r="I207" i="31"/>
  <c r="AD201" i="31"/>
  <c r="B201" i="31"/>
  <c r="B202" i="31" s="1"/>
  <c r="I188" i="31"/>
  <c r="I187" i="31"/>
  <c r="AD179" i="31"/>
  <c r="AD180" i="31" s="1"/>
  <c r="N179" i="31"/>
  <c r="V179" i="31" s="1"/>
  <c r="B179" i="31"/>
  <c r="B180" i="31" s="1"/>
  <c r="I174" i="31"/>
  <c r="I173" i="31"/>
  <c r="AD165" i="31"/>
  <c r="N165" i="31"/>
  <c r="Z165" i="31" s="1"/>
  <c r="B165" i="31"/>
  <c r="B166" i="31" s="1"/>
  <c r="I134" i="31"/>
  <c r="I133" i="31"/>
  <c r="AD125" i="31"/>
  <c r="N125" i="31"/>
  <c r="AA125" i="31" s="1"/>
  <c r="B125" i="31"/>
  <c r="B126" i="31" s="1"/>
  <c r="I148" i="31"/>
  <c r="I147" i="31"/>
  <c r="AD139" i="31"/>
  <c r="AD140" i="31" s="1"/>
  <c r="N139" i="31"/>
  <c r="W139" i="31" s="1"/>
  <c r="B139" i="31"/>
  <c r="B140" i="31" s="1"/>
  <c r="I53" i="31"/>
  <c r="I52" i="3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318" i="31"/>
  <c r="B319" i="31" s="1"/>
  <c r="B320" i="31" s="1"/>
  <c r="B321" i="31" s="1"/>
  <c r="B322" i="31" s="1"/>
  <c r="B323" i="31" s="1"/>
  <c r="B324" i="31" s="1"/>
  <c r="B325" i="31" s="1"/>
  <c r="B326" i="31" s="1"/>
  <c r="B327" i="31" s="1"/>
  <c r="B328" i="31" s="1"/>
  <c r="B31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T19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96" i="31"/>
  <c r="T125" i="31"/>
  <c r="T165" i="31"/>
  <c r="AA165" i="31"/>
  <c r="AB125" i="31"/>
  <c r="O165" i="31"/>
  <c r="U165" i="31"/>
  <c r="AB165" i="31"/>
  <c r="P165" i="31"/>
  <c r="W165" i="31"/>
  <c r="AD316" i="31"/>
  <c r="AD330" i="31"/>
  <c r="AD291" i="31"/>
  <c r="B203" i="31"/>
  <c r="B204" i="31" s="1"/>
  <c r="B205" i="31" s="1"/>
  <c r="B206" i="31" s="1"/>
  <c r="B207" i="31" s="1"/>
  <c r="B208" i="31" s="1"/>
  <c r="B209" i="31" s="1"/>
  <c r="B210" i="31" s="1"/>
  <c r="B211" i="31" s="1"/>
  <c r="B212" i="31" s="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U195" i="31" l="1"/>
  <c r="U196" i="31"/>
  <c r="G318" i="38"/>
  <c r="V195" i="31" l="1"/>
  <c r="V196" i="31"/>
  <c r="E46" i="36"/>
  <c r="M48" i="23" l="1"/>
  <c r="E47" i="36"/>
  <c r="S28" i="23" s="1"/>
  <c r="X47" i="36"/>
  <c r="W195" i="31"/>
  <c r="W196" i="31"/>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X195" i="31"/>
  <c r="X196" i="31"/>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Y195" i="31"/>
  <c r="Y196" i="31"/>
  <c r="Z195" i="31" l="1"/>
  <c r="Z196" i="31"/>
  <c r="AA195" i="31" l="1"/>
  <c r="AA196" i="31"/>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AB195" i="31"/>
  <c r="AB196" i="31"/>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18" i="31"/>
  <c r="N351" i="31"/>
  <c r="N432" i="29"/>
  <c r="N443" i="31"/>
  <c r="N458" i="29"/>
  <c r="N469" i="31"/>
  <c r="N142" i="31"/>
  <c r="N168" i="31"/>
  <c r="N319" i="31"/>
  <c r="N352" i="31"/>
  <c r="N433" i="29"/>
  <c r="N444" i="31"/>
  <c r="N459" i="29"/>
  <c r="N470" i="31"/>
  <c r="N169" i="31"/>
  <c r="N292" i="31"/>
  <c r="N331" i="31"/>
  <c r="N377" i="31"/>
  <c r="N455" i="31"/>
  <c r="N445" i="29"/>
  <c r="N471" i="29"/>
  <c r="N482" i="31"/>
  <c r="N128" i="31"/>
  <c r="N182" i="31"/>
  <c r="N293" i="31"/>
  <c r="N33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I357" i="31"/>
  <c r="I356" i="3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Y292" i="31"/>
  <c r="O292" i="31"/>
  <c r="P292" i="31"/>
  <c r="Q293" i="31"/>
  <c r="V293" i="31"/>
  <c r="W293" i="31"/>
  <c r="X293" i="31"/>
  <c r="Y332" i="31"/>
  <c r="O332" i="31"/>
  <c r="P332" i="31"/>
  <c r="Q331" i="31"/>
  <c r="V331" i="31"/>
  <c r="W331" i="31"/>
  <c r="X331" i="31"/>
  <c r="Y319" i="31"/>
  <c r="O319" i="31"/>
  <c r="P319" i="31"/>
  <c r="Q318" i="31"/>
  <c r="V318" i="31"/>
  <c r="W318" i="31"/>
  <c r="X318"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R292" i="31"/>
  <c r="S292" i="31"/>
  <c r="T292" i="31"/>
  <c r="U293" i="31"/>
  <c r="Z293" i="31"/>
  <c r="AA293" i="31"/>
  <c r="AB293" i="31"/>
  <c r="R332" i="31"/>
  <c r="S332" i="31"/>
  <c r="T332" i="31"/>
  <c r="U331" i="31"/>
  <c r="Z331" i="31"/>
  <c r="AA331" i="31"/>
  <c r="AB331" i="31"/>
  <c r="R319" i="31"/>
  <c r="S319" i="31"/>
  <c r="T319" i="31"/>
  <c r="U318" i="31"/>
  <c r="Z318" i="31"/>
  <c r="AA318" i="31"/>
  <c r="AB318"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Q292" i="31"/>
  <c r="V292" i="31"/>
  <c r="W292" i="31"/>
  <c r="X292" i="31"/>
  <c r="Y293" i="31"/>
  <c r="O293" i="31"/>
  <c r="P293" i="31"/>
  <c r="Q332" i="31"/>
  <c r="V332" i="31"/>
  <c r="W332" i="31"/>
  <c r="X332" i="31"/>
  <c r="Y331" i="31"/>
  <c r="O331" i="31"/>
  <c r="P331" i="31"/>
  <c r="Q319" i="31"/>
  <c r="V319" i="31"/>
  <c r="W319" i="31"/>
  <c r="X319" i="31"/>
  <c r="Y318" i="31"/>
  <c r="O318" i="31"/>
  <c r="P318"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U292" i="31"/>
  <c r="Z292" i="31"/>
  <c r="AA292" i="31"/>
  <c r="AB292" i="31"/>
  <c r="R293" i="31"/>
  <c r="S293" i="31"/>
  <c r="T293" i="31"/>
  <c r="U332" i="31"/>
  <c r="Z332" i="31"/>
  <c r="AA332" i="31"/>
  <c r="AB332" i="31"/>
  <c r="R331" i="31"/>
  <c r="S331" i="31"/>
  <c r="T331" i="31"/>
  <c r="U319" i="31"/>
  <c r="Z319" i="31"/>
  <c r="AA319" i="31"/>
  <c r="AB319" i="31"/>
  <c r="R318" i="31"/>
  <c r="S318" i="31"/>
  <c r="T318"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E199" i="31"/>
  <c r="AD427" i="31"/>
  <c r="AD428" i="31" s="1"/>
  <c r="I436" i="31"/>
  <c r="I435" i="3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N228" i="31"/>
  <c r="N304" i="31"/>
  <c r="U214" i="38"/>
  <c r="N419" i="29"/>
  <c r="N229" i="31"/>
  <c r="N431" i="31"/>
  <c r="N420" i="29"/>
  <c r="H180" i="38"/>
  <c r="H182" i="38"/>
  <c r="T182" i="38" s="1"/>
  <c r="H254" i="38"/>
  <c r="H253" i="38"/>
  <c r="N241" i="31"/>
  <c r="N430" i="31"/>
  <c r="T193" i="38"/>
  <c r="N280" i="31"/>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P240" i="31" s="1"/>
  <c r="N240" i="31"/>
  <c r="T186" i="38"/>
  <c r="Z240" i="31" s="1"/>
  <c r="N186" i="38"/>
  <c r="K186" i="38"/>
  <c r="Q240" i="31" s="1"/>
  <c r="S186" i="38"/>
  <c r="Y240" i="31" s="1"/>
  <c r="M186" i="38"/>
  <c r="S240" i="31" s="1"/>
  <c r="V186" i="38"/>
  <c r="U186" i="38"/>
  <c r="AA240" i="31" s="1"/>
  <c r="Q186" i="38"/>
  <c r="O253" i="38"/>
  <c r="U260" i="29" s="1"/>
  <c r="J257" i="38"/>
  <c r="P285" i="29" s="1"/>
  <c r="J253" i="38"/>
  <c r="P260" i="29" s="1"/>
  <c r="P257" i="38"/>
  <c r="V285" i="29" s="1"/>
  <c r="M257" i="38"/>
  <c r="S285" i="29" s="1"/>
  <c r="I253" i="38"/>
  <c r="O260" i="29" s="1"/>
  <c r="I182" i="38"/>
  <c r="P186" i="38"/>
  <c r="V240" i="31" s="1"/>
  <c r="R186" i="38"/>
  <c r="L182" i="38"/>
  <c r="M182" i="38"/>
  <c r="L186" i="38"/>
  <c r="I186" i="38"/>
  <c r="O240" i="31" s="1"/>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AA216" i="31" s="1"/>
  <c r="V182" i="38"/>
  <c r="AB216" i="31" s="1"/>
  <c r="L265" i="38"/>
  <c r="R336" i="29" s="1"/>
  <c r="O182" i="38"/>
  <c r="U216" i="31" s="1"/>
  <c r="N182" i="38"/>
  <c r="T216" i="31" s="1"/>
  <c r="K254" i="38"/>
  <c r="Q261" i="29" s="1"/>
  <c r="S228" i="31"/>
  <c r="T228" i="31"/>
  <c r="X431" i="31"/>
  <c r="X420" i="29"/>
  <c r="AA280" i="31"/>
  <c r="V228" i="31"/>
  <c r="AA228" i="31"/>
  <c r="AB228" i="31"/>
  <c r="X280" i="31"/>
  <c r="Y280" i="31"/>
  <c r="P229" i="31"/>
  <c r="Q229" i="31"/>
  <c r="O280" i="31"/>
  <c r="P431" i="31"/>
  <c r="P420" i="29"/>
  <c r="AA431" i="31"/>
  <c r="AA420" i="29"/>
  <c r="Z430" i="31"/>
  <c r="Z419" i="29"/>
  <c r="V431" i="31"/>
  <c r="V420" i="29"/>
  <c r="Y304" i="31"/>
  <c r="U430" i="31"/>
  <c r="U419" i="29"/>
  <c r="Q431" i="31"/>
  <c r="Q420" i="29"/>
  <c r="T430" i="31"/>
  <c r="T419" i="29"/>
  <c r="Q430" i="31"/>
  <c r="Q419" i="29"/>
  <c r="AB430" i="31"/>
  <c r="AB419" i="29"/>
  <c r="O229" i="31"/>
  <c r="P304" i="31"/>
  <c r="U304" i="31"/>
  <c r="U228" i="31"/>
  <c r="N202" i="31"/>
  <c r="V304" i="31"/>
  <c r="S280" i="31"/>
  <c r="O228" i="31"/>
  <c r="P228" i="31"/>
  <c r="V280" i="31"/>
  <c r="AB280" i="31"/>
  <c r="R280" i="31"/>
  <c r="T229" i="31"/>
  <c r="U229" i="31"/>
  <c r="W430" i="31"/>
  <c r="W419" i="29"/>
  <c r="W431" i="31"/>
  <c r="W420" i="29"/>
  <c r="V430" i="31"/>
  <c r="V419" i="29"/>
  <c r="R431" i="31"/>
  <c r="R420" i="29"/>
  <c r="T304" i="31"/>
  <c r="Q228" i="31"/>
  <c r="X304" i="31"/>
  <c r="AB431" i="31"/>
  <c r="AB420" i="29"/>
  <c r="J189" i="38"/>
  <c r="R229" i="31"/>
  <c r="AA229" i="31"/>
  <c r="AA304" i="31"/>
  <c r="Z304" i="31"/>
  <c r="M254" i="38"/>
  <c r="S261" i="29" s="1"/>
  <c r="Z280" i="31"/>
  <c r="AA430" i="31"/>
  <c r="AA419" i="29"/>
  <c r="R304" i="31"/>
  <c r="P280" i="31"/>
  <c r="Q280" i="31"/>
  <c r="X229" i="31"/>
  <c r="Y229" i="31"/>
  <c r="S430" i="31"/>
  <c r="S419" i="29"/>
  <c r="S431" i="31"/>
  <c r="S420" i="29"/>
  <c r="R430" i="31"/>
  <c r="R419" i="29"/>
  <c r="X430" i="31"/>
  <c r="X419" i="29"/>
  <c r="O304" i="31"/>
  <c r="S304" i="31"/>
  <c r="Z228" i="31"/>
  <c r="U431" i="31"/>
  <c r="U420" i="29"/>
  <c r="Y430" i="31"/>
  <c r="Y419" i="29"/>
  <c r="S229" i="31"/>
  <c r="W229" i="31"/>
  <c r="Q304" i="31"/>
  <c r="R228" i="31"/>
  <c r="W228" i="31"/>
  <c r="X228" i="31"/>
  <c r="T280" i="31"/>
  <c r="U280" i="31"/>
  <c r="V229" i="31"/>
  <c r="AB229" i="31"/>
  <c r="W280" i="31"/>
  <c r="T431" i="31"/>
  <c r="T420" i="29"/>
  <c r="O430" i="31"/>
  <c r="O419" i="29"/>
  <c r="O431" i="31"/>
  <c r="O420" i="29"/>
  <c r="Z431" i="31"/>
  <c r="Z420" i="29"/>
  <c r="P430" i="31"/>
  <c r="P419" i="29"/>
  <c r="K188" i="38"/>
  <c r="Y431" i="31"/>
  <c r="Y420" i="29"/>
  <c r="U240" i="31"/>
  <c r="Z216" i="31"/>
  <c r="Z229" i="31"/>
  <c r="W304" i="31"/>
  <c r="AB304" i="31"/>
  <c r="Y228" i="31"/>
  <c r="L259" i="38"/>
  <c r="R298" i="29" s="1"/>
  <c r="N216" i="3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Z241" i="31"/>
  <c r="P241" i="31"/>
  <c r="U241" i="31"/>
  <c r="T241" i="31"/>
  <c r="W241" i="31"/>
  <c r="V241" i="31"/>
  <c r="Y241" i="31"/>
  <c r="S241" i="31"/>
  <c r="R241" i="31"/>
  <c r="AB241" i="31"/>
  <c r="N266" i="38"/>
  <c r="T337" i="29" s="1"/>
  <c r="T266" i="38"/>
  <c r="Z337" i="29" s="1"/>
  <c r="O241" i="31"/>
  <c r="X241" i="31"/>
  <c r="Q241" i="31"/>
  <c r="AA241" i="31"/>
  <c r="Q259" i="38"/>
  <c r="W298" i="29" s="1"/>
  <c r="I255" i="38"/>
  <c r="O272" i="29" s="1"/>
  <c r="O255" i="38"/>
  <c r="U272" i="29" s="1"/>
  <c r="S251" i="38"/>
  <c r="Y248" i="29" s="1"/>
  <c r="M265" i="38"/>
  <c r="S336" i="29" s="1"/>
  <c r="M190" i="38"/>
  <c r="N266" i="31"/>
  <c r="Q189" i="38"/>
  <c r="N254" i="31"/>
  <c r="V189" i="38"/>
  <c r="Q251" i="38"/>
  <c r="W248" i="29" s="1"/>
  <c r="O251" i="38"/>
  <c r="U248" i="29" s="1"/>
  <c r="K189" i="38"/>
  <c r="U189" i="38"/>
  <c r="M251" i="38"/>
  <c r="S248" i="29" s="1"/>
  <c r="T251" i="38"/>
  <c r="Z248" i="29" s="1"/>
  <c r="S265" i="38"/>
  <c r="Y336" i="29" s="1"/>
  <c r="M189" i="38"/>
  <c r="N188" i="38"/>
  <c r="N253" i="31"/>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T240" i="31"/>
  <c r="AB240" i="31"/>
  <c r="S216" i="31"/>
  <c r="O216" i="31"/>
  <c r="W240" i="31"/>
  <c r="R240" i="31"/>
  <c r="X240" i="31"/>
  <c r="R216" i="31"/>
  <c r="U266" i="31"/>
  <c r="X266" i="31"/>
  <c r="AA266" i="31"/>
  <c r="P266" i="31"/>
  <c r="Z266" i="31"/>
  <c r="N305" i="31"/>
  <c r="R254" i="31"/>
  <c r="Z254" i="31"/>
  <c r="W254" i="31"/>
  <c r="W216" i="31"/>
  <c r="X202" i="31"/>
  <c r="W202" i="31"/>
  <c r="O202" i="31"/>
  <c r="T202" i="31"/>
  <c r="O266" i="31"/>
  <c r="W266" i="31"/>
  <c r="R266" i="31"/>
  <c r="O254" i="31"/>
  <c r="V266" i="31"/>
  <c r="X253" i="31"/>
  <c r="X216" i="31"/>
  <c r="Z202" i="31"/>
  <c r="U202" i="31"/>
  <c r="P202" i="31"/>
  <c r="Q216" i="31"/>
  <c r="P254" i="31"/>
  <c r="Q266" i="31"/>
  <c r="Y254" i="31"/>
  <c r="U254" i="31"/>
  <c r="S254" i="31"/>
  <c r="AA254" i="31"/>
  <c r="AB254" i="31"/>
  <c r="S266" i="31"/>
  <c r="S253" i="31"/>
  <c r="Y216" i="31"/>
  <c r="AB202" i="31"/>
  <c r="AA202" i="31"/>
  <c r="R202" i="31"/>
  <c r="P216" i="31"/>
  <c r="T266" i="31"/>
  <c r="AB266" i="31"/>
  <c r="Y266" i="31"/>
  <c r="N267" i="31"/>
  <c r="X254" i="31"/>
  <c r="V254" i="31"/>
  <c r="T254" i="31"/>
  <c r="Q254" i="31"/>
  <c r="Q253" i="31"/>
  <c r="V216" i="31"/>
  <c r="V202" i="31"/>
  <c r="Q202" i="31"/>
  <c r="Y202" i="31"/>
  <c r="S202" i="31"/>
  <c r="N217" i="31"/>
  <c r="R183" i="38"/>
  <c r="K183" i="38"/>
  <c r="N183" i="38"/>
  <c r="Q183" i="38"/>
  <c r="P183" i="38"/>
  <c r="L183" i="38"/>
  <c r="I183" i="38"/>
  <c r="O183" i="38"/>
  <c r="V183" i="38"/>
  <c r="U183" i="38"/>
  <c r="T183" i="38"/>
  <c r="S183" i="38"/>
  <c r="J183" i="38"/>
  <c r="M183" i="38"/>
  <c r="O253" i="31"/>
  <c r="W253" i="31"/>
  <c r="R253" i="31"/>
  <c r="AA253" i="31"/>
  <c r="Y253" i="31"/>
  <c r="U253" i="31"/>
  <c r="V253" i="31"/>
  <c r="T253" i="31"/>
  <c r="P253" i="31"/>
  <c r="Z253" i="31"/>
  <c r="AB253" i="31"/>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AA203" i="31" s="1"/>
  <c r="Q181" i="38"/>
  <c r="W203" i="31" s="1"/>
  <c r="I181" i="38"/>
  <c r="O203" i="31" s="1"/>
  <c r="S181" i="38"/>
  <c r="Y203" i="31" s="1"/>
  <c r="O181" i="38"/>
  <c r="U203" i="31" s="1"/>
  <c r="L181" i="38"/>
  <c r="R203" i="31" s="1"/>
  <c r="V181" i="38"/>
  <c r="AB203" i="31" s="1"/>
  <c r="M181" i="38"/>
  <c r="S203" i="31" s="1"/>
  <c r="N203" i="31"/>
  <c r="T181" i="38"/>
  <c r="Z203" i="31" s="1"/>
  <c r="P181" i="38"/>
  <c r="V203" i="31" s="1"/>
  <c r="N181" i="38"/>
  <c r="T203" i="31" s="1"/>
  <c r="K181" i="38"/>
  <c r="Q203" i="31" s="1"/>
  <c r="R181" i="38"/>
  <c r="X203" i="31" s="1"/>
  <c r="J181" i="38"/>
  <c r="O267" i="31"/>
  <c r="AA267" i="31"/>
  <c r="W305" i="31"/>
  <c r="U217" i="31"/>
  <c r="R267" i="31"/>
  <c r="Q267" i="31"/>
  <c r="P267" i="31"/>
  <c r="Z305" i="31"/>
  <c r="P305" i="31"/>
  <c r="Q305" i="31"/>
  <c r="AA305" i="31"/>
  <c r="S217" i="31"/>
  <c r="AA217" i="31"/>
  <c r="R217" i="31"/>
  <c r="Q217" i="31"/>
  <c r="P203" i="31"/>
  <c r="W267" i="31"/>
  <c r="U267" i="31"/>
  <c r="AB267" i="31"/>
  <c r="Y267" i="31"/>
  <c r="X305" i="31"/>
  <c r="R305" i="31"/>
  <c r="T305" i="31"/>
  <c r="P217" i="31"/>
  <c r="AB217" i="31"/>
  <c r="V217" i="31"/>
  <c r="X217" i="31"/>
  <c r="V267" i="31"/>
  <c r="T267" i="31"/>
  <c r="O305" i="31"/>
  <c r="Y305" i="31"/>
  <c r="Y217" i="31"/>
  <c r="W217" i="31"/>
  <c r="S267" i="31"/>
  <c r="Z267" i="31"/>
  <c r="X267" i="31"/>
  <c r="S305" i="31"/>
  <c r="V305" i="31"/>
  <c r="U305" i="31"/>
  <c r="AB305" i="31"/>
  <c r="Z217" i="31"/>
  <c r="O217" i="31"/>
  <c r="T217" i="31"/>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T231" i="31"/>
  <c r="AB334" i="3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AA307" i="31"/>
  <c r="T269" i="3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V243" i="31"/>
  <c r="U243" i="31"/>
  <c r="R243" i="31"/>
  <c r="T243" i="31"/>
  <c r="S243" i="31"/>
  <c r="Q243" i="31"/>
  <c r="Z243" i="31"/>
  <c r="N243" i="31"/>
  <c r="AB243" i="31"/>
  <c r="AA243" i="31"/>
  <c r="O243" i="31"/>
  <c r="X243" i="31"/>
  <c r="P243" i="31"/>
  <c r="Y243" i="31"/>
  <c r="W243" i="31"/>
  <c r="AB205" i="31"/>
  <c r="S205" i="31"/>
  <c r="Y205" i="31"/>
  <c r="X205" i="31"/>
  <c r="U205" i="31"/>
  <c r="T205" i="31"/>
  <c r="Z205" i="31"/>
  <c r="W205" i="31"/>
  <c r="N205" i="31"/>
  <c r="O205" i="31"/>
  <c r="AA205" i="31"/>
  <c r="R205" i="31"/>
  <c r="V205" i="31"/>
  <c r="P205" i="31"/>
  <c r="Q205" i="3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Y219" i="31"/>
  <c r="V219" i="31"/>
  <c r="S219" i="31"/>
  <c r="AB219" i="31"/>
  <c r="W219" i="31"/>
  <c r="R219" i="31"/>
  <c r="AA219" i="31"/>
  <c r="P219" i="31"/>
  <c r="Z219" i="31"/>
  <c r="T219" i="31"/>
  <c r="O219" i="31"/>
  <c r="X219" i="31"/>
  <c r="N219" i="31"/>
  <c r="Q219" i="31"/>
  <c r="U219" i="3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Y256" i="31"/>
  <c r="Y321" i="31"/>
  <c r="P295" i="31"/>
  <c r="P282" i="31"/>
  <c r="V171" i="31"/>
  <c r="R176" i="46"/>
  <c r="AB314" i="29" s="1"/>
  <c r="N486" i="29"/>
  <c r="R486" i="29"/>
  <c r="V117" i="31"/>
  <c r="F176" i="46"/>
  <c r="P314" i="29" s="1"/>
  <c r="R117" i="31"/>
  <c r="U171" i="31"/>
  <c r="AA117" i="31"/>
  <c r="O486" i="29"/>
  <c r="Q171" i="31"/>
  <c r="O85" i="46"/>
  <c r="Y77" i="4" s="1"/>
  <c r="N334" i="31"/>
  <c r="S486" i="29"/>
  <c r="P171" i="31"/>
  <c r="S171" i="31"/>
  <c r="E85" i="46"/>
  <c r="O77" i="4" s="1"/>
  <c r="E142" i="46"/>
  <c r="O114" i="29" s="1"/>
  <c r="N117" i="31"/>
  <c r="AB117" i="31"/>
  <c r="Y117" i="31"/>
  <c r="W117" i="31"/>
  <c r="X117" i="31"/>
  <c r="T117" i="31"/>
  <c r="U117" i="31"/>
  <c r="S117" i="31"/>
  <c r="D176" i="46"/>
  <c r="N314" i="29" s="1"/>
  <c r="O334" i="31"/>
  <c r="K176" i="46"/>
  <c r="U314" i="29" s="1"/>
  <c r="T171" i="31"/>
  <c r="N77" i="4"/>
  <c r="P117" i="31"/>
  <c r="Z117" i="31"/>
  <c r="Q117" i="31"/>
  <c r="G88" i="46"/>
  <c r="O175" i="46"/>
  <c r="Y301" i="29" s="1"/>
  <c r="F180" i="46"/>
  <c r="P365" i="29" s="1"/>
  <c r="J180" i="46"/>
  <c r="T365" i="29" s="1"/>
  <c r="V231" i="31"/>
  <c r="L175" i="46"/>
  <c r="V301" i="29" s="1"/>
  <c r="G174" i="46"/>
  <c r="Q288" i="29" s="1"/>
  <c r="R85" i="46"/>
  <c r="AB77" i="4" s="1"/>
  <c r="Q85" i="46"/>
  <c r="AA77" i="4" s="1"/>
  <c r="D209" i="46"/>
  <c r="H180" i="46"/>
  <c r="R365" i="29" s="1"/>
  <c r="P180" i="46"/>
  <c r="Z365" i="29" s="1"/>
  <c r="I180" i="46"/>
  <c r="S365" i="29" s="1"/>
  <c r="W307" i="31"/>
  <c r="G177" i="46"/>
  <c r="Q327" i="29" s="1"/>
  <c r="M180" i="46"/>
  <c r="W365" i="29" s="1"/>
  <c r="E180" i="46"/>
  <c r="O365" i="29" s="1"/>
  <c r="K180" i="46"/>
  <c r="U365" i="29" s="1"/>
  <c r="G209" i="46"/>
  <c r="J174" i="46"/>
  <c r="T288" i="29" s="1"/>
  <c r="K177" i="46"/>
  <c r="U327" i="29" s="1"/>
  <c r="O180" i="46"/>
  <c r="Y365" i="29" s="1"/>
  <c r="N180" i="46"/>
  <c r="X365" i="29" s="1"/>
  <c r="N231" i="31"/>
  <c r="X486" i="29"/>
  <c r="U486" i="29"/>
  <c r="Z171" i="31"/>
  <c r="O171" i="31"/>
  <c r="N85" i="46"/>
  <c r="X77" i="4" s="1"/>
  <c r="P85" i="46"/>
  <c r="Z77" i="4" s="1"/>
  <c r="L150" i="46"/>
  <c r="V218" i="29" s="1"/>
  <c r="L209" i="46"/>
  <c r="K209" i="46"/>
  <c r="L142" i="46"/>
  <c r="V114" i="29" s="1"/>
  <c r="P176" i="46"/>
  <c r="Z314" i="29" s="1"/>
  <c r="Q176" i="46"/>
  <c r="AA314" i="29" s="1"/>
  <c r="Q307" i="31"/>
  <c r="N307" i="31"/>
  <c r="E177" i="46"/>
  <c r="O327" i="29" s="1"/>
  <c r="E175" i="46"/>
  <c r="O301" i="29" s="1"/>
  <c r="I174" i="46"/>
  <c r="S288" i="29" s="1"/>
  <c r="O176" i="46"/>
  <c r="Y314" i="29" s="1"/>
  <c r="S307" i="3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T307" i="3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Z231" i="31"/>
  <c r="S231" i="31"/>
  <c r="P307" i="31"/>
  <c r="U307" i="31"/>
  <c r="Y307" i="31"/>
  <c r="Q231" i="31"/>
  <c r="R307" i="31"/>
  <c r="AB307" i="31"/>
  <c r="X307" i="31"/>
  <c r="AA231" i="3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Q269" i="31"/>
  <c r="S269" i="31"/>
  <c r="O269" i="31"/>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W269" i="31"/>
  <c r="P269" i="31"/>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R269" i="31"/>
  <c r="AA269" i="31"/>
  <c r="J172" i="46"/>
  <c r="T263" i="29" s="1"/>
  <c r="G172" i="46"/>
  <c r="Q263" i="29" s="1"/>
  <c r="P178" i="46"/>
  <c r="Z339" i="29" s="1"/>
  <c r="O69" i="46"/>
  <c r="R69" i="46"/>
  <c r="F88" i="46"/>
  <c r="H88" i="46"/>
  <c r="E150" i="46"/>
  <c r="O218" i="29" s="1"/>
  <c r="N150" i="46"/>
  <c r="X218" i="29" s="1"/>
  <c r="Y269" i="31"/>
  <c r="L172" i="46"/>
  <c r="V263" i="29" s="1"/>
  <c r="F172" i="46"/>
  <c r="P263" i="29" s="1"/>
  <c r="J178" i="46"/>
  <c r="T339" i="29" s="1"/>
  <c r="E69" i="46"/>
  <c r="F69" i="46"/>
  <c r="R88" i="46"/>
  <c r="Q180" i="46"/>
  <c r="AA365" i="29" s="1"/>
  <c r="L180" i="46"/>
  <c r="V365" i="29" s="1"/>
  <c r="R180" i="46"/>
  <c r="AB365" i="29" s="1"/>
  <c r="G180" i="46"/>
  <c r="Q365" i="29" s="1"/>
  <c r="Y231" i="31"/>
  <c r="W231" i="31"/>
  <c r="P231" i="31"/>
  <c r="O231" i="31"/>
  <c r="X231" i="31"/>
  <c r="U231" i="31"/>
  <c r="R231" i="31"/>
  <c r="AB231" i="31"/>
  <c r="G150" i="46"/>
  <c r="Q218" i="29" s="1"/>
  <c r="H150" i="46"/>
  <c r="R218" i="29" s="1"/>
  <c r="Z307" i="31"/>
  <c r="V307" i="31"/>
  <c r="O307" i="3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V269" i="31"/>
  <c r="AB269" i="31"/>
  <c r="Z269" i="31"/>
  <c r="U269" i="31"/>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AA334" i="31"/>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N269" i="31"/>
  <c r="X269" i="31"/>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X334" i="31"/>
  <c r="Q334" i="31"/>
  <c r="S334" i="31"/>
  <c r="T334" i="3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Y334" i="31"/>
  <c r="V334" i="31"/>
  <c r="R334" i="31"/>
  <c r="U334" i="31"/>
  <c r="E174" i="46"/>
  <c r="O288" i="29" s="1"/>
  <c r="F174" i="46"/>
  <c r="P288" i="29" s="1"/>
  <c r="M176" i="46"/>
  <c r="W314" i="29" s="1"/>
  <c r="L176" i="46"/>
  <c r="V314" i="29" s="1"/>
  <c r="G176" i="46"/>
  <c r="Q314" i="29" s="1"/>
  <c r="R179" i="46"/>
  <c r="AB352" i="29" s="1"/>
  <c r="K179" i="46"/>
  <c r="U352" i="29" s="1"/>
  <c r="I179" i="46"/>
  <c r="S352" i="29" s="1"/>
  <c r="P334" i="31"/>
  <c r="Z334" i="31"/>
  <c r="W334" i="3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T256" i="31"/>
  <c r="T321" i="31"/>
  <c r="O446" i="31"/>
  <c r="U458" i="31"/>
  <c r="R458" i="31"/>
  <c r="U256" i="31"/>
  <c r="U321" i="31"/>
  <c r="X458" i="31"/>
  <c r="AA295" i="31"/>
  <c r="AA282" i="31"/>
  <c r="S458" i="31"/>
  <c r="O458" i="31"/>
  <c r="U295" i="31"/>
  <c r="U282" i="31"/>
  <c r="P256" i="31"/>
  <c r="P321" i="31"/>
  <c r="V458" i="31"/>
  <c r="AB458" i="31"/>
  <c r="R256" i="31"/>
  <c r="R321" i="31"/>
  <c r="AB295" i="31"/>
  <c r="AB282" i="31"/>
  <c r="N256" i="31"/>
  <c r="N321" i="31"/>
  <c r="N295" i="31"/>
  <c r="N282" i="31"/>
  <c r="O256" i="31"/>
  <c r="O321" i="31"/>
  <c r="P446" i="31"/>
  <c r="W458" i="31"/>
  <c r="W282" i="31"/>
  <c r="W295" i="31"/>
  <c r="V256" i="31"/>
  <c r="V321" i="31"/>
  <c r="Q282" i="31"/>
  <c r="Q295" i="31"/>
  <c r="Y295" i="31"/>
  <c r="Y282" i="31"/>
  <c r="S295" i="31"/>
  <c r="S282" i="31"/>
  <c r="S256" i="31"/>
  <c r="S321" i="31"/>
  <c r="R295" i="31"/>
  <c r="R282" i="31"/>
  <c r="X295" i="31"/>
  <c r="X282" i="31"/>
  <c r="N458" i="31"/>
  <c r="AB256" i="31"/>
  <c r="AB321" i="31"/>
  <c r="W256" i="31"/>
  <c r="W321" i="31"/>
  <c r="Z256" i="31"/>
  <c r="Z321" i="31"/>
  <c r="T282" i="31"/>
  <c r="T295" i="31"/>
  <c r="AA256" i="31"/>
  <c r="AA321" i="31"/>
  <c r="AB446" i="31"/>
  <c r="Z458" i="31"/>
  <c r="V282" i="31"/>
  <c r="V295" i="31"/>
  <c r="X256" i="31"/>
  <c r="X321" i="31"/>
  <c r="O295" i="31"/>
  <c r="O282" i="31"/>
  <c r="Z282" i="31"/>
  <c r="Z295" i="31"/>
  <c r="Q256" i="31"/>
  <c r="Q321"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Q283" i="31"/>
  <c r="Z270" i="31"/>
  <c r="Z296" i="31"/>
  <c r="U308" i="31"/>
  <c r="AB322" i="31"/>
  <c r="P270" i="31"/>
  <c r="S244" i="31"/>
  <c r="AA220" i="31"/>
  <c r="BK215" i="31" s="1"/>
  <c r="Y257" i="31"/>
  <c r="P322" i="31"/>
  <c r="Y308" i="31"/>
  <c r="N366" i="29"/>
  <c r="P296" i="31"/>
  <c r="X308" i="31"/>
  <c r="AB308" i="31"/>
  <c r="Q308" i="31"/>
  <c r="U296" i="31"/>
  <c r="T308" i="31"/>
  <c r="N239" i="29"/>
  <c r="N264" i="29"/>
  <c r="S232" i="31"/>
  <c r="Z232" i="31"/>
  <c r="O232" i="31"/>
  <c r="X232" i="31"/>
  <c r="T232" i="31"/>
  <c r="V335" i="31"/>
  <c r="S335" i="31"/>
  <c r="AA335" i="31"/>
  <c r="O335" i="31"/>
  <c r="W335" i="31"/>
  <c r="T270" i="31"/>
  <c r="T322" i="31"/>
  <c r="U270" i="31"/>
  <c r="W322" i="31"/>
  <c r="O322" i="31"/>
  <c r="P308" i="31"/>
  <c r="Z244" i="31"/>
  <c r="V244" i="31"/>
  <c r="AB244" i="31"/>
  <c r="W244" i="31"/>
  <c r="Q244" i="31"/>
  <c r="AA244" i="31"/>
  <c r="U244" i="31"/>
  <c r="P244" i="31"/>
  <c r="AB283" i="31"/>
  <c r="X283" i="31"/>
  <c r="T283" i="31"/>
  <c r="P283" i="31"/>
  <c r="Z283" i="31"/>
  <c r="U283" i="31"/>
  <c r="O283" i="31"/>
  <c r="Y283" i="31"/>
  <c r="S283" i="31"/>
  <c r="W283" i="31"/>
  <c r="T244" i="31"/>
  <c r="AB257" i="31"/>
  <c r="X257" i="31"/>
  <c r="T257" i="31"/>
  <c r="P257" i="31"/>
  <c r="AA257" i="31"/>
  <c r="W257" i="31"/>
  <c r="S257" i="31"/>
  <c r="O257" i="31"/>
  <c r="V257" i="31"/>
  <c r="U257" i="31"/>
  <c r="Z257" i="31"/>
  <c r="AA270" i="31"/>
  <c r="W270" i="31"/>
  <c r="S270" i="31"/>
  <c r="O270" i="31"/>
  <c r="X270" i="31"/>
  <c r="AB270" i="31"/>
  <c r="V270" i="31"/>
  <c r="Q270" i="31"/>
  <c r="X244" i="31"/>
  <c r="V283" i="31"/>
  <c r="Y270" i="31"/>
  <c r="O244" i="31"/>
  <c r="Y244" i="31"/>
  <c r="Y232" i="31"/>
  <c r="U232" i="31"/>
  <c r="Q232" i="31"/>
  <c r="AB232" i="31"/>
  <c r="W232" i="31"/>
  <c r="AA232" i="31"/>
  <c r="V232" i="31"/>
  <c r="P232" i="31"/>
  <c r="AA283" i="31"/>
  <c r="AA296" i="31"/>
  <c r="W296" i="31"/>
  <c r="S296" i="31"/>
  <c r="O296" i="31"/>
  <c r="Y296" i="31"/>
  <c r="T296" i="31"/>
  <c r="X296" i="31"/>
  <c r="AB296" i="31"/>
  <c r="V296" i="31"/>
  <c r="Q296" i="31"/>
  <c r="Q257" i="31"/>
  <c r="Z322" i="31"/>
  <c r="V322" i="31"/>
  <c r="Y322" i="31"/>
  <c r="U322" i="31"/>
  <c r="Q322" i="31"/>
  <c r="X322" i="31"/>
  <c r="Y335" i="31"/>
  <c r="U335" i="31"/>
  <c r="Q335" i="31"/>
  <c r="AB335" i="31"/>
  <c r="X335" i="31"/>
  <c r="T335" i="31"/>
  <c r="P335" i="31"/>
  <c r="S322" i="31"/>
  <c r="AA322" i="31"/>
  <c r="Z335" i="31"/>
  <c r="AA308" i="31"/>
  <c r="W308" i="31"/>
  <c r="S308" i="31"/>
  <c r="O308" i="31"/>
  <c r="Z308" i="31"/>
  <c r="V308" i="31"/>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N322" i="31"/>
  <c r="N323" i="31" s="1"/>
  <c r="N296" i="31"/>
  <c r="N257" i="31"/>
  <c r="AX252" i="31" s="1"/>
  <c r="N283" i="31"/>
  <c r="N244" i="31"/>
  <c r="N232" i="31"/>
  <c r="N308" i="31"/>
  <c r="N270" i="31"/>
  <c r="N335" i="31"/>
  <c r="AA323" i="31"/>
  <c r="X371" i="29"/>
  <c r="X367" i="29"/>
  <c r="X370" i="29"/>
  <c r="X369" i="29"/>
  <c r="X372" i="29"/>
  <c r="X368" i="29"/>
  <c r="Y324" i="31"/>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Q326" i="31"/>
  <c r="V327" i="31"/>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28" i="31"/>
  <c r="T326" i="31"/>
  <c r="O372" i="29"/>
  <c r="O369" i="29"/>
  <c r="O368" i="29"/>
  <c r="O367" i="29"/>
  <c r="O371" i="29"/>
  <c r="O370" i="29"/>
  <c r="P325" i="31"/>
  <c r="S277" i="29"/>
  <c r="S282" i="29"/>
  <c r="S281" i="29"/>
  <c r="S278" i="29"/>
  <c r="S279" i="29"/>
  <c r="S280" i="29"/>
  <c r="AB323" i="31"/>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U325" i="31"/>
  <c r="Z328" i="31"/>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W326" i="31"/>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S326" i="31"/>
  <c r="AB367" i="29"/>
  <c r="AB368" i="29"/>
  <c r="AB370" i="29"/>
  <c r="AB371" i="29"/>
  <c r="AB369" i="29"/>
  <c r="AB372" i="29"/>
  <c r="X328" i="31"/>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Q328" i="31"/>
  <c r="X220" i="31"/>
  <c r="BH215" i="31" s="1"/>
  <c r="T220" i="31"/>
  <c r="BD215" i="31" s="1"/>
  <c r="Y220" i="31"/>
  <c r="BI215" i="31" s="1"/>
  <c r="V220" i="31"/>
  <c r="BF215" i="31" s="1"/>
  <c r="Z220" i="31"/>
  <c r="BJ215" i="31" s="1"/>
  <c r="S220" i="31"/>
  <c r="BC215" i="31" s="1"/>
  <c r="W220" i="31"/>
  <c r="BG215" i="31" s="1"/>
  <c r="U118" i="35"/>
  <c r="AB220" i="31"/>
  <c r="BL215" i="31" s="1"/>
  <c r="O220" i="31"/>
  <c r="AY215" i="31" s="1"/>
  <c r="U220" i="31"/>
  <c r="BE215" i="31" s="1"/>
  <c r="P220" i="31"/>
  <c r="AZ215" i="31" s="1"/>
  <c r="Q220" i="31"/>
  <c r="BA215" i="31" s="1"/>
  <c r="AL30" i="55" l="1"/>
  <c r="AL29" i="55" s="1"/>
  <c r="AX251" i="3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20" i="31"/>
  <c r="AX215" i="31" s="1"/>
  <c r="T325" i="31"/>
  <c r="P326" i="31"/>
  <c r="Q327" i="31"/>
  <c r="N327" i="31"/>
  <c r="AB324" i="31"/>
  <c r="AB328" i="31"/>
  <c r="T324" i="31"/>
  <c r="Q325" i="31"/>
  <c r="T328" i="31"/>
  <c r="Q324" i="31"/>
  <c r="T327" i="31"/>
  <c r="T323" i="31"/>
  <c r="Q323" i="31"/>
  <c r="AB325" i="31"/>
  <c r="AB326" i="31"/>
  <c r="P323" i="31"/>
  <c r="AA326" i="31"/>
  <c r="Y325" i="31"/>
  <c r="U324" i="31"/>
  <c r="AA327" i="31"/>
  <c r="U328" i="31"/>
  <c r="AB327" i="31"/>
  <c r="AA324" i="31"/>
  <c r="U323" i="31"/>
  <c r="S325" i="31"/>
  <c r="Z325" i="31"/>
  <c r="S328" i="31"/>
  <c r="O324" i="31"/>
  <c r="O326" i="31"/>
  <c r="Y327" i="31"/>
  <c r="AA325" i="31"/>
  <c r="AA328" i="31"/>
  <c r="U326" i="31"/>
  <c r="X324" i="31"/>
  <c r="V328" i="31"/>
  <c r="Y323" i="31"/>
  <c r="U327" i="31"/>
  <c r="X326" i="31"/>
  <c r="Z324" i="31"/>
  <c r="V326" i="31"/>
  <c r="S323" i="31"/>
  <c r="Z323" i="31"/>
  <c r="O323" i="31"/>
  <c r="V325" i="31"/>
  <c r="S327" i="31"/>
  <c r="S324" i="31"/>
  <c r="W327" i="31"/>
  <c r="Z326" i="31"/>
  <c r="O325" i="31"/>
  <c r="O327" i="31"/>
  <c r="V323" i="31"/>
  <c r="X327" i="31"/>
  <c r="Z327" i="31"/>
  <c r="V324" i="31"/>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N326" i="31"/>
  <c r="N324" i="31"/>
  <c r="W328" i="31"/>
  <c r="W325" i="31"/>
  <c r="P327" i="31"/>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N325" i="31"/>
  <c r="X323" i="31"/>
  <c r="X325" i="31"/>
  <c r="W324" i="31"/>
  <c r="P324" i="31"/>
  <c r="P328" i="31"/>
  <c r="Y326" i="31"/>
  <c r="Y328" i="31"/>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N328" i="31"/>
  <c r="W323" i="31"/>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S301" i="31"/>
  <c r="S302" i="31"/>
  <c r="S297" i="31"/>
  <c r="S298" i="31"/>
  <c r="S299" i="31"/>
  <c r="S300" i="31"/>
  <c r="O298" i="31"/>
  <c r="O299" i="31"/>
  <c r="O297" i="31"/>
  <c r="O302" i="31"/>
  <c r="O300" i="31"/>
  <c r="O301" i="31"/>
  <c r="U340" i="31"/>
  <c r="U336" i="31"/>
  <c r="U338" i="31"/>
  <c r="U341" i="31"/>
  <c r="U337" i="31"/>
  <c r="U339" i="31"/>
  <c r="S341" i="31"/>
  <c r="S337" i="31"/>
  <c r="S339" i="31"/>
  <c r="S338" i="31"/>
  <c r="S340" i="31"/>
  <c r="S336" i="31"/>
  <c r="Q299" i="31"/>
  <c r="Q300" i="31"/>
  <c r="Q297" i="31"/>
  <c r="Q302" i="31"/>
  <c r="Q298" i="31"/>
  <c r="Q301" i="31"/>
  <c r="P341" i="31"/>
  <c r="P337" i="31"/>
  <c r="P339" i="31"/>
  <c r="P336" i="31"/>
  <c r="P340" i="31"/>
  <c r="P338" i="31"/>
  <c r="W340" i="31"/>
  <c r="W341" i="31"/>
  <c r="W339" i="31"/>
  <c r="W337" i="31"/>
  <c r="W336" i="31"/>
  <c r="W338" i="31"/>
  <c r="O338" i="31"/>
  <c r="O340" i="31"/>
  <c r="O337" i="31"/>
  <c r="O336" i="31"/>
  <c r="O339" i="31"/>
  <c r="O341" i="31"/>
  <c r="U299" i="31"/>
  <c r="U301" i="31"/>
  <c r="U302" i="31"/>
  <c r="U300" i="31"/>
  <c r="U297" i="31"/>
  <c r="U298" i="31"/>
  <c r="Y302" i="31"/>
  <c r="Y298" i="31"/>
  <c r="Y297" i="31"/>
  <c r="Y299" i="31"/>
  <c r="Y301" i="31"/>
  <c r="Y300" i="31"/>
  <c r="V340" i="31"/>
  <c r="V336" i="31"/>
  <c r="V338" i="31"/>
  <c r="V341" i="31"/>
  <c r="V337" i="31"/>
  <c r="V339" i="31"/>
  <c r="N297" i="31"/>
  <c r="N302" i="31"/>
  <c r="N299" i="31"/>
  <c r="N298" i="31"/>
  <c r="N301" i="31"/>
  <c r="N300" i="31"/>
  <c r="T302" i="31"/>
  <c r="T298" i="31"/>
  <c r="T299" i="31"/>
  <c r="T301" i="31"/>
  <c r="T300" i="31"/>
  <c r="T297" i="31"/>
  <c r="Z297" i="31"/>
  <c r="Z299" i="31"/>
  <c r="Z300" i="31"/>
  <c r="Z302" i="31"/>
  <c r="Z298" i="31"/>
  <c r="Z301" i="31"/>
  <c r="X300" i="31"/>
  <c r="X297" i="31"/>
  <c r="X301" i="31"/>
  <c r="X299" i="31"/>
  <c r="X302" i="31"/>
  <c r="X298" i="31"/>
  <c r="AA300" i="31"/>
  <c r="AA298" i="31"/>
  <c r="AA297" i="31"/>
  <c r="AA299" i="31"/>
  <c r="AA302" i="31"/>
  <c r="AA301" i="31"/>
  <c r="AB297" i="31"/>
  <c r="AB299" i="31"/>
  <c r="AB300" i="31"/>
  <c r="AB301" i="31"/>
  <c r="AB298" i="31"/>
  <c r="AB302" i="31"/>
  <c r="Q337" i="31"/>
  <c r="Q339" i="31"/>
  <c r="Q336" i="31"/>
  <c r="Q340" i="31"/>
  <c r="Q338" i="31"/>
  <c r="Q341" i="31"/>
  <c r="P299" i="31"/>
  <c r="P302" i="31"/>
  <c r="P298" i="31"/>
  <c r="P301" i="31"/>
  <c r="P300" i="31"/>
  <c r="P297" i="31"/>
  <c r="W302" i="31"/>
  <c r="W298" i="31"/>
  <c r="W299" i="31"/>
  <c r="W301" i="31"/>
  <c r="W300" i="31"/>
  <c r="W297" i="31"/>
  <c r="Y336" i="31"/>
  <c r="Y339" i="31"/>
  <c r="Y338" i="31"/>
  <c r="Y340" i="31"/>
  <c r="Y341" i="31"/>
  <c r="Y337" i="31"/>
  <c r="V299" i="31"/>
  <c r="V297" i="31"/>
  <c r="V302" i="31"/>
  <c r="V298" i="31"/>
  <c r="V300" i="31"/>
  <c r="V301" i="31"/>
  <c r="N341" i="31"/>
  <c r="N336" i="31"/>
  <c r="N337" i="31"/>
  <c r="N340" i="31"/>
  <c r="N338" i="31"/>
  <c r="N339" i="31"/>
  <c r="T339" i="31"/>
  <c r="T337" i="31"/>
  <c r="T336" i="31"/>
  <c r="T341" i="31"/>
  <c r="T340" i="31"/>
  <c r="T338" i="31"/>
  <c r="Z341" i="31"/>
  <c r="Z339" i="31"/>
  <c r="Z338" i="31"/>
  <c r="Z337" i="31"/>
  <c r="Z340" i="31"/>
  <c r="Z336" i="31"/>
  <c r="X340" i="31"/>
  <c r="X337" i="31"/>
  <c r="X336" i="31"/>
  <c r="X338" i="31"/>
  <c r="X339" i="31"/>
  <c r="X341" i="31"/>
  <c r="AA341" i="31"/>
  <c r="AA338" i="31"/>
  <c r="AA336" i="31"/>
  <c r="AA340" i="31"/>
  <c r="AA339" i="31"/>
  <c r="AA337" i="31"/>
  <c r="AB340" i="31"/>
  <c r="AB336" i="31"/>
  <c r="AB338" i="31"/>
  <c r="AB337" i="31"/>
  <c r="AB339" i="31"/>
  <c r="AB341" i="31"/>
  <c r="AX213" i="31" l="1"/>
  <c r="AX214" i="31"/>
  <c r="AB256" i="29"/>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AD303" i="31"/>
  <c r="Z310" i="31" s="1"/>
  <c r="I310" i="31"/>
  <c r="I309" i="31"/>
  <c r="B303" i="31"/>
  <c r="B304" i="31" s="1"/>
  <c r="B305" i="31" s="1"/>
  <c r="B306" i="31" s="1"/>
  <c r="B307" i="31" s="1"/>
  <c r="B308" i="31" s="1"/>
  <c r="B309" i="31" s="1"/>
  <c r="B310" i="31" s="1"/>
  <c r="B311" i="31" s="1"/>
  <c r="B312" i="31" s="1"/>
  <c r="B313" i="31" s="1"/>
  <c r="B314" i="31" s="1"/>
  <c r="AD277" i="31"/>
  <c r="N285" i="31" s="1"/>
  <c r="I285" i="31"/>
  <c r="I284" i="31"/>
  <c r="B277" i="31"/>
  <c r="B278" i="31" s="1"/>
  <c r="AD264" i="31"/>
  <c r="P272" i="31" s="1"/>
  <c r="I272" i="31"/>
  <c r="I271" i="31"/>
  <c r="B264" i="31"/>
  <c r="B265" i="31" s="1"/>
  <c r="B266" i="31" s="1"/>
  <c r="B267" i="31" s="1"/>
  <c r="B268" i="31" s="1"/>
  <c r="B269" i="31" s="1"/>
  <c r="B270" i="31" s="1"/>
  <c r="B271" i="31" s="1"/>
  <c r="B272" i="31" s="1"/>
  <c r="B273" i="31" s="1"/>
  <c r="B274" i="31" s="1"/>
  <c r="B275" i="31" s="1"/>
  <c r="B276" i="31" s="1"/>
  <c r="AD251" i="31"/>
  <c r="Y258" i="31" s="1"/>
  <c r="I259" i="31"/>
  <c r="I258" i="31"/>
  <c r="B251" i="31"/>
  <c r="B252" i="31" s="1"/>
  <c r="AD239" i="31"/>
  <c r="I246" i="31"/>
  <c r="I245" i="31"/>
  <c r="B239" i="31"/>
  <c r="AD227" i="31"/>
  <c r="AD228" i="31" s="1"/>
  <c r="I234" i="31"/>
  <c r="I233" i="31"/>
  <c r="B227" i="31"/>
  <c r="B228" i="31" s="1"/>
  <c r="B229" i="31" s="1"/>
  <c r="B230" i="31" s="1"/>
  <c r="B231" i="31" s="1"/>
  <c r="B232" i="31" s="1"/>
  <c r="B233" i="31" s="1"/>
  <c r="B234" i="31" s="1"/>
  <c r="B235" i="31" s="1"/>
  <c r="B236" i="31" s="1"/>
  <c r="B237" i="31" s="1"/>
  <c r="B238" i="31" s="1"/>
  <c r="AD213" i="31"/>
  <c r="V225" i="31" s="1"/>
  <c r="I222" i="31"/>
  <c r="I221" i="31"/>
  <c r="B213" i="31"/>
  <c r="B214" i="31" s="1"/>
  <c r="AD198" i="31"/>
  <c r="E29" i="36"/>
  <c r="N21" i="31" s="1"/>
  <c r="E35" i="36"/>
  <c r="N21" i="29" s="1"/>
  <c r="B279" i="31" l="1"/>
  <c r="B280" i="31" s="1"/>
  <c r="B281" i="31" s="1"/>
  <c r="B282" i="31" s="1"/>
  <c r="B283" i="31" s="1"/>
  <c r="B284" i="31" s="1"/>
  <c r="B285" i="31" s="1"/>
  <c r="B286" i="31" s="1"/>
  <c r="B287" i="31" s="1"/>
  <c r="B288" i="31" s="1"/>
  <c r="B289" i="31" s="1"/>
  <c r="B216" i="31"/>
  <c r="B217" i="31" s="1"/>
  <c r="B218" i="31" s="1"/>
  <c r="B219" i="31" s="1"/>
  <c r="B220" i="31" s="1"/>
  <c r="B221" i="31" s="1"/>
  <c r="B222" i="31" s="1"/>
  <c r="B223" i="31" s="1"/>
  <c r="B224" i="31" s="1"/>
  <c r="B225" i="31" s="1"/>
  <c r="B226" i="31" s="1"/>
  <c r="B215" i="31"/>
  <c r="AX200" i="31"/>
  <c r="B253" i="31"/>
  <c r="B254" i="31" s="1"/>
  <c r="B255" i="31" s="1"/>
  <c r="B256" i="31" s="1"/>
  <c r="B257" i="31" s="1"/>
  <c r="B258" i="31" s="1"/>
  <c r="B259" i="31" s="1"/>
  <c r="B260" i="31" s="1"/>
  <c r="B261" i="31" s="1"/>
  <c r="B262" i="31" s="1"/>
  <c r="B263" i="31" s="1"/>
  <c r="B240" i="31"/>
  <c r="B241" i="31" s="1"/>
  <c r="B242" i="31" s="1"/>
  <c r="B243" i="31" s="1"/>
  <c r="B244" i="31" s="1"/>
  <c r="B245" i="31" s="1"/>
  <c r="B246" i="31" s="1"/>
  <c r="B247" i="31" s="1"/>
  <c r="B248" i="31" s="1"/>
  <c r="B249" i="31" s="1"/>
  <c r="B250" i="31" s="1"/>
  <c r="N44" i="29"/>
  <c r="AF46" i="29" s="1"/>
  <c r="T313" i="31"/>
  <c r="Y313" i="31"/>
  <c r="O314" i="31"/>
  <c r="AA314" i="31"/>
  <c r="S314" i="31"/>
  <c r="N314" i="31"/>
  <c r="W314" i="31"/>
  <c r="N24" i="29"/>
  <c r="X223" i="31"/>
  <c r="AD214" i="31"/>
  <c r="P263" i="31"/>
  <c r="U258" i="31"/>
  <c r="AA263" i="31"/>
  <c r="Q263" i="31"/>
  <c r="AB263" i="31"/>
  <c r="V237" i="31"/>
  <c r="Y233" i="31"/>
  <c r="N258" i="31"/>
  <c r="S259" i="31"/>
  <c r="X263" i="31"/>
  <c r="Q311" i="31"/>
  <c r="X313" i="31"/>
  <c r="AA225" i="31"/>
  <c r="S233" i="31"/>
  <c r="W262" i="31"/>
  <c r="AD252" i="31"/>
  <c r="X234" i="31"/>
  <c r="O259" i="31"/>
  <c r="T263" i="31"/>
  <c r="Y247" i="31"/>
  <c r="Q226" i="31"/>
  <c r="Y226" i="31"/>
  <c r="AB224" i="31"/>
  <c r="U249" i="31"/>
  <c r="Q249" i="31"/>
  <c r="U226" i="31"/>
  <c r="Z225" i="31"/>
  <c r="Q222" i="31"/>
  <c r="X226" i="31"/>
  <c r="O250" i="31"/>
  <c r="W250" i="31"/>
  <c r="AB313" i="31"/>
  <c r="AD304" i="31"/>
  <c r="N221" i="31"/>
  <c r="P225" i="31"/>
  <c r="W221" i="31"/>
  <c r="N223" i="31"/>
  <c r="S250" i="31"/>
  <c r="AA250" i="31"/>
  <c r="P313" i="31"/>
  <c r="V314" i="31"/>
  <c r="P273" i="31"/>
  <c r="T276" i="31"/>
  <c r="X273" i="31"/>
  <c r="AB275" i="31"/>
  <c r="Q271" i="31"/>
  <c r="U274" i="31"/>
  <c r="Y273" i="31"/>
  <c r="N225" i="31"/>
  <c r="S226" i="31"/>
  <c r="X222" i="31"/>
  <c r="AB222" i="31"/>
  <c r="V222" i="31"/>
  <c r="N237" i="31"/>
  <c r="Z237" i="31"/>
  <c r="N245" i="31"/>
  <c r="V245" i="31"/>
  <c r="Z245" i="31"/>
  <c r="N275" i="31"/>
  <c r="V271" i="31"/>
  <c r="Z271" i="31"/>
  <c r="AD265" i="31"/>
  <c r="P276" i="31"/>
  <c r="X221" i="31"/>
  <c r="N226" i="31"/>
  <c r="O272" i="31"/>
  <c r="S271" i="31"/>
  <c r="W276" i="31"/>
  <c r="AA271" i="31"/>
  <c r="U245" i="31"/>
  <c r="S262" i="31"/>
  <c r="Y245" i="31"/>
  <c r="N273" i="31"/>
  <c r="O245" i="31"/>
  <c r="O246" i="31"/>
  <c r="Y250" i="31"/>
  <c r="T261" i="31"/>
  <c r="W263" i="31"/>
  <c r="O248" i="31"/>
  <c r="Y259" i="31"/>
  <c r="U247" i="31"/>
  <c r="W248" i="31"/>
  <c r="U250" i="31"/>
  <c r="T258" i="31"/>
  <c r="P261" i="31"/>
  <c r="X272" i="31"/>
  <c r="T275" i="31"/>
  <c r="X276" i="31"/>
  <c r="N247" i="31"/>
  <c r="Z247" i="31"/>
  <c r="S245" i="31"/>
  <c r="AA245" i="31"/>
  <c r="AA246" i="31"/>
  <c r="AA248" i="31"/>
  <c r="W249" i="31"/>
  <c r="Z250" i="31"/>
  <c r="AA260" i="31"/>
  <c r="T271" i="31"/>
  <c r="AB271" i="31"/>
  <c r="T272" i="31"/>
  <c r="AA272" i="31"/>
  <c r="W273" i="31"/>
  <c r="X274" i="31"/>
  <c r="Y221" i="31"/>
  <c r="S246" i="31"/>
  <c r="V247" i="31"/>
  <c r="S248" i="31"/>
  <c r="S249" i="31"/>
  <c r="Z249" i="31"/>
  <c r="AA261" i="31"/>
  <c r="U272" i="31"/>
  <c r="AB272" i="31"/>
  <c r="O273" i="31"/>
  <c r="S274" i="31"/>
  <c r="AA274" i="31"/>
  <c r="O275" i="31"/>
  <c r="AA275" i="31"/>
  <c r="S276" i="31"/>
  <c r="Q309" i="31"/>
  <c r="X309" i="31"/>
  <c r="O310" i="31"/>
  <c r="T310" i="31"/>
  <c r="AA310" i="31"/>
  <c r="N311" i="31"/>
  <c r="V311" i="31"/>
  <c r="T312" i="31"/>
  <c r="AA312" i="31"/>
  <c r="Z313" i="31"/>
  <c r="T314" i="31"/>
  <c r="S221" i="31"/>
  <c r="Z246" i="31"/>
  <c r="V249" i="31"/>
  <c r="S273" i="31"/>
  <c r="W274" i="31"/>
  <c r="N250" i="31"/>
  <c r="P274" i="31"/>
  <c r="X275" i="31"/>
  <c r="AA276" i="31"/>
  <c r="Q224" i="31"/>
  <c r="S223" i="31"/>
  <c r="V224" i="31"/>
  <c r="U225" i="31"/>
  <c r="W245" i="31"/>
  <c r="N246" i="31"/>
  <c r="W246" i="31"/>
  <c r="N248" i="31"/>
  <c r="V248" i="31"/>
  <c r="O249" i="31"/>
  <c r="AA249" i="31"/>
  <c r="V250" i="31"/>
  <c r="X259" i="31"/>
  <c r="Q260" i="31"/>
  <c r="P271" i="31"/>
  <c r="X271" i="31"/>
  <c r="W272" i="31"/>
  <c r="AB276" i="31"/>
  <c r="AB274" i="31"/>
  <c r="P275" i="31"/>
  <c r="S309" i="31"/>
  <c r="AA309" i="31"/>
  <c r="P310" i="31"/>
  <c r="V310" i="31"/>
  <c r="AB310" i="31"/>
  <c r="X311" i="31"/>
  <c r="O312" i="31"/>
  <c r="V312" i="31"/>
  <c r="S313" i="31"/>
  <c r="AA313" i="31"/>
  <c r="T309" i="31"/>
  <c r="AB309" i="31"/>
  <c r="W310" i="31"/>
  <c r="AB311" i="31"/>
  <c r="P312" i="31"/>
  <c r="W312" i="31"/>
  <c r="N313" i="31"/>
  <c r="W313" i="31"/>
  <c r="X314" i="31"/>
  <c r="O309" i="31"/>
  <c r="W309" i="31"/>
  <c r="S310" i="31"/>
  <c r="T311" i="31"/>
  <c r="S312" i="31"/>
  <c r="X312" i="31"/>
  <c r="O313" i="31"/>
  <c r="AB314" i="31"/>
  <c r="N233" i="31"/>
  <c r="O235" i="31"/>
  <c r="T235" i="31"/>
  <c r="Z235" i="31"/>
  <c r="X236" i="31"/>
  <c r="Q237" i="31"/>
  <c r="W237" i="31"/>
  <c r="AB237" i="31"/>
  <c r="O238" i="31"/>
  <c r="T238" i="31"/>
  <c r="Z238" i="31"/>
  <c r="P249" i="31"/>
  <c r="P246" i="31"/>
  <c r="T249" i="31"/>
  <c r="T248" i="31"/>
  <c r="T246" i="31"/>
  <c r="X249" i="31"/>
  <c r="X250" i="31"/>
  <c r="X247" i="31"/>
  <c r="X245" i="31"/>
  <c r="X248" i="31"/>
  <c r="AB249" i="31"/>
  <c r="AB250" i="31"/>
  <c r="AB247" i="31"/>
  <c r="AB245" i="31"/>
  <c r="X246" i="31"/>
  <c r="T247" i="31"/>
  <c r="AB248" i="31"/>
  <c r="O287" i="31"/>
  <c r="O285" i="31"/>
  <c r="O288" i="31"/>
  <c r="S287" i="31"/>
  <c r="S285" i="31"/>
  <c r="S288" i="31"/>
  <c r="S286" i="31"/>
  <c r="S289" i="31"/>
  <c r="S284" i="31"/>
  <c r="W287" i="31"/>
  <c r="W285" i="31"/>
  <c r="W289" i="31"/>
  <c r="W286" i="31"/>
  <c r="AA287" i="31"/>
  <c r="AA285" i="31"/>
  <c r="AA284" i="31"/>
  <c r="AA289" i="31"/>
  <c r="AA288" i="31"/>
  <c r="AD278" i="31"/>
  <c r="Y288" i="31"/>
  <c r="U287" i="31"/>
  <c r="U285" i="31"/>
  <c r="Q284" i="31"/>
  <c r="T289" i="31"/>
  <c r="Y285" i="31"/>
  <c r="U284" i="31"/>
  <c r="Z289" i="31"/>
  <c r="X288" i="31"/>
  <c r="Q288" i="31"/>
  <c r="AB287" i="31"/>
  <c r="T287" i="31"/>
  <c r="X286" i="31"/>
  <c r="P286" i="31"/>
  <c r="X285" i="31"/>
  <c r="Q285" i="31"/>
  <c r="Z284" i="31"/>
  <c r="T286" i="31"/>
  <c r="Y287" i="31"/>
  <c r="W288" i="31"/>
  <c r="O289" i="31"/>
  <c r="O223" i="31"/>
  <c r="T223" i="31"/>
  <c r="Z223" i="31"/>
  <c r="X224" i="31"/>
  <c r="Q225" i="31"/>
  <c r="W225" i="31"/>
  <c r="AB225" i="31"/>
  <c r="O226" i="31"/>
  <c r="T226" i="31"/>
  <c r="Z226" i="31"/>
  <c r="O236" i="31"/>
  <c r="O234" i="31"/>
  <c r="S236" i="31"/>
  <c r="S234" i="31"/>
  <c r="W236" i="31"/>
  <c r="W234" i="31"/>
  <c r="AA236" i="31"/>
  <c r="AA234" i="31"/>
  <c r="O233" i="31"/>
  <c r="U233" i="31"/>
  <c r="Z233" i="31"/>
  <c r="N234" i="31"/>
  <c r="T234" i="31"/>
  <c r="Y234" i="31"/>
  <c r="P235" i="31"/>
  <c r="V235" i="31"/>
  <c r="AA235" i="31"/>
  <c r="N236" i="31"/>
  <c r="T236" i="31"/>
  <c r="Y236" i="31"/>
  <c r="S237" i="31"/>
  <c r="X237" i="31"/>
  <c r="P238" i="31"/>
  <c r="V238" i="31"/>
  <c r="AA238" i="31"/>
  <c r="T245" i="31"/>
  <c r="P250" i="31"/>
  <c r="W284" i="31"/>
  <c r="T285" i="31"/>
  <c r="V286" i="31"/>
  <c r="Q287" i="31"/>
  <c r="AB288" i="31"/>
  <c r="P289" i="31"/>
  <c r="O224" i="31"/>
  <c r="O222" i="31"/>
  <c r="S224" i="31"/>
  <c r="S222" i="31"/>
  <c r="W224" i="31"/>
  <c r="W222" i="31"/>
  <c r="AA224" i="31"/>
  <c r="AA222" i="31"/>
  <c r="O221" i="31"/>
  <c r="U221" i="31"/>
  <c r="Z221" i="31"/>
  <c r="N222" i="31"/>
  <c r="T222" i="31"/>
  <c r="Y222" i="31"/>
  <c r="P223" i="31"/>
  <c r="V223" i="31"/>
  <c r="AA223" i="31"/>
  <c r="N224" i="31"/>
  <c r="T224" i="31"/>
  <c r="Y224" i="31"/>
  <c r="S225" i="31"/>
  <c r="X225" i="31"/>
  <c r="P226" i="31"/>
  <c r="V226" i="31"/>
  <c r="AA226" i="31"/>
  <c r="P233" i="31"/>
  <c r="T233" i="31"/>
  <c r="X233" i="31"/>
  <c r="AB233" i="31"/>
  <c r="Q233" i="31"/>
  <c r="V233" i="31"/>
  <c r="AA233" i="31"/>
  <c r="P234" i="31"/>
  <c r="U234" i="31"/>
  <c r="Z234" i="31"/>
  <c r="W235" i="31"/>
  <c r="AB235" i="31"/>
  <c r="P236" i="31"/>
  <c r="U236" i="31"/>
  <c r="Z236" i="31"/>
  <c r="O237" i="31"/>
  <c r="T237" i="31"/>
  <c r="Y237" i="31"/>
  <c r="W238" i="31"/>
  <c r="AB238" i="31"/>
  <c r="P248" i="31"/>
  <c r="T250" i="31"/>
  <c r="P262" i="31"/>
  <c r="X261" i="31"/>
  <c r="AB259" i="31"/>
  <c r="X258" i="31"/>
  <c r="N263" i="31"/>
  <c r="Z262" i="31"/>
  <c r="T262" i="31"/>
  <c r="AB261" i="31"/>
  <c r="N260" i="31"/>
  <c r="P259" i="31"/>
  <c r="AB258" i="31"/>
  <c r="V258" i="31"/>
  <c r="V260" i="31"/>
  <c r="U261" i="31"/>
  <c r="N262" i="31"/>
  <c r="X262" i="31"/>
  <c r="Q276" i="31"/>
  <c r="Q275" i="31"/>
  <c r="Q273" i="31"/>
  <c r="Q272" i="31"/>
  <c r="U276" i="31"/>
  <c r="U273" i="31"/>
  <c r="Y276" i="31"/>
  <c r="Y275" i="31"/>
  <c r="Y274" i="31"/>
  <c r="Y271" i="31"/>
  <c r="Q274" i="31"/>
  <c r="U275" i="31"/>
  <c r="Y284" i="31"/>
  <c r="V285" i="31"/>
  <c r="N286" i="31"/>
  <c r="AA286" i="31"/>
  <c r="P288" i="31"/>
  <c r="V289" i="31"/>
  <c r="P221" i="31"/>
  <c r="T221" i="31"/>
  <c r="AB221" i="31"/>
  <c r="Q221" i="31"/>
  <c r="V221" i="31"/>
  <c r="AA221" i="31"/>
  <c r="P222" i="31"/>
  <c r="U222" i="31"/>
  <c r="Z222" i="31"/>
  <c r="W223" i="31"/>
  <c r="AB223" i="31"/>
  <c r="P224" i="31"/>
  <c r="U224" i="31"/>
  <c r="Z224" i="31"/>
  <c r="O225" i="31"/>
  <c r="T225" i="31"/>
  <c r="Y225" i="31"/>
  <c r="W226" i="31"/>
  <c r="AB226" i="31"/>
  <c r="Q238" i="31"/>
  <c r="U238" i="31"/>
  <c r="Y238" i="31"/>
  <c r="W233" i="31"/>
  <c r="Q234" i="31"/>
  <c r="V234" i="31"/>
  <c r="AB234" i="31"/>
  <c r="N235" i="31"/>
  <c r="S235" i="31"/>
  <c r="X235" i="31"/>
  <c r="Q236" i="31"/>
  <c r="V236" i="31"/>
  <c r="AB236" i="31"/>
  <c r="P237" i="31"/>
  <c r="U237" i="31"/>
  <c r="AA237" i="31"/>
  <c r="N238" i="31"/>
  <c r="S238" i="31"/>
  <c r="X238" i="31"/>
  <c r="P245" i="31"/>
  <c r="AB246" i="31"/>
  <c r="P247" i="31"/>
  <c r="O258" i="31"/>
  <c r="O263" i="31"/>
  <c r="O260" i="31"/>
  <c r="O262" i="31"/>
  <c r="S258" i="31"/>
  <c r="S261" i="31"/>
  <c r="S263" i="31"/>
  <c r="S260" i="31"/>
  <c r="W258" i="31"/>
  <c r="W259" i="31"/>
  <c r="W261" i="31"/>
  <c r="AA258" i="31"/>
  <c r="AA262" i="31"/>
  <c r="AA259" i="31"/>
  <c r="P258" i="31"/>
  <c r="Z258" i="31"/>
  <c r="T259" i="31"/>
  <c r="W260" i="31"/>
  <c r="O261" i="31"/>
  <c r="Y261" i="31"/>
  <c r="AB262" i="31"/>
  <c r="V263" i="31"/>
  <c r="U271" i="31"/>
  <c r="Y272" i="31"/>
  <c r="O284" i="31"/>
  <c r="AB285" i="31"/>
  <c r="O286" i="31"/>
  <c r="X287" i="31"/>
  <c r="U288" i="31"/>
  <c r="X289" i="31"/>
  <c r="Q248" i="31"/>
  <c r="Q246" i="31"/>
  <c r="U248" i="31"/>
  <c r="U246" i="31"/>
  <c r="Y248" i="31"/>
  <c r="Y246" i="31"/>
  <c r="Q245" i="31"/>
  <c r="Q247" i="31"/>
  <c r="Q250" i="31"/>
  <c r="Q262" i="31"/>
  <c r="U262" i="31"/>
  <c r="Y262" i="31"/>
  <c r="Q258" i="31"/>
  <c r="U259" i="31"/>
  <c r="Y260" i="31"/>
  <c r="Q261" i="31"/>
  <c r="Y263" i="31"/>
  <c r="N274" i="31"/>
  <c r="N272" i="31"/>
  <c r="V275" i="31"/>
  <c r="V274" i="31"/>
  <c r="V272" i="31"/>
  <c r="Z275" i="31"/>
  <c r="Z276" i="31"/>
  <c r="Z274" i="31"/>
  <c r="Z272" i="31"/>
  <c r="Z273" i="31"/>
  <c r="Q289" i="31"/>
  <c r="U289" i="31"/>
  <c r="Y289" i="31"/>
  <c r="Q312" i="31"/>
  <c r="Q310" i="31"/>
  <c r="Q313" i="31"/>
  <c r="U312" i="31"/>
  <c r="U310" i="31"/>
  <c r="U314" i="31"/>
  <c r="U311" i="31"/>
  <c r="U309" i="31"/>
  <c r="Y312" i="31"/>
  <c r="Y310" i="31"/>
  <c r="Y309" i="31"/>
  <c r="Y311" i="31"/>
  <c r="U313" i="31"/>
  <c r="Q314" i="31"/>
  <c r="Q223" i="31"/>
  <c r="U223" i="31"/>
  <c r="Y223" i="31"/>
  <c r="Q235" i="31"/>
  <c r="U235" i="31"/>
  <c r="Y235" i="31"/>
  <c r="V246" i="31"/>
  <c r="Z248" i="31"/>
  <c r="N249" i="31"/>
  <c r="Y249" i="31"/>
  <c r="N261" i="31"/>
  <c r="N259" i="31"/>
  <c r="V261" i="31"/>
  <c r="V259" i="31"/>
  <c r="Z261" i="31"/>
  <c r="Z259" i="31"/>
  <c r="Q259" i="31"/>
  <c r="U260" i="31"/>
  <c r="Z260" i="31"/>
  <c r="V262" i="31"/>
  <c r="U263" i="31"/>
  <c r="Z263" i="31"/>
  <c r="O276" i="31"/>
  <c r="O271" i="31"/>
  <c r="W275" i="31"/>
  <c r="W271" i="31"/>
  <c r="N271" i="31"/>
  <c r="S272" i="31"/>
  <c r="V273" i="31"/>
  <c r="AA273" i="31"/>
  <c r="O274" i="31"/>
  <c r="T274" i="31"/>
  <c r="S275" i="31"/>
  <c r="N276" i="31"/>
  <c r="V276" i="31"/>
  <c r="N288" i="31"/>
  <c r="V288" i="31"/>
  <c r="V284" i="31"/>
  <c r="Z288" i="31"/>
  <c r="Z287" i="31"/>
  <c r="Z285" i="31"/>
  <c r="N284" i="31"/>
  <c r="Z286" i="31"/>
  <c r="N287" i="31"/>
  <c r="V287" i="31"/>
  <c r="N289" i="31"/>
  <c r="N309" i="31"/>
  <c r="N310" i="31"/>
  <c r="V309" i="31"/>
  <c r="V313" i="31"/>
  <c r="Z309" i="31"/>
  <c r="Z314" i="31"/>
  <c r="Z311" i="31"/>
  <c r="N312" i="31"/>
  <c r="Z312" i="31"/>
  <c r="Y314" i="31"/>
  <c r="O247" i="31"/>
  <c r="S247" i="31"/>
  <c r="W247" i="31"/>
  <c r="AA247" i="31"/>
  <c r="P260" i="31"/>
  <c r="T260" i="31"/>
  <c r="X260" i="31"/>
  <c r="AB260" i="31"/>
  <c r="T273" i="31"/>
  <c r="AB273" i="31"/>
  <c r="P284" i="31"/>
  <c r="T284" i="31"/>
  <c r="X284" i="31"/>
  <c r="AB284" i="31"/>
  <c r="P285" i="31"/>
  <c r="AB286" i="31"/>
  <c r="P287" i="31"/>
  <c r="T288" i="31"/>
  <c r="AB289" i="31"/>
  <c r="P309" i="31"/>
  <c r="X310" i="31"/>
  <c r="P311" i="31"/>
  <c r="AB312" i="31"/>
  <c r="P314" i="31"/>
  <c r="Q286" i="31"/>
  <c r="U286" i="31"/>
  <c r="Y286" i="31"/>
  <c r="O311" i="31"/>
  <c r="S311" i="31"/>
  <c r="W311" i="31"/>
  <c r="AA311" i="31"/>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4" i="34" l="1"/>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322" i="31"/>
  <c r="I335" i="31"/>
  <c r="I206" i="31"/>
  <c r="I296"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283" i="31"/>
  <c r="I232" i="31"/>
  <c r="I220" i="31"/>
  <c r="I308" i="31"/>
  <c r="I257" i="31"/>
  <c r="I244" i="31"/>
  <c r="I270" i="31"/>
  <c r="V164" i="45" l="1"/>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U206" i="31"/>
  <c r="U208" i="31" s="1"/>
  <c r="K118" i="35"/>
  <c r="AA206" i="31"/>
  <c r="AA209" i="31" s="1"/>
  <c r="Q118" i="35"/>
  <c r="Q206" i="31"/>
  <c r="Q212" i="31" s="1"/>
  <c r="G118" i="35"/>
  <c r="V206" i="31"/>
  <c r="V211" i="31" s="1"/>
  <c r="L118" i="35"/>
  <c r="P206" i="31"/>
  <c r="P211" i="31" s="1"/>
  <c r="F118" i="35"/>
  <c r="W206" i="31"/>
  <c r="W211" i="31" s="1"/>
  <c r="M118" i="35"/>
  <c r="Y206" i="31"/>
  <c r="Y212" i="31" s="1"/>
  <c r="O118" i="35"/>
  <c r="AB206" i="31"/>
  <c r="AB208" i="31" s="1"/>
  <c r="R118" i="35"/>
  <c r="Z206" i="31"/>
  <c r="Z211" i="31" s="1"/>
  <c r="P118" i="35"/>
  <c r="T206" i="31"/>
  <c r="T211" i="31" s="1"/>
  <c r="J118" i="35"/>
  <c r="S206" i="31"/>
  <c r="S211" i="31" s="1"/>
  <c r="I118" i="35"/>
  <c r="X206" i="31"/>
  <c r="X208" i="31" s="1"/>
  <c r="N118" i="35"/>
  <c r="O206" i="31"/>
  <c r="O211" i="31" s="1"/>
  <c r="E118" i="35"/>
  <c r="N206" i="31"/>
  <c r="N211" i="31" s="1"/>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Z208" i="31"/>
  <c r="N413" i="29"/>
  <c r="N415" i="29"/>
  <c r="N412" i="29"/>
  <c r="N416" i="29"/>
  <c r="N414" i="29"/>
  <c r="N165" i="25"/>
  <c r="N162" i="25"/>
  <c r="N163" i="25"/>
  <c r="P11" i="29"/>
  <c r="P10" i="29"/>
  <c r="N164" i="25"/>
  <c r="P15" i="29"/>
  <c r="P14" i="29"/>
  <c r="N161" i="25"/>
  <c r="Q10" i="29"/>
  <c r="Q11" i="29"/>
  <c r="W208" i="31"/>
  <c r="S210" i="31"/>
  <c r="U207" i="31"/>
  <c r="V207" i="31"/>
  <c r="V209" i="31"/>
  <c r="Z209" i="31"/>
  <c r="O209" i="31"/>
  <c r="AB211" i="31"/>
  <c r="V208" i="31"/>
  <c r="V210" i="31"/>
  <c r="Z210" i="31"/>
  <c r="Z212" i="31"/>
  <c r="AB209" i="31"/>
  <c r="AB212" i="31"/>
  <c r="AB207" i="31"/>
  <c r="V212" i="31"/>
  <c r="Z207" i="31"/>
  <c r="AB210" i="31"/>
  <c r="N208" i="31"/>
  <c r="U212" i="31"/>
  <c r="S208" i="31"/>
  <c r="U211" i="31"/>
  <c r="S209" i="31"/>
  <c r="T208" i="31"/>
  <c r="Y210" i="31"/>
  <c r="P208" i="31"/>
  <c r="W212" i="31"/>
  <c r="S212" i="31"/>
  <c r="O207" i="31"/>
  <c r="P212" i="31"/>
  <c r="N207" i="31"/>
  <c r="Y207" i="31"/>
  <c r="U210" i="31"/>
  <c r="W210" i="31"/>
  <c r="W207" i="31"/>
  <c r="X211" i="31"/>
  <c r="S207" i="31"/>
  <c r="O208" i="31"/>
  <c r="AA211" i="31"/>
  <c r="U209" i="31"/>
  <c r="W209" i="31"/>
  <c r="T207" i="31"/>
  <c r="Q211" i="31"/>
  <c r="O210" i="31"/>
  <c r="AA208" i="31"/>
  <c r="P207" i="31"/>
  <c r="X212" i="31"/>
  <c r="Q207" i="31"/>
  <c r="AA207" i="31"/>
  <c r="Y209" i="31"/>
  <c r="X209" i="31"/>
  <c r="T210" i="31"/>
  <c r="Q209" i="31"/>
  <c r="N209" i="31"/>
  <c r="AA212" i="31"/>
  <c r="AA210" i="31"/>
  <c r="Y211" i="31"/>
  <c r="Y208" i="31"/>
  <c r="P210" i="31"/>
  <c r="P209" i="31"/>
  <c r="X210" i="31"/>
  <c r="T212" i="31"/>
  <c r="T209" i="31"/>
  <c r="Q208" i="31"/>
  <c r="N212" i="31"/>
  <c r="X207" i="31"/>
  <c r="Q210" i="31"/>
  <c r="N210" i="31"/>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12" i="31"/>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E36" i="36" l="1"/>
  <c r="X36" i="36"/>
  <c r="E34" i="36"/>
  <c r="X34" i="36"/>
  <c r="E18" i="36"/>
  <c r="X18" i="36"/>
  <c r="N333" i="31"/>
  <c r="AF334" i="31" s="1"/>
  <c r="N294" i="31"/>
  <c r="AF295" i="31" s="1"/>
  <c r="N268" i="31"/>
  <c r="AF269" i="31" s="1"/>
  <c r="N255" i="31"/>
  <c r="AF256" i="31" s="1"/>
  <c r="N306" i="31"/>
  <c r="AF307" i="31" s="1"/>
  <c r="N218" i="31"/>
  <c r="AF219" i="31" s="1"/>
  <c r="N320" i="31"/>
  <c r="AF321" i="31" s="1"/>
  <c r="N204" i="31"/>
  <c r="AF205" i="31" s="1"/>
  <c r="N242" i="31"/>
  <c r="AF243" i="31" s="1"/>
  <c r="N281" i="31"/>
  <c r="AF282" i="31" s="1"/>
  <c r="N230" i="31"/>
  <c r="AF231" i="31" s="1"/>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R42" i="38" l="1"/>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AF201" i="31"/>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P305" i="38"/>
  <c r="U41" i="7" s="1"/>
  <c r="L305" i="38"/>
  <c r="Q41" i="7" s="1"/>
  <c r="H305" i="38"/>
  <c r="M41" i="7" s="1"/>
  <c r="S305" i="38"/>
  <c r="N305" i="38"/>
  <c r="S41" i="7" s="1"/>
  <c r="I305" i="38"/>
  <c r="N41" i="7" s="1"/>
  <c r="R305" i="38"/>
  <c r="M305" i="38"/>
  <c r="V305" i="38"/>
  <c r="Q305" i="38"/>
  <c r="K305" i="38"/>
  <c r="U305" i="38"/>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Z41" i="7"/>
  <c r="Y41" i="7"/>
  <c r="R41" i="7"/>
  <c r="AA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4" i="34"/>
  <c r="N294" i="34" s="1"/>
  <c r="O294" i="34" s="1"/>
  <c r="P294" i="34" s="1"/>
  <c r="Q294" i="34" s="1"/>
  <c r="R294" i="34" s="1"/>
  <c r="S294" i="34" s="1"/>
  <c r="T294" i="34" s="1"/>
  <c r="U294" i="34" s="1"/>
  <c r="V294" i="34" s="1"/>
  <c r="W294" i="34" s="1"/>
  <c r="X294" i="34" s="1"/>
  <c r="Y294" i="34" s="1"/>
  <c r="Z294" i="34" s="1"/>
  <c r="B294" i="34"/>
  <c r="B296" i="34" s="1"/>
  <c r="B297" i="34" s="1"/>
  <c r="H293" i="34"/>
  <c r="M290" i="34"/>
  <c r="N290" i="34" s="1"/>
  <c r="O290" i="34" s="1"/>
  <c r="P290" i="34" s="1"/>
  <c r="Q290" i="34" s="1"/>
  <c r="R290" i="34" s="1"/>
  <c r="S290" i="34" s="1"/>
  <c r="T290" i="34" s="1"/>
  <c r="U290" i="34" s="1"/>
  <c r="V290" i="34" s="1"/>
  <c r="W290" i="34" s="1"/>
  <c r="X290" i="34" s="1"/>
  <c r="Y290" i="34" s="1"/>
  <c r="Z290" i="34" s="1"/>
  <c r="C290" i="34"/>
  <c r="B290" i="34" s="1"/>
  <c r="B291"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A27" i="31"/>
  <c r="Z27" i="31"/>
  <c r="Y27" i="31"/>
  <c r="X27" i="31"/>
  <c r="W27" i="31"/>
  <c r="V27" i="31"/>
  <c r="U27" i="31"/>
  <c r="T27" i="31"/>
  <c r="S27" i="31"/>
  <c r="R27" i="31"/>
  <c r="Q27" i="31"/>
  <c r="P27" i="31"/>
  <c r="O27" i="31"/>
  <c r="AF7" i="31"/>
  <c r="I161" i="31" s="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T18" i="5" l="1"/>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16" i="31"/>
  <c r="R363" i="31"/>
  <c r="V316" i="31"/>
  <c r="V363" i="31"/>
  <c r="Z316" i="31"/>
  <c r="Z363" i="31"/>
  <c r="S316" i="31"/>
  <c r="S363" i="31"/>
  <c r="W316" i="31"/>
  <c r="W363" i="31"/>
  <c r="AA316" i="31"/>
  <c r="AA363" i="31"/>
  <c r="P316" i="31"/>
  <c r="P363" i="31"/>
  <c r="T316" i="31"/>
  <c r="T363" i="31"/>
  <c r="X316" i="31"/>
  <c r="X363" i="31"/>
  <c r="AB316" i="31"/>
  <c r="AB363" i="31"/>
  <c r="O316" i="31"/>
  <c r="O363" i="31"/>
  <c r="Q316" i="31"/>
  <c r="Q363" i="31"/>
  <c r="U316" i="31"/>
  <c r="U363" i="31"/>
  <c r="Y316" i="31"/>
  <c r="Y363" i="31"/>
  <c r="R166" i="31"/>
  <c r="R214" i="31"/>
  <c r="R278" i="31"/>
  <c r="V166" i="31"/>
  <c r="V214" i="31"/>
  <c r="V278" i="31"/>
  <c r="Z166" i="31"/>
  <c r="Z214" i="31"/>
  <c r="Z278" i="31"/>
  <c r="O166" i="31"/>
  <c r="O214" i="31"/>
  <c r="O278" i="31"/>
  <c r="S166" i="31"/>
  <c r="S214" i="31"/>
  <c r="S278" i="31"/>
  <c r="W166" i="31"/>
  <c r="W214" i="31"/>
  <c r="W278" i="31"/>
  <c r="AA166" i="31"/>
  <c r="AA214" i="31"/>
  <c r="AA278" i="31"/>
  <c r="P166" i="31"/>
  <c r="P278" i="31"/>
  <c r="P214" i="31"/>
  <c r="T166" i="31"/>
  <c r="T278" i="31"/>
  <c r="T214" i="31"/>
  <c r="X166" i="31"/>
  <c r="X278" i="31"/>
  <c r="X214" i="31"/>
  <c r="AB166" i="31"/>
  <c r="AB278" i="31"/>
  <c r="AB214" i="31"/>
  <c r="Q166" i="31"/>
  <c r="Q214" i="31"/>
  <c r="Q278" i="31"/>
  <c r="U166" i="31"/>
  <c r="U214" i="31"/>
  <c r="U278" i="31"/>
  <c r="Y166" i="31"/>
  <c r="Y214" i="31"/>
  <c r="Y278"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199" i="31"/>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252" i="31"/>
  <c r="P401" i="31"/>
  <c r="P98" i="31"/>
  <c r="T401" i="31"/>
  <c r="T252" i="31"/>
  <c r="T98" i="31"/>
  <c r="X401" i="31"/>
  <c r="X252" i="31"/>
  <c r="X98" i="31"/>
  <c r="AB401" i="31"/>
  <c r="AB252"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252" i="31"/>
  <c r="Q98" i="31"/>
  <c r="U401" i="31"/>
  <c r="U252" i="31"/>
  <c r="U98" i="31"/>
  <c r="Y401" i="31"/>
  <c r="Y252" i="31"/>
  <c r="Y98" i="31"/>
  <c r="B82" i="34"/>
  <c r="B79" i="34"/>
  <c r="B80" i="34" s="1"/>
  <c r="B81" i="34" s="1"/>
  <c r="B112" i="34"/>
  <c r="B109" i="34"/>
  <c r="B110" i="34" s="1"/>
  <c r="B111" i="34" s="1"/>
  <c r="T199" i="31"/>
  <c r="BD199" i="3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252" i="31"/>
  <c r="R98" i="31"/>
  <c r="V401" i="31"/>
  <c r="V252" i="31"/>
  <c r="V98" i="31"/>
  <c r="Z401" i="31"/>
  <c r="Z252"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252" i="31"/>
  <c r="O98" i="31"/>
  <c r="S401" i="31"/>
  <c r="S252" i="31"/>
  <c r="S98" i="31"/>
  <c r="W401" i="31"/>
  <c r="W252" i="31"/>
  <c r="W98" i="31"/>
  <c r="AA401" i="31"/>
  <c r="AA252" i="31"/>
  <c r="AA98" i="31"/>
  <c r="O414" i="31"/>
  <c r="O180" i="31"/>
  <c r="O291" i="31"/>
  <c r="O112" i="31"/>
  <c r="O442" i="31"/>
  <c r="O265" i="31"/>
  <c r="O481" i="31"/>
  <c r="O330"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7" i="34"/>
  <c r="R139" i="34"/>
  <c r="T277" i="34"/>
  <c r="T139" i="34"/>
  <c r="R288"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5" i="34"/>
  <c r="B292" i="34"/>
  <c r="B293"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S320" i="31"/>
  <c r="AK321" i="31" s="1"/>
  <c r="S204" i="31"/>
  <c r="AK205" i="31" s="1"/>
  <c r="S218" i="31"/>
  <c r="AK219" i="31" s="1"/>
  <c r="S281" i="31"/>
  <c r="AK282" i="31" s="1"/>
  <c r="S255" i="31"/>
  <c r="AK256" i="31" s="1"/>
  <c r="S306" i="31"/>
  <c r="AK307" i="31" s="1"/>
  <c r="S268" i="31"/>
  <c r="AK269" i="31" s="1"/>
  <c r="S242" i="31"/>
  <c r="AK243" i="31" s="1"/>
  <c r="S333" i="31"/>
  <c r="AK334" i="31" s="1"/>
  <c r="S294" i="31"/>
  <c r="AK295" i="31" s="1"/>
  <c r="S230" i="31"/>
  <c r="AK231" i="31" s="1"/>
  <c r="T23" i="31"/>
  <c r="T88" i="31" s="1"/>
  <c r="Z14" i="26"/>
  <c r="T320" i="31"/>
  <c r="AL321" i="31" s="1"/>
  <c r="T294" i="31"/>
  <c r="AL295" i="31" s="1"/>
  <c r="T268" i="31"/>
  <c r="AL269" i="31" s="1"/>
  <c r="T242" i="31"/>
  <c r="AL243" i="31" s="1"/>
  <c r="T204" i="31"/>
  <c r="AL205" i="31" s="1"/>
  <c r="T281" i="31"/>
  <c r="AL282" i="31" s="1"/>
  <c r="T255" i="31"/>
  <c r="AL256" i="31" s="1"/>
  <c r="T230" i="31"/>
  <c r="AL231" i="31" s="1"/>
  <c r="T306" i="31"/>
  <c r="AL307" i="31" s="1"/>
  <c r="T333" i="31"/>
  <c r="AL334" i="31" s="1"/>
  <c r="T218" i="31"/>
  <c r="AL219" i="31" s="1"/>
  <c r="AA320" i="31"/>
  <c r="AS321" i="31" s="1"/>
  <c r="AA204" i="31"/>
  <c r="AS205" i="31" s="1"/>
  <c r="AA306" i="31"/>
  <c r="AS307" i="31" s="1"/>
  <c r="AA281" i="31"/>
  <c r="AS282" i="31" s="1"/>
  <c r="AA294" i="31"/>
  <c r="AS295" i="31" s="1"/>
  <c r="AA242" i="31"/>
  <c r="AS243" i="31" s="1"/>
  <c r="AA268" i="31"/>
  <c r="AS269" i="31" s="1"/>
  <c r="AA333" i="31"/>
  <c r="AS334" i="31" s="1"/>
  <c r="AA218" i="31"/>
  <c r="AS219" i="31" s="1"/>
  <c r="AA255" i="31"/>
  <c r="AS256" i="31" s="1"/>
  <c r="AA230" i="31"/>
  <c r="AS231" i="31" s="1"/>
  <c r="R218" i="31"/>
  <c r="R204" i="31"/>
  <c r="R306" i="31"/>
  <c r="R294" i="31"/>
  <c r="R281" i="31"/>
  <c r="R230" i="31"/>
  <c r="R320" i="31"/>
  <c r="R268" i="31"/>
  <c r="R242" i="31"/>
  <c r="R333" i="31"/>
  <c r="R255" i="31"/>
  <c r="R14" i="26"/>
  <c r="R144" i="26" s="1"/>
  <c r="Z23" i="31"/>
  <c r="Z184" i="31" s="1"/>
  <c r="AR185" i="31" s="1"/>
  <c r="Q320" i="31"/>
  <c r="AI321" i="31" s="1"/>
  <c r="Q204" i="31"/>
  <c r="AI205" i="31" s="1"/>
  <c r="Q268" i="31"/>
  <c r="AI269" i="31" s="1"/>
  <c r="Q242" i="31"/>
  <c r="AI243" i="31" s="1"/>
  <c r="Q306" i="31"/>
  <c r="AI307" i="31" s="1"/>
  <c r="Q333" i="31"/>
  <c r="AI334" i="31" s="1"/>
  <c r="Q218" i="31"/>
  <c r="AI219" i="31" s="1"/>
  <c r="Q255" i="31"/>
  <c r="AI256" i="31" s="1"/>
  <c r="Q294" i="31"/>
  <c r="AI295" i="31" s="1"/>
  <c r="Q281" i="31"/>
  <c r="AI282" i="31" s="1"/>
  <c r="Q230" i="31"/>
  <c r="AI231"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I338" i="31"/>
  <c r="I325" i="31"/>
  <c r="I299" i="31"/>
  <c r="U97" i="31"/>
  <c r="N329" i="31"/>
  <c r="N290" i="31"/>
  <c r="N315" i="31"/>
  <c r="Q353" i="31"/>
  <c r="I149" i="31"/>
  <c r="I175" i="31"/>
  <c r="I209"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N303" i="31"/>
  <c r="N251" i="31"/>
  <c r="N227" i="31"/>
  <c r="N264" i="31"/>
  <c r="N239" i="31"/>
  <c r="N277" i="31"/>
  <c r="AB400" i="31"/>
  <c r="I121" i="31"/>
  <c r="I311" i="31"/>
  <c r="I260" i="31"/>
  <c r="I247" i="31"/>
  <c r="I235" i="31"/>
  <c r="I223" i="31"/>
  <c r="I286" i="31"/>
  <c r="I273" i="31"/>
  <c r="T82" i="28"/>
  <c r="P159" i="35"/>
  <c r="AI159" i="35" s="1"/>
  <c r="P105" i="35"/>
  <c r="AI105" i="35" s="1"/>
  <c r="AT500" i="31"/>
  <c r="AB199"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8"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6" i="34"/>
  <c r="M296" i="34" s="1"/>
  <c r="N296" i="34" s="1"/>
  <c r="O296" i="34" s="1"/>
  <c r="P296" i="34" s="1"/>
  <c r="Q296" i="34" s="1"/>
  <c r="R296" i="34" s="1"/>
  <c r="S296" i="34" s="1"/>
  <c r="T296" i="34" s="1"/>
  <c r="U296" i="34" s="1"/>
  <c r="V296" i="34" s="1"/>
  <c r="W296" i="34" s="1"/>
  <c r="X296" i="34" s="1"/>
  <c r="Y296" i="34" s="1"/>
  <c r="Z296" i="34" s="1"/>
  <c r="H54" i="34"/>
  <c r="K4" i="34"/>
  <c r="H108" i="34"/>
  <c r="H292"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I158" i="28" l="1"/>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BC252" i="31"/>
  <c r="BC251" i="31"/>
  <c r="AX183" i="28"/>
  <c r="AX33" i="28"/>
  <c r="AX4" i="28"/>
  <c r="S199" i="31"/>
  <c r="BC500" i="31"/>
  <c r="BC348" i="31"/>
  <c r="BC199" i="31"/>
  <c r="BC44" i="31"/>
  <c r="BC9" i="31"/>
  <c r="S15" i="28"/>
  <c r="BC4" i="28"/>
  <c r="BC183" i="28"/>
  <c r="BC33" i="28"/>
  <c r="W199" i="31"/>
  <c r="BG500" i="31"/>
  <c r="BG348" i="31"/>
  <c r="BG199"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I213" i="31"/>
  <c r="BI214" i="31"/>
  <c r="BG252" i="31"/>
  <c r="BG251" i="31"/>
  <c r="BF252" i="31"/>
  <c r="BF251" i="31"/>
  <c r="BG213" i="31"/>
  <c r="BG214" i="31"/>
  <c r="BC213" i="31"/>
  <c r="BC214" i="31"/>
  <c r="BJ213" i="31"/>
  <c r="BJ214" i="31"/>
  <c r="BL251" i="31"/>
  <c r="BL252" i="31"/>
  <c r="BE72" i="31"/>
  <c r="BE18" i="31" s="1"/>
  <c r="AA199" i="31"/>
  <c r="BK500" i="31"/>
  <c r="BK348" i="31"/>
  <c r="BK199" i="31"/>
  <c r="BK44" i="31"/>
  <c r="BK9" i="31"/>
  <c r="S13" i="26"/>
  <c r="BC30" i="26"/>
  <c r="R33" i="28"/>
  <c r="BB33" i="28"/>
  <c r="BB4" i="28"/>
  <c r="BB183" i="28"/>
  <c r="V33" i="28"/>
  <c r="BF183" i="28"/>
  <c r="BF33" i="28"/>
  <c r="BF4" i="28"/>
  <c r="BF30" i="26"/>
  <c r="BD30" i="26"/>
  <c r="Y199" i="31"/>
  <c r="BI500" i="31"/>
  <c r="BI44" i="31"/>
  <c r="BI9" i="31"/>
  <c r="BI348" i="31"/>
  <c r="BI199" i="31"/>
  <c r="O15" i="28"/>
  <c r="AY183" i="28"/>
  <c r="AY33" i="28"/>
  <c r="AY4" i="28"/>
  <c r="AY30" i="26"/>
  <c r="Z199" i="31"/>
  <c r="BJ9" i="31"/>
  <c r="BJ348" i="31"/>
  <c r="BJ199" i="31"/>
  <c r="BJ44" i="31"/>
  <c r="BJ500" i="31"/>
  <c r="X199" i="31"/>
  <c r="BH199"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BE213" i="31"/>
  <c r="BE214" i="31"/>
  <c r="BK252" i="31"/>
  <c r="BK251" i="31"/>
  <c r="BL213" i="31"/>
  <c r="BL214" i="31"/>
  <c r="AZ214" i="31"/>
  <c r="AZ213" i="31"/>
  <c r="BJ251" i="31"/>
  <c r="BJ252" i="31"/>
  <c r="BA251" i="31"/>
  <c r="BA252" i="31"/>
  <c r="W8" i="28"/>
  <c r="BG183" i="28"/>
  <c r="BG33" i="28"/>
  <c r="BG4" i="28"/>
  <c r="BH30" i="26"/>
  <c r="AA15" i="28"/>
  <c r="BK4" i="28"/>
  <c r="BK183" i="28"/>
  <c r="BK33" i="28"/>
  <c r="P199" i="31"/>
  <c r="AZ199" i="31"/>
  <c r="AZ44" i="31"/>
  <c r="AZ348" i="31"/>
  <c r="AZ9" i="31"/>
  <c r="AZ500" i="31"/>
  <c r="BB30" i="26"/>
  <c r="W379" i="31"/>
  <c r="AO380" i="31" s="1"/>
  <c r="W484" i="31"/>
  <c r="AO485" i="31" s="1"/>
  <c r="W445" i="31"/>
  <c r="W457" i="31"/>
  <c r="W471" i="31"/>
  <c r="AO472" i="31" s="1"/>
  <c r="BA85" i="31"/>
  <c r="BH98" i="31"/>
  <c r="BH213" i="31"/>
  <c r="BH214" i="31"/>
  <c r="BI252" i="31"/>
  <c r="BI251" i="31"/>
  <c r="BF214" i="31"/>
  <c r="BF213" i="31"/>
  <c r="BH252" i="31"/>
  <c r="BH251" i="31"/>
  <c r="BA500" i="31"/>
  <c r="BA44" i="31"/>
  <c r="BA9" i="31"/>
  <c r="BA348" i="31"/>
  <c r="BA199" i="31"/>
  <c r="N199" i="31"/>
  <c r="AX9" i="31"/>
  <c r="AX348" i="31"/>
  <c r="AX44" i="31"/>
  <c r="AX500" i="31"/>
  <c r="AX199"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D213" i="31"/>
  <c r="BD214" i="31"/>
  <c r="BA72" i="31"/>
  <c r="BA18" i="31" s="1"/>
  <c r="U199" i="31"/>
  <c r="BE500" i="31"/>
  <c r="BE199" i="31"/>
  <c r="BE44" i="31"/>
  <c r="BE9" i="31"/>
  <c r="BE348" i="31"/>
  <c r="V199" i="31"/>
  <c r="BF9" i="31"/>
  <c r="BF348" i="31"/>
  <c r="BF199" i="31"/>
  <c r="BF44" i="31"/>
  <c r="BF500" i="31"/>
  <c r="BI30" i="26"/>
  <c r="O199" i="31"/>
  <c r="AY500" i="31"/>
  <c r="AY9" i="31"/>
  <c r="AY348" i="31"/>
  <c r="AY199" i="31"/>
  <c r="AY44" i="31"/>
  <c r="T183" i="28"/>
  <c r="BD183" i="28"/>
  <c r="BD33" i="28"/>
  <c r="BD4" i="28"/>
  <c r="R199" i="31"/>
  <c r="BB9" i="31"/>
  <c r="BB348" i="31"/>
  <c r="BB199"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A213" i="31"/>
  <c r="BA214" i="31"/>
  <c r="AY251" i="31"/>
  <c r="AY252" i="31"/>
  <c r="BK214" i="31"/>
  <c r="BK213" i="31"/>
  <c r="AY213" i="31"/>
  <c r="AY214" i="31"/>
  <c r="BE251" i="31"/>
  <c r="BE252" i="31"/>
  <c r="BD252" i="31"/>
  <c r="BD251" i="31"/>
  <c r="AZ252" i="31"/>
  <c r="AZ251"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7" i="34"/>
  <c r="Q139" i="34"/>
  <c r="Y277" i="34"/>
  <c r="Y139" i="34"/>
  <c r="O277" i="34"/>
  <c r="O139" i="34"/>
  <c r="W277" i="34"/>
  <c r="W139" i="34"/>
  <c r="V277" i="34"/>
  <c r="V139" i="34"/>
  <c r="L277" i="34"/>
  <c r="L139" i="34"/>
  <c r="S277" i="34"/>
  <c r="S139" i="34"/>
  <c r="U277" i="34"/>
  <c r="U139" i="34"/>
  <c r="X277" i="34"/>
  <c r="X139" i="34"/>
  <c r="P277" i="34"/>
  <c r="P139" i="34"/>
  <c r="Z277" i="34"/>
  <c r="Z139" i="34"/>
  <c r="N277" i="34"/>
  <c r="N139" i="34"/>
  <c r="M277" i="34"/>
  <c r="M139" i="34"/>
  <c r="Q288" i="34"/>
  <c r="Q260" i="34"/>
  <c r="AL9" i="34"/>
  <c r="O9" i="34"/>
  <c r="O260" i="34"/>
  <c r="AJ9" i="34"/>
  <c r="W192" i="34"/>
  <c r="W260" i="34"/>
  <c r="AR9" i="34"/>
  <c r="V192" i="34"/>
  <c r="V260" i="34"/>
  <c r="AQ9" i="34"/>
  <c r="L288" i="34"/>
  <c r="L260" i="34"/>
  <c r="AG9" i="34"/>
  <c r="S9" i="34"/>
  <c r="S260" i="34"/>
  <c r="AN9" i="34"/>
  <c r="U192" i="34"/>
  <c r="U260" i="34"/>
  <c r="AP9" i="34"/>
  <c r="X288"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AL201" i="31"/>
  <c r="AI201" i="31"/>
  <c r="AS201" i="31"/>
  <c r="AK201" i="31"/>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Y306" i="31"/>
  <c r="AQ307" i="31" s="1"/>
  <c r="Y333" i="31"/>
  <c r="AQ334" i="31" s="1"/>
  <c r="Y204" i="31"/>
  <c r="AQ205" i="31" s="1"/>
  <c r="Y255" i="31"/>
  <c r="AQ256" i="31" s="1"/>
  <c r="Y242" i="31"/>
  <c r="AQ243" i="31" s="1"/>
  <c r="Y268" i="31"/>
  <c r="AQ269" i="31" s="1"/>
  <c r="Y294" i="31"/>
  <c r="AQ295" i="31" s="1"/>
  <c r="Y281" i="31"/>
  <c r="AQ282" i="31" s="1"/>
  <c r="Y218" i="31"/>
  <c r="AQ219" i="31" s="1"/>
  <c r="Y230" i="31"/>
  <c r="AQ231" i="31" s="1"/>
  <c r="Y320" i="31"/>
  <c r="AQ321" i="31" s="1"/>
  <c r="Z75" i="31"/>
  <c r="AR76" i="31" s="1"/>
  <c r="Z102" i="31"/>
  <c r="AR103" i="31" s="1"/>
  <c r="Z63" i="31"/>
  <c r="AR64" i="31" s="1"/>
  <c r="T156" i="31"/>
  <c r="AL157" i="31" s="1"/>
  <c r="V294" i="31"/>
  <c r="AN295" i="31" s="1"/>
  <c r="V320" i="31"/>
  <c r="AN321" i="31" s="1"/>
  <c r="V218" i="31"/>
  <c r="AN219" i="31" s="1"/>
  <c r="V268" i="31"/>
  <c r="AN269" i="31" s="1"/>
  <c r="V204" i="31"/>
  <c r="AN205" i="31" s="1"/>
  <c r="V242" i="31"/>
  <c r="AN243" i="31" s="1"/>
  <c r="V255" i="31"/>
  <c r="AN256" i="31" s="1"/>
  <c r="V306" i="31"/>
  <c r="AN307" i="31" s="1"/>
  <c r="V230" i="31"/>
  <c r="AN231" i="31" s="1"/>
  <c r="V281" i="31"/>
  <c r="AN282" i="31" s="1"/>
  <c r="V333" i="31"/>
  <c r="AN334" i="31" s="1"/>
  <c r="W218" i="31"/>
  <c r="AO219" i="31" s="1"/>
  <c r="W333" i="31"/>
  <c r="AO334" i="31" s="1"/>
  <c r="W204" i="31"/>
  <c r="AO205" i="31" s="1"/>
  <c r="W306" i="31"/>
  <c r="AO307" i="31" s="1"/>
  <c r="W242" i="31"/>
  <c r="AO243" i="31" s="1"/>
  <c r="W255" i="31"/>
  <c r="AO256" i="31" s="1"/>
  <c r="W281" i="31"/>
  <c r="AO282" i="31" s="1"/>
  <c r="W268" i="31"/>
  <c r="AO269" i="31" s="1"/>
  <c r="W320" i="31"/>
  <c r="AO321" i="31" s="1"/>
  <c r="W294" i="31"/>
  <c r="AO295" i="31" s="1"/>
  <c r="W230" i="31"/>
  <c r="AO231" i="31" s="1"/>
  <c r="Z49" i="31"/>
  <c r="AR50" i="31" s="1"/>
  <c r="Z170" i="31"/>
  <c r="AR171" i="31" s="1"/>
  <c r="T184" i="31"/>
  <c r="AL185" i="31" s="1"/>
  <c r="X23" i="31"/>
  <c r="U333" i="31"/>
  <c r="AM334" i="31" s="1"/>
  <c r="U204" i="31"/>
  <c r="AM205" i="31" s="1"/>
  <c r="U268" i="31"/>
  <c r="AM269" i="31" s="1"/>
  <c r="U242" i="31"/>
  <c r="AM243" i="31" s="1"/>
  <c r="U306" i="31"/>
  <c r="AM307" i="31" s="1"/>
  <c r="U320" i="31"/>
  <c r="AM321" i="31" s="1"/>
  <c r="U281" i="31"/>
  <c r="AM282" i="31" s="1"/>
  <c r="U218" i="31"/>
  <c r="AM219" i="31" s="1"/>
  <c r="U230" i="31"/>
  <c r="AM231" i="31" s="1"/>
  <c r="U255" i="31"/>
  <c r="AM256" i="31" s="1"/>
  <c r="U294" i="31"/>
  <c r="AM295" i="31" s="1"/>
  <c r="U23" i="29"/>
  <c r="U217" i="29" s="1"/>
  <c r="AM218" i="29" s="1"/>
  <c r="T75" i="31"/>
  <c r="AL76" i="31" s="1"/>
  <c r="Z88" i="31"/>
  <c r="AR89" i="31" s="1"/>
  <c r="Z333" i="31"/>
  <c r="AR334" i="31" s="1"/>
  <c r="Z294" i="31"/>
  <c r="AR295" i="31" s="1"/>
  <c r="Z218" i="31"/>
  <c r="AR219" i="31" s="1"/>
  <c r="Z230" i="31"/>
  <c r="AR231" i="31" s="1"/>
  <c r="Z306" i="31"/>
  <c r="AR307" i="31" s="1"/>
  <c r="Z281" i="31"/>
  <c r="AR282" i="31" s="1"/>
  <c r="Z320" i="31"/>
  <c r="AR321" i="31" s="1"/>
  <c r="Z204" i="31"/>
  <c r="AR205" i="31" s="1"/>
  <c r="Z268" i="31"/>
  <c r="AR269" i="31" s="1"/>
  <c r="Z255" i="31"/>
  <c r="AR256" i="31" s="1"/>
  <c r="Z242" i="31"/>
  <c r="AR243" i="31" s="1"/>
  <c r="X333" i="31"/>
  <c r="AP334" i="31" s="1"/>
  <c r="X294" i="31"/>
  <c r="AP295" i="31" s="1"/>
  <c r="X255" i="31"/>
  <c r="AP256" i="31" s="1"/>
  <c r="X268" i="31"/>
  <c r="AP269" i="31" s="1"/>
  <c r="X306" i="31"/>
  <c r="AP307" i="31" s="1"/>
  <c r="X242" i="31"/>
  <c r="AP243" i="31" s="1"/>
  <c r="X320" i="31"/>
  <c r="AP321" i="31" s="1"/>
  <c r="X204" i="31"/>
  <c r="AP205" i="31" s="1"/>
  <c r="X230" i="31"/>
  <c r="AP231" i="31" s="1"/>
  <c r="X218" i="31"/>
  <c r="AP219" i="31" s="1"/>
  <c r="X281" i="31"/>
  <c r="AP282" i="31" s="1"/>
  <c r="T116" i="31"/>
  <c r="T49" i="31"/>
  <c r="AL50" i="31" s="1"/>
  <c r="T130" i="31"/>
  <c r="AL131" i="31" s="1"/>
  <c r="P294" i="31"/>
  <c r="AH295" i="31" s="1"/>
  <c r="P333" i="31"/>
  <c r="AH334" i="31" s="1"/>
  <c r="P218" i="31"/>
  <c r="AH219" i="31" s="1"/>
  <c r="P320" i="31"/>
  <c r="AH321" i="31" s="1"/>
  <c r="P230" i="31"/>
  <c r="AH231" i="31" s="1"/>
  <c r="P255" i="31"/>
  <c r="AH256" i="31" s="1"/>
  <c r="P306" i="31"/>
  <c r="AH307" i="31" s="1"/>
  <c r="P204" i="31"/>
  <c r="AH205" i="31" s="1"/>
  <c r="P242" i="31"/>
  <c r="AH243" i="31" s="1"/>
  <c r="P281" i="31"/>
  <c r="AH282" i="31" s="1"/>
  <c r="P268" i="31"/>
  <c r="AH269" i="31" s="1"/>
  <c r="AA23" i="31"/>
  <c r="AA184" i="31" s="1"/>
  <c r="AS185" i="31" s="1"/>
  <c r="S23" i="31"/>
  <c r="S184" i="31" s="1"/>
  <c r="AK185" i="31" s="1"/>
  <c r="Z144" i="25"/>
  <c r="Z156" i="31"/>
  <c r="AR157" i="31" s="1"/>
  <c r="Z116" i="31"/>
  <c r="T63" i="31"/>
  <c r="AL64" i="31" s="1"/>
  <c r="O320" i="31"/>
  <c r="AG321" i="31" s="1"/>
  <c r="O204" i="31"/>
  <c r="AG205" i="31" s="1"/>
  <c r="O218" i="31"/>
  <c r="AG219" i="31" s="1"/>
  <c r="O281" i="31"/>
  <c r="AG282" i="31" s="1"/>
  <c r="O242" i="31"/>
  <c r="AG243" i="31" s="1"/>
  <c r="O294" i="31"/>
  <c r="AG295" i="31" s="1"/>
  <c r="O333" i="31"/>
  <c r="AG334" i="31" s="1"/>
  <c r="O268" i="31"/>
  <c r="AG269" i="31" s="1"/>
  <c r="O230" i="31"/>
  <c r="AG231" i="31" s="1"/>
  <c r="O306" i="31"/>
  <c r="AG307" i="31" s="1"/>
  <c r="O255" i="31"/>
  <c r="AG256" i="31" s="1"/>
  <c r="AB294" i="31"/>
  <c r="AT295" i="31" s="1"/>
  <c r="AB333" i="31"/>
  <c r="AT334" i="31" s="1"/>
  <c r="AB230" i="31"/>
  <c r="AT231" i="31" s="1"/>
  <c r="AB306" i="31"/>
  <c r="AT307" i="31" s="1"/>
  <c r="AB218" i="31"/>
  <c r="AT219" i="31" s="1"/>
  <c r="AB320" i="31"/>
  <c r="AT321" i="31" s="1"/>
  <c r="AB242" i="31"/>
  <c r="AT243" i="31" s="1"/>
  <c r="AB281" i="31"/>
  <c r="AT282" i="31" s="1"/>
  <c r="AB255" i="31"/>
  <c r="AT256" i="31" s="1"/>
  <c r="AB268" i="31"/>
  <c r="AT269" i="31" s="1"/>
  <c r="AB204" i="31"/>
  <c r="AT205"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15" i="31"/>
  <c r="R315" i="31"/>
  <c r="AA315" i="31"/>
  <c r="Q315" i="31"/>
  <c r="W315" i="31"/>
  <c r="T315" i="31"/>
  <c r="U315" i="31"/>
  <c r="P315" i="31"/>
  <c r="Z315" i="31"/>
  <c r="AB315" i="31"/>
  <c r="S315" i="31"/>
  <c r="X315" i="31"/>
  <c r="Y315" i="31"/>
  <c r="O315" i="31"/>
  <c r="I340" i="31"/>
  <c r="I327" i="31"/>
  <c r="I301" i="31"/>
  <c r="I339" i="31"/>
  <c r="I326" i="31"/>
  <c r="I300" i="31"/>
  <c r="AA290" i="31"/>
  <c r="Y290" i="31"/>
  <c r="Q290" i="31"/>
  <c r="X290" i="31"/>
  <c r="P290" i="31"/>
  <c r="U290" i="31"/>
  <c r="AB290" i="31"/>
  <c r="T290" i="31"/>
  <c r="V290" i="31"/>
  <c r="W290" i="31"/>
  <c r="Z290" i="31"/>
  <c r="O290" i="31"/>
  <c r="R290" i="31"/>
  <c r="S290" i="31"/>
  <c r="R329" i="31"/>
  <c r="X329" i="31"/>
  <c r="AA329" i="31"/>
  <c r="T329" i="31"/>
  <c r="P329" i="31"/>
  <c r="AB329" i="31"/>
  <c r="W329" i="31"/>
  <c r="Y329" i="31"/>
  <c r="U329" i="31"/>
  <c r="S329" i="31"/>
  <c r="Z329" i="31"/>
  <c r="Q329" i="31"/>
  <c r="O329" i="31"/>
  <c r="V329" i="31"/>
  <c r="V353" i="31"/>
  <c r="AB353" i="31"/>
  <c r="Z353" i="31"/>
  <c r="T353" i="31"/>
  <c r="I137" i="31"/>
  <c r="I211" i="31"/>
  <c r="I191" i="31"/>
  <c r="I177" i="31"/>
  <c r="I136" i="31"/>
  <c r="I210"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236" i="31"/>
  <c r="I69" i="31"/>
  <c r="I224"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287"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248" i="31"/>
  <c r="I397" i="31"/>
  <c r="I94" i="31"/>
  <c r="I162" i="31"/>
  <c r="I410" i="31"/>
  <c r="I261" i="31"/>
  <c r="I274" i="31"/>
  <c r="I373" i="31"/>
  <c r="AF10" i="31"/>
  <c r="I314" i="31" s="1"/>
  <c r="I312"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R264" i="31"/>
  <c r="AA264" i="31"/>
  <c r="Q264" i="31"/>
  <c r="W264" i="31"/>
  <c r="V264" i="31"/>
  <c r="X264" i="31"/>
  <c r="Y264" i="31"/>
  <c r="U264" i="31"/>
  <c r="T264" i="31"/>
  <c r="Z264" i="31"/>
  <c r="AB264" i="31"/>
  <c r="S264" i="31"/>
  <c r="O264" i="31"/>
  <c r="P264" i="31"/>
  <c r="R227" i="31"/>
  <c r="W227" i="31"/>
  <c r="AB227" i="31"/>
  <c r="Y227" i="31"/>
  <c r="X227" i="31"/>
  <c r="T227" i="31"/>
  <c r="P227" i="31"/>
  <c r="U227" i="31"/>
  <c r="Z227" i="31"/>
  <c r="V227" i="31"/>
  <c r="Q227" i="31"/>
  <c r="AA227" i="31"/>
  <c r="S227" i="31"/>
  <c r="O227" i="31"/>
  <c r="Z277" i="31"/>
  <c r="R277" i="31"/>
  <c r="AA277" i="31"/>
  <c r="W277" i="31"/>
  <c r="P277" i="31"/>
  <c r="AB277" i="31"/>
  <c r="V277" i="31"/>
  <c r="O277" i="31"/>
  <c r="T277" i="31"/>
  <c r="S277" i="31"/>
  <c r="Y277" i="31"/>
  <c r="X277" i="31"/>
  <c r="Q277" i="31"/>
  <c r="U277" i="31"/>
  <c r="S251" i="31"/>
  <c r="AB251" i="31"/>
  <c r="Z251" i="31"/>
  <c r="O251" i="31"/>
  <c r="V251" i="31"/>
  <c r="T251" i="31"/>
  <c r="U251" i="31"/>
  <c r="W251" i="31"/>
  <c r="R251" i="31"/>
  <c r="Y251" i="31"/>
  <c r="AA251" i="31"/>
  <c r="X251" i="31"/>
  <c r="Q251" i="31"/>
  <c r="P251" i="31"/>
  <c r="Y239" i="31"/>
  <c r="X239" i="31"/>
  <c r="Z239" i="31"/>
  <c r="P239" i="31"/>
  <c r="W239" i="31"/>
  <c r="U239" i="31"/>
  <c r="V239" i="31"/>
  <c r="AB239" i="31"/>
  <c r="T239" i="31"/>
  <c r="R239" i="31"/>
  <c r="Q239" i="31"/>
  <c r="O239" i="31"/>
  <c r="AA239" i="31"/>
  <c r="S239" i="31"/>
  <c r="Z303" i="31"/>
  <c r="U303" i="31"/>
  <c r="P303" i="31"/>
  <c r="O303" i="31"/>
  <c r="Q303" i="31"/>
  <c r="X303" i="31"/>
  <c r="AB303" i="31"/>
  <c r="T303" i="31"/>
  <c r="W303" i="31"/>
  <c r="AA303" i="31"/>
  <c r="R303" i="31"/>
  <c r="S303" i="31"/>
  <c r="Y303" i="31"/>
  <c r="V303" i="31"/>
  <c r="I249" i="31"/>
  <c r="I313" i="31"/>
  <c r="I262" i="31"/>
  <c r="I237" i="31"/>
  <c r="I225" i="31"/>
  <c r="I288" i="31"/>
  <c r="I275"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Q199"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8" i="34"/>
  <c r="P348" i="31"/>
  <c r="AH348" i="31" s="1"/>
  <c r="T14" i="4"/>
  <c r="Z8" i="4"/>
  <c r="W33" i="28"/>
  <c r="P20" i="31"/>
  <c r="M288"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8"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8" i="34"/>
  <c r="AG9" i="35"/>
  <c r="AG5" i="35" s="1"/>
  <c r="W20" i="31"/>
  <c r="W500" i="31"/>
  <c r="R8" i="4"/>
  <c r="V113" i="7"/>
  <c r="T15" i="28"/>
  <c r="S20" i="31"/>
  <c r="O8" i="32"/>
  <c r="AB14" i="4"/>
  <c r="X33" i="28"/>
  <c r="W9" i="34"/>
  <c r="W28" i="1"/>
  <c r="V20" i="31"/>
  <c r="T30" i="25"/>
  <c r="T33" i="28"/>
  <c r="R8" i="1"/>
  <c r="V81" i="1"/>
  <c r="AJ113" i="7"/>
  <c r="AJ81" i="7" s="1"/>
  <c r="U288"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8" i="34"/>
  <c r="O14" i="4"/>
  <c r="M43" i="23"/>
  <c r="AN44" i="31"/>
  <c r="AN199" i="31" s="1"/>
  <c r="X15" i="28"/>
  <c r="AI29" i="4"/>
  <c r="AI60" i="4" s="1"/>
  <c r="W29" i="4"/>
  <c r="U8" i="1"/>
  <c r="F121" i="35"/>
  <c r="Y121" i="35" s="1"/>
  <c r="D41" i="35"/>
  <c r="W41" i="35" s="1"/>
  <c r="Y15" i="28"/>
  <c r="S288"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8" i="34"/>
  <c r="V183" i="28"/>
  <c r="AA8" i="31"/>
  <c r="AE23" i="23"/>
  <c r="AE43" i="23" s="1"/>
  <c r="P43" i="23"/>
  <c r="P8" i="32"/>
  <c r="V30" i="26"/>
  <c r="AH23" i="23"/>
  <c r="AH43" i="23" s="1"/>
  <c r="V29" i="4"/>
  <c r="AA9" i="35"/>
  <c r="AA5" i="35" s="1"/>
  <c r="R40" i="29"/>
  <c r="H89" i="35"/>
  <c r="AA89" i="35" s="1"/>
  <c r="R8" i="29"/>
  <c r="V15" i="28"/>
  <c r="Y288"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8"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Z184" i="28" l="1"/>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K200" i="31"/>
  <c r="BJ200" i="31"/>
  <c r="BG200" i="31"/>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F200" i="31"/>
  <c r="BL200" i="31"/>
  <c r="BE200" i="31"/>
  <c r="BC200" i="31"/>
  <c r="BI200" i="3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A200" i="31"/>
  <c r="BB84" i="31"/>
  <c r="BB19" i="31" s="1"/>
  <c r="BB85" i="31"/>
  <c r="V130" i="26"/>
  <c r="BA111" i="31"/>
  <c r="BA21" i="31" s="1"/>
  <c r="BA112" i="31"/>
  <c r="BA20" i="31" s="1"/>
  <c r="AZ112" i="31"/>
  <c r="AZ20" i="31" s="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AY200" i="31"/>
  <c r="BD200" i="31"/>
  <c r="BH200" i="31"/>
  <c r="AZ200"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AP201" i="31"/>
  <c r="AM201" i="31"/>
  <c r="AT201" i="31"/>
  <c r="AH201" i="31"/>
  <c r="AQ201" i="31"/>
  <c r="AR201" i="31"/>
  <c r="AO201" i="31"/>
  <c r="AG201" i="31"/>
  <c r="AN201" i="31"/>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I289" i="31"/>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R322" i="31"/>
  <c r="AB52" i="4"/>
  <c r="AB53" i="4"/>
  <c r="AB51" i="4"/>
  <c r="AB50" i="4"/>
  <c r="S140" i="35"/>
  <c r="R244" i="31"/>
  <c r="AJ243" i="31" s="1"/>
  <c r="AE243" i="31" s="1"/>
  <c r="R206" i="31"/>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R270" i="31"/>
  <c r="AJ269" i="31" s="1"/>
  <c r="AE269" i="31" s="1"/>
  <c r="R335" i="31"/>
  <c r="AJ334" i="31" s="1"/>
  <c r="AE334" i="31" s="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257" i="31"/>
  <c r="R232" i="31"/>
  <c r="AJ231" i="31" s="1"/>
  <c r="AE231" i="31" s="1"/>
  <c r="R308" i="31"/>
  <c r="R296" i="31"/>
  <c r="AJ295" i="31" s="1"/>
  <c r="AE295" i="31" s="1"/>
  <c r="R473" i="31"/>
  <c r="Z51" i="4"/>
  <c r="Z53" i="4"/>
  <c r="U355" i="31"/>
  <c r="AM354" i="31" s="1"/>
  <c r="K134" i="35"/>
  <c r="Q355" i="31"/>
  <c r="AI354" i="31" s="1"/>
  <c r="G134" i="35"/>
  <c r="R241" i="28"/>
  <c r="R283" i="31"/>
  <c r="AJ282" i="31" s="1"/>
  <c r="AE282" i="31" s="1"/>
  <c r="R220" i="31"/>
  <c r="BB215" i="31" s="1"/>
  <c r="AW215" i="31" s="1"/>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302" i="31"/>
  <c r="I341" i="31"/>
  <c r="I328" i="31"/>
  <c r="I192" i="31"/>
  <c r="I178" i="31"/>
  <c r="I212"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250" i="31"/>
  <c r="I238" i="31"/>
  <c r="I440" i="31"/>
  <c r="I375" i="31"/>
  <c r="I276" i="31"/>
  <c r="I263" i="31"/>
  <c r="I164" i="31"/>
  <c r="I399" i="31"/>
  <c r="I96" i="31"/>
  <c r="I83" i="31"/>
  <c r="I426" i="31"/>
  <c r="I71" i="31"/>
  <c r="I226"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X29" i="31" l="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AJ256" i="31"/>
  <c r="AE256" i="31" s="1"/>
  <c r="BB251" i="31"/>
  <c r="AW251" i="31" s="1"/>
  <c r="BB252" i="31"/>
  <c r="AW252" i="31" s="1"/>
  <c r="W119" i="31"/>
  <c r="BG112" i="31"/>
  <c r="BG20" i="31" s="1"/>
  <c r="BG111" i="31"/>
  <c r="BG21" i="31" s="1"/>
  <c r="R79" i="28"/>
  <c r="BB73" i="28"/>
  <c r="BI349" i="31"/>
  <c r="AJ219" i="31"/>
  <c r="AE219" i="31" s="1"/>
  <c r="BB214" i="31"/>
  <c r="AW214" i="31" s="1"/>
  <c r="BB213" i="31"/>
  <c r="R109" i="31"/>
  <c r="BB98" i="31"/>
  <c r="BB99" i="31"/>
  <c r="BB97" i="31"/>
  <c r="BB13" i="31" s="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R289" i="31"/>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R328" i="31"/>
  <c r="AJ321" i="31"/>
  <c r="AE321" i="31" s="1"/>
  <c r="AP46" i="4"/>
  <c r="AP31" i="4" s="1"/>
  <c r="AJ398" i="29"/>
  <c r="AE398" i="29" s="1"/>
  <c r="R476" i="31"/>
  <c r="AJ472" i="31"/>
  <c r="AE472" i="31" s="1"/>
  <c r="AT46" i="4"/>
  <c r="AT31" i="4" s="1"/>
  <c r="R330" i="29"/>
  <c r="R333" i="29"/>
  <c r="AJ435" i="29"/>
  <c r="AE435" i="29" s="1"/>
  <c r="AJ131" i="31"/>
  <c r="AE131" i="31" s="1"/>
  <c r="AJ65" i="25"/>
  <c r="R309" i="31"/>
  <c r="AJ307" i="31"/>
  <c r="AE307" i="31" s="1"/>
  <c r="R211" i="31"/>
  <c r="AJ205" i="31"/>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237"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275" i="31"/>
  <c r="R323" i="31"/>
  <c r="R437" i="31"/>
  <c r="R314" i="31"/>
  <c r="R136" i="28"/>
  <c r="R408" i="31"/>
  <c r="R258" i="31"/>
  <c r="R463" i="31"/>
  <c r="R262" i="31"/>
  <c r="R287" i="31"/>
  <c r="R137" i="28"/>
  <c r="R479" i="31"/>
  <c r="R477" i="31"/>
  <c r="R488" i="31"/>
  <c r="R407" i="31"/>
  <c r="R424" i="31"/>
  <c r="R310" i="31"/>
  <c r="R263" i="31"/>
  <c r="R133" i="28"/>
  <c r="R149" i="28"/>
  <c r="R210" i="31"/>
  <c r="R474" i="31"/>
  <c r="R492" i="31"/>
  <c r="R207" i="31"/>
  <c r="R475" i="31"/>
  <c r="R489" i="31"/>
  <c r="R119" i="28"/>
  <c r="R398" i="31"/>
  <c r="R259" i="31"/>
  <c r="R260" i="31"/>
  <c r="R248" i="31"/>
  <c r="R124" i="28"/>
  <c r="R394" i="31"/>
  <c r="R261" i="31"/>
  <c r="R284" i="31"/>
  <c r="R238" i="31"/>
  <c r="R134" i="28"/>
  <c r="R144" i="28"/>
  <c r="R120" i="28"/>
  <c r="R410" i="31"/>
  <c r="R412" i="31"/>
  <c r="R425" i="31"/>
  <c r="R423" i="31"/>
  <c r="R271" i="31"/>
  <c r="R286" i="31"/>
  <c r="R122" i="28"/>
  <c r="R123" i="28"/>
  <c r="R208" i="31"/>
  <c r="R451" i="31"/>
  <c r="R461" i="31"/>
  <c r="R435" i="31"/>
  <c r="R288" i="31"/>
  <c r="R233" i="31"/>
  <c r="R209" i="31"/>
  <c r="R460" i="31"/>
  <c r="R464" i="29"/>
  <c r="R465" i="29"/>
  <c r="R467" i="29"/>
  <c r="R466" i="29"/>
  <c r="R468" i="29"/>
  <c r="R463" i="29"/>
  <c r="R374" i="31"/>
  <c r="R311" i="31"/>
  <c r="R453" i="29"/>
  <c r="R455" i="29"/>
  <c r="R451" i="29"/>
  <c r="R450" i="29"/>
  <c r="R452" i="29"/>
  <c r="R454" i="29"/>
  <c r="R93" i="31"/>
  <c r="R375" i="31"/>
  <c r="R395" i="31"/>
  <c r="R399" i="31"/>
  <c r="R438" i="31"/>
  <c r="R313" i="31"/>
  <c r="R272" i="31"/>
  <c r="R247" i="31"/>
  <c r="R245" i="31"/>
  <c r="R285" i="31"/>
  <c r="R235"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312" i="31"/>
  <c r="R250" i="31"/>
  <c r="R246" i="31"/>
  <c r="R326" i="31"/>
  <c r="R453" i="31"/>
  <c r="R449" i="31"/>
  <c r="R371" i="31"/>
  <c r="R440" i="31"/>
  <c r="R274" i="31"/>
  <c r="R276" i="31"/>
  <c r="R249" i="31"/>
  <c r="R234"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24" i="31"/>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273" i="31"/>
  <c r="R236" i="31"/>
  <c r="R358" i="31"/>
  <c r="R132" i="28"/>
  <c r="R147" i="28"/>
  <c r="R67" i="28"/>
  <c r="R69" i="28"/>
  <c r="R327" i="31"/>
  <c r="R325" i="31"/>
  <c r="R212" i="31"/>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300" i="31"/>
  <c r="R297" i="31"/>
  <c r="R302" i="31"/>
  <c r="R301" i="31"/>
  <c r="R299" i="31"/>
  <c r="R298" i="31"/>
  <c r="R339" i="31"/>
  <c r="R341" i="31"/>
  <c r="R338" i="31"/>
  <c r="R336" i="31"/>
  <c r="R340" i="31"/>
  <c r="R337" i="31"/>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R225" i="31"/>
  <c r="R221" i="31"/>
  <c r="R223" i="31"/>
  <c r="R222" i="31"/>
  <c r="R224" i="31"/>
  <c r="R226"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7" i="31" l="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AW13" i="3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200" i="31"/>
  <c r="AW200" i="31" s="1"/>
  <c r="AW213" i="31"/>
  <c r="BB45" i="31"/>
  <c r="AW19" i="31"/>
  <c r="BE45" i="31"/>
  <c r="AX525" i="31"/>
  <c r="AX24" i="31"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E205" i="31"/>
  <c r="AJ201" i="31"/>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V12" i="31"/>
  <c r="Y12" i="31"/>
  <c r="S12" i="31"/>
  <c r="Z12" i="31"/>
  <c r="R12" i="31"/>
  <c r="AA12" i="31"/>
  <c r="P12" i="31"/>
  <c r="T12" i="31"/>
  <c r="O12" i="31"/>
  <c r="U12" i="31"/>
  <c r="Q12" i="31"/>
  <c r="W12" i="31"/>
  <c r="X12" i="3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W11" i="31" l="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AK200" i="31"/>
  <c r="J16" i="50" s="1"/>
  <c r="AG200" i="31"/>
  <c r="F16" i="50" s="1"/>
  <c r="AQ200" i="31"/>
  <c r="P16" i="50" s="1"/>
  <c r="AP200" i="31"/>
  <c r="O16" i="50" s="1"/>
  <c r="AS200" i="31"/>
  <c r="R16" i="50" s="1"/>
  <c r="AF380" i="29"/>
  <c r="E23" i="50" s="1"/>
  <c r="AO200" i="31"/>
  <c r="N16" i="50" s="1"/>
  <c r="AH200" i="31"/>
  <c r="G16" i="50" s="1"/>
  <c r="AT200" i="31"/>
  <c r="S16" i="50" s="1"/>
  <c r="AN200" i="31"/>
  <c r="M16" i="50" s="1"/>
  <c r="AR200" i="31"/>
  <c r="Q16" i="50" s="1"/>
  <c r="AL200" i="31"/>
  <c r="K16" i="50" s="1"/>
  <c r="AI200" i="31"/>
  <c r="H16" i="50" s="1"/>
  <c r="AJ200" i="31"/>
  <c r="I16" i="50" s="1"/>
  <c r="AM200" i="31"/>
  <c r="L16" i="50" s="1"/>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AE201" i="31"/>
  <c r="T92" i="7"/>
  <c r="T91" i="7"/>
  <c r="T90" i="7"/>
  <c r="T93" i="7"/>
  <c r="T94" i="7"/>
  <c r="T95" i="7"/>
  <c r="AE52" i="25" l="1"/>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198" i="3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AF200" i="31"/>
  <c r="E16" i="50" s="1"/>
  <c r="AE200" i="31"/>
  <c r="D16" i="50" s="1"/>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BG5"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J5" i="25" l="1"/>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J14" i="34" s="1"/>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BI21" i="34"/>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X73" i="26"/>
  <c r="AX71" i="26"/>
  <c r="AX8" i="26"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AQ13" i="34"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S14" i="34" l="1"/>
  <c r="AQ14" i="34"/>
  <c r="AT14" i="34"/>
  <c r="AN14" i="34"/>
  <c r="AJ13" i="34"/>
  <c r="BB13" i="34" s="1"/>
  <c r="AP14" i="34"/>
  <c r="AO14" i="34"/>
  <c r="BG14" i="34" s="1"/>
  <c r="BG49" i="34" s="1"/>
  <c r="AR14" i="34"/>
  <c r="BJ14" i="34" s="1"/>
  <c r="BJ49" i="34" s="1"/>
  <c r="AH14" i="34"/>
  <c r="AK14" i="34"/>
  <c r="AM14" i="34"/>
  <c r="BI13" i="34"/>
  <c r="BK13" i="34"/>
  <c r="BC13" i="34"/>
  <c r="BH13" i="34"/>
  <c r="BJ13" i="34"/>
  <c r="BB16" i="26"/>
  <c r="BE16" i="26"/>
  <c r="BG16" i="26"/>
  <c r="BF16" i="26"/>
  <c r="AO23" i="34" s="1"/>
  <c r="BD16" i="26"/>
  <c r="BH16" i="26"/>
  <c r="BI16" i="26"/>
  <c r="AY16" i="26"/>
  <c r="BK16" i="26"/>
  <c r="AO22" i="34"/>
  <c r="BG22" i="34" s="1"/>
  <c r="AP18" i="34"/>
  <c r="BH18" i="34" s="1"/>
  <c r="AR22" i="34"/>
  <c r="BJ22" i="34" s="1"/>
  <c r="AM23" i="34"/>
  <c r="AP22" i="34"/>
  <c r="AJ18" i="34"/>
  <c r="BB18" i="34" s="1"/>
  <c r="AH22" i="34"/>
  <c r="AZ22" i="34" s="1"/>
  <c r="AK18" i="34"/>
  <c r="BC18" i="34" s="1"/>
  <c r="AS22" i="34"/>
  <c r="AT23" i="34"/>
  <c r="AN22" i="34"/>
  <c r="AU18" i="34"/>
  <c r="AQ23"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AQ22" i="34"/>
  <c r="BI22" i="34" s="1"/>
  <c r="BA24" i="26"/>
  <c r="AJ31" i="34" s="1"/>
  <c r="BB31" i="34" s="1"/>
  <c r="BB48" i="34" s="1"/>
  <c r="BL9" i="26"/>
  <c r="AU14" i="34" s="1"/>
  <c r="AY6" i="26"/>
  <c r="AY12" i="26"/>
  <c r="AW46" i="26"/>
  <c r="AX13" i="26"/>
  <c r="AW13" i="26" s="1"/>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BK22" i="34"/>
  <c r="BG18" i="34"/>
  <c r="BE18" i="34"/>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C14" i="34"/>
  <c r="BC49" i="34" s="1"/>
  <c r="BF14" i="34"/>
  <c r="BF49" i="34" s="1"/>
  <c r="BM14" i="34"/>
  <c r="BM49" i="34" s="1"/>
  <c r="BB14" i="34"/>
  <c r="BB49" i="34" s="1"/>
  <c r="Q18" i="34"/>
  <c r="BD11" i="34"/>
  <c r="BH14" i="34"/>
  <c r="BH49" i="34" s="1"/>
  <c r="BL14" i="34"/>
  <c r="BL49" i="34" s="1"/>
  <c r="BI14" i="34"/>
  <c r="BI49" i="34" s="1"/>
  <c r="AZ14" i="34"/>
  <c r="AZ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X114" i="26"/>
  <c r="AX15" i="26"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L13" i="34" l="1"/>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Z37" i="34"/>
  <c r="X40" i="34"/>
  <c r="X39" i="34"/>
  <c r="X37" i="34"/>
  <c r="X38" i="34"/>
  <c r="P20" i="34"/>
  <c r="R19" i="34"/>
  <c r="X20" i="34"/>
  <c r="Q21" i="34"/>
  <c r="Q20" i="34"/>
  <c r="Q19" i="34"/>
  <c r="Q22" i="34"/>
  <c r="M18" i="34"/>
  <c r="S64"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AZ47" i="34" l="1"/>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AZ10" i="34"/>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66" i="34"/>
  <c r="N264" i="34"/>
  <c r="N265" i="34"/>
  <c r="N267" i="34"/>
  <c r="T267" i="34"/>
  <c r="T265" i="34"/>
  <c r="T266" i="34"/>
  <c r="T264" i="34"/>
  <c r="W267" i="34"/>
  <c r="W264" i="34"/>
  <c r="W266" i="34"/>
  <c r="W265" i="34"/>
  <c r="AU10" i="34"/>
  <c r="O264" i="34"/>
  <c r="O266" i="34"/>
  <c r="O267" i="34"/>
  <c r="O265" i="34"/>
  <c r="BK46" i="34" l="1"/>
  <c r="BK52" i="34" s="1"/>
  <c r="AZ68" i="34"/>
  <c r="BA68" i="34"/>
  <c r="BA10" i="34"/>
  <c r="BB10" i="34"/>
  <c r="BB68" i="34"/>
  <c r="W104" i="34"/>
  <c r="W106" i="34"/>
  <c r="W105" i="34"/>
  <c r="BM68" i="34"/>
  <c r="BJ68" i="34"/>
  <c r="BG68" i="34"/>
  <c r="BD10" i="34"/>
  <c r="BL10" i="34"/>
  <c r="BI10" i="34"/>
  <c r="BE10" i="34"/>
  <c r="BH10" i="34"/>
  <c r="U267" i="34"/>
  <c r="S267" i="34"/>
  <c r="X265" i="34"/>
  <c r="P264" i="34"/>
  <c r="V264" i="34"/>
  <c r="Y266" i="34"/>
  <c r="Q267" i="34"/>
  <c r="P265" i="34"/>
  <c r="P105" i="34"/>
  <c r="P104" i="34"/>
  <c r="P267" i="34"/>
  <c r="P266" i="34"/>
  <c r="BC10" i="34"/>
  <c r="P106" i="34"/>
  <c r="Y265" i="34"/>
  <c r="Y264" i="34"/>
  <c r="Y267" i="34"/>
  <c r="X266" i="34"/>
  <c r="X267" i="34"/>
  <c r="X264" i="34"/>
  <c r="X105" i="34"/>
  <c r="X103" i="34"/>
  <c r="BK10" i="34"/>
  <c r="X106" i="34"/>
  <c r="S266" i="34"/>
  <c r="S264" i="34"/>
  <c r="S265" i="34"/>
  <c r="AX19" i="34"/>
  <c r="BF10" i="34"/>
  <c r="V267" i="34"/>
  <c r="V265" i="34"/>
  <c r="V266" i="34"/>
  <c r="Q264" i="34"/>
  <c r="Q265" i="34"/>
  <c r="Q266" i="34"/>
  <c r="U264" i="34"/>
  <c r="U265" i="34"/>
  <c r="U266" i="34"/>
  <c r="R265" i="34"/>
  <c r="R266" i="34"/>
  <c r="R264" i="34"/>
  <c r="R267" i="34"/>
  <c r="M267" i="34"/>
  <c r="M266" i="34"/>
  <c r="M264" i="34"/>
  <c r="M265" i="34"/>
  <c r="L266" i="34"/>
  <c r="L265" i="34"/>
  <c r="L267" i="34"/>
  <c r="L264" i="34"/>
  <c r="Z265" i="34"/>
  <c r="Z264" i="34"/>
  <c r="Z267" i="34"/>
  <c r="Z266" i="34"/>
  <c r="N38" i="26"/>
  <c r="AX32" i="26" l="1"/>
  <c r="AX6" i="26" s="1"/>
  <c r="AX34" i="26"/>
  <c r="AX7" i="26" s="1"/>
  <c r="BL68" i="34"/>
  <c r="BI68" i="34"/>
  <c r="BD68" i="34"/>
  <c r="BH68" i="34"/>
  <c r="BF68" i="34"/>
  <c r="BE68" i="34"/>
  <c r="BC68" i="34"/>
  <c r="AX33" i="26"/>
  <c r="AX12" i="26"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D81" authorId="1" shapeId="0" xr:uid="{2EF4DCA1-13A5-4107-A3C4-3643BB652631}">
      <text>
        <r>
          <rPr>
            <b/>
            <sz val="9"/>
            <color indexed="81"/>
            <rFont val="Tahoma"/>
            <family val="2"/>
          </rPr>
          <t>Jonas Forsberg:</t>
        </r>
        <r>
          <rPr>
            <sz val="9"/>
            <color indexed="81"/>
            <rFont val="Tahoma"/>
            <family val="2"/>
          </rPr>
          <t xml:space="preserve">
3 st enligt statistik</t>
        </r>
      </text>
    </comment>
    <comment ref="D84" authorId="1" shapeId="0" xr:uid="{7F0EB2A5-D2B0-4E9F-A573-BDF77C8176F7}">
      <text>
        <r>
          <rPr>
            <b/>
            <sz val="9"/>
            <color indexed="81"/>
            <rFont val="Tahoma"/>
            <family val="2"/>
          </rPr>
          <t>Jonas Forsberg:</t>
        </r>
        <r>
          <rPr>
            <sz val="9"/>
            <color indexed="81"/>
            <rFont val="Tahoma"/>
            <family val="2"/>
          </rPr>
          <t xml:space="preserve">
3 st enligt statistik</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8"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1"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90"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4"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<sst xmlns="http://schemas.openxmlformats.org/spreadsheetml/2006/main" count="11440" uniqueCount="1242">
  <si>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</si>
  <si>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</si>
  <si>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</si>
  <si>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</si>
  <si>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</si>
  <si>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</si>
  <si>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</si>
  <si>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</si>
  <si>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</si>
  <si>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</si>
  <si>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</si>
  <si>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</si>
  <si>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</si>
  <si>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</si>
  <si>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</si>
  <si>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</si>
  <si>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</si>
  <si>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</si>
  <si>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</si>
  <si>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</si>
  <si>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</si>
  <si>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</si>
  <si>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</si>
  <si>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</si>
  <si>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</si>
  <si>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</si>
  <si>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</si>
  <si>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</si>
  <si>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</si>
  <si>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</si>
  <si>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</si>
  <si>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</si>
  <si>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</si>
  <si>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</si>
  <si>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</si>
  <si>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</si>
  <si>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</si>
  <si>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</si>
  <si>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</si>
  <si>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</si>
  <si>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</si>
  <si>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</si>
  <si>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</si>
  <si>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</si>
  <si>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</si>
  <si>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</si>
  <si>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</si>
  <si>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</si>
  <si>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</si>
  <si>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</si>
  <si>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</si>
  <si>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</si>
  <si>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</si>
  <si>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</si>
  <si>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</si>
  <si>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</si>
  <si>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</si>
  <si>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</si>
  <si>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</si>
  <si>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</si>
  <si>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</si>
  <si>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</si>
  <si>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</si>
  <si>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</si>
  <si>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</si>
  <si>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</si>
  <si>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</si>
  <si>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</si>
  <si>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</si>
  <si>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</si>
  <si>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</si>
  <si>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</si>
  <si>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</si>
  <si>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</si>
  <si>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</si>
  <si>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</si>
  <si>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</si>
  <si>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</si>
  <si>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</si>
  <si>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</si>
  <si>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</si>
  <si>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</si>
  <si>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</si>
  <si>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</si>
  <si>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</si>
  <si>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</si>
  <si>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</si>
  <si>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</si>
  <si>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</si>
  <si>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</si>
  <si>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</si>
  <si>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</si>
  <si>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</si>
  <si>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</si>
  <si>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</si>
  <si>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</si>
  <si>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</si>
  <si>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</si>
  <si>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</si>
  <si>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</si>
  <si>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</si>
  <si>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</si>
  <si>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</si>
  <si>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</si>
  <si>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</si>
  <si>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</si>
  <si>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</si>
  <si>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</si>
  <si>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</si>
  <si>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</si>
  <si>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</si>
  <si>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</si>
  <si>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</si>
  <si>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</si>
  <si>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</si>
  <si>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</si>
  <si>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</si>
  <si>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</si>
  <si>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</si>
  <si>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</si>
  <si>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</si>
  <si>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</si>
  <si>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</si>
  <si>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</si>
  <si>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</si>
  <si>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</si>
  <si>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</si>
  <si>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</si>
  <si>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</si>
  <si>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</si>
  <si>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</si>
  <si>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</si>
  <si>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</si>
  <si>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</si>
  <si>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</si>
  <si>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</si>
  <si>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</si>
  <si>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</si>
  <si>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</si>
  <si>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</si>
  <si>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</si>
  <si>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</si>
  <si>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</si>
  <si>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</si>
  <si>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</si>
  <si>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</si>
  <si>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</si>
  <si>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</si>
  <si>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</si>
  <si>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</si>
  <si>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</si>
  <si>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</si>
  <si>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</si>
  <si>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</si>
  <si>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</si>
  <si>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</si>
  <si>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</si>
  <si>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</si>
  <si>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</si>
  <si>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</si>
  <si>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</si>
  <si>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</si>
  <si>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</si>
  <si>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</si>
  <si>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</si>
  <si>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</si>
  <si>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</si>
  <si>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</si>
  <si>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</si>
  <si>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</si>
  <si>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</si>
  <si>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</si>
  <si>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</si>
  <si>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</si>
  <si>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</si>
  <si>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</si>
  <si>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</si>
  <si>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</si>
  <si>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</si>
  <si>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</si>
  <si>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</si>
  <si>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</si>
  <si>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</si>
  <si>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</si>
  <si>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</si>
  <si>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</si>
  <si>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</si>
  <si>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</si>
  <si>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</si>
  <si>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</si>
  <si>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</si>
  <si>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</si>
  <si>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</si>
  <si>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</si>
  <si>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</si>
  <si>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</si>
  <si>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</si>
  <si>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</si>
  <si>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</si>
  <si>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</si>
  <si>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</si>
  <si>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</si>
  <si>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</si>
  <si>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</si>
  <si>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</si>
  <si>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</si>
  <si>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</si>
  <si>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</si>
  <si>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</si>
  <si>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</si>
  <si>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</si>
  <si>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</si>
  <si>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</si>
  <si>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</si>
  <si>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</si>
  <si>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</si>
  <si>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</si>
  <si>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</si>
  <si>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</si>
  <si>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</si>
  <si>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</si>
  <si>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</si>
  <si>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</si>
  <si>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</si>
  <si>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</si>
  <si>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</si>
  <si>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</si>
  <si>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</si>
  <si>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</si>
  <si>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</si>
  <si>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</si>
  <si>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</si>
  <si>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</si>
  <si>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</si>
  <si>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</si>
  <si>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</si>
  <si>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</si>
  <si>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</si>
  <si>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</si>
  <si>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</si>
  <si>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</si>
  <si>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</si>
  <si>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</si>
  <si>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</si>
  <si>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</si>
  <si>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</si>
  <si>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</si>
  <si>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</si>
  <si>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</si>
  <si>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</si>
  <si>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</si>
  <si>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</si>
  <si>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</si>
  <si>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</si>
  <si>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</si>
  <si>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</si>
  <si>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</si>
  <si>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</si>
  <si>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</si>
  <si>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</si>
  <si>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</si>
  <si>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</si>
  <si>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</si>
  <si>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</si>
  <si>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</si>
  <si>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</si>
  <si>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</si>
  <si>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</si>
  <si>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</si>
  <si>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</si>
  <si>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</si>
  <si>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</si>
  <si>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</si>
  <si>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</si>
  <si>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</si>
  <si>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</si>
  <si>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</si>
  <si>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</si>
  <si>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</si>
  <si>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</si>
  <si>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</si>
  <si>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</si>
  <si>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</si>
  <si>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</si>
  <si>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</si>
  <si>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</si>
  <si>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</si>
  <si>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</si>
  <si>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</si>
  <si>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</si>
  <si>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</si>
  <si>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</si>
  <si>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</si>
  <si>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</si>
  <si>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</si>
  <si>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</si>
  <si>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</si>
  <si>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</si>
  <si>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</si>
  <si>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</si>
  <si>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</si>
  <si>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</si>
  <si>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</si>
  <si>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</si>
  <si>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</si>
  <si>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</si>
  <si>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</si>
  <si>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</si>
  <si>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</si>
  <si>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</si>
  <si>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</si>
  <si>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</si>
  <si>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</si>
  <si>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</si>
  <si>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</si>
  <si>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</si>
  <si>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</si>
  <si>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</si>
  <si>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</si>
  <si>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</si>
  <si>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</si>
  <si>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</si>
  <si>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</si>
  <si>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</si>
  <si>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</si>
  <si>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</si>
  <si>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</si>
  <si>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</si>
  <si>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</si>
  <si>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</si>
  <si>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</si>
  <si>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</si>
  <si>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</si>
  <si>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</si>
  <si>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</si>
  <si>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</si>
  <si>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</si>
  <si>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</si>
  <si>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</si>
  <si>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</si>
  <si>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</si>
  <si>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</si>
  <si>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</si>
  <si>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</si>
  <si>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</si>
  <si>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</si>
  <si>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</si>
  <si>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</si>
  <si>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</si>
  <si>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</si>
  <si>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</si>
  <si>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</si>
  <si>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</si>
  <si>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</si>
  <si>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</si>
  <si>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</si>
  <si>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</si>
  <si>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</si>
  <si>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</si>
  <si>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</si>
  <si>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</si>
  <si>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</si>
  <si>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</si>
  <si>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</si>
  <si>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</si>
  <si>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</si>
  <si>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</si>
  <si>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</si>
  <si>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</si>
  <si>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</si>
  <si>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</si>
  <si>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</si>
  <si>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</si>
  <si>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</si>
  <si>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</si>
  <si>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</si>
  <si>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</si>
  <si>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</si>
  <si>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</si>
  <si>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</si>
  <si>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</si>
  <si>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</si>
  <si>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</si>
  <si>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</si>
  <si>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</si>
  <si>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</si>
  <si>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</si>
  <si>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</si>
  <si>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</si>
  <si>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</si>
  <si>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</si>
  <si>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</si>
  <si>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</si>
  <si>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</si>
  <si>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</si>
  <si>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</si>
  <si>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</si>
  <si>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</si>
  <si>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</si>
  <si>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</si>
  <si>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</si>
  <si>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</si>
  <si>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</si>
  <si>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</si>
  <si>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</si>
  <si>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</si>
  <si>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</si>
  <si>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</si>
  <si>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</si>
  <si>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</si>
  <si>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</si>
  <si>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</si>
  <si>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</si>
  <si>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</si>
  <si>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</si>
  <si>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</si>
  <si>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</si>
  <si>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</si>
  <si>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</si>
  <si>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</si>
  <si>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</si>
  <si>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</si>
  <si>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</si>
  <si>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</si>
  <si>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</si>
  <si>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</si>
  <si>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</si>
  <si>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</si>
  <si>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</si>
  <si>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</si>
  <si>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</si>
  <si>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</si>
  <si>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</si>
  <si>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</si>
  <si>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</si>
  <si>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</si>
  <si>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</si>
  <si>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</si>
  <si>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</si>
  <si>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</si>
  <si>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</si>
  <si>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</si>
  <si>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</si>
  <si>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</si>
  <si>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</si>
  <si>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</si>
  <si>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</si>
  <si>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</si>
  <si>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</si>
  <si>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</si>
  <si>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</si>
  <si>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</si>
  <si>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</si>
  <si>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</si>
  <si>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</si>
  <si>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</si>
  <si>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</si>
  <si>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</si>
  <si>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</si>
  <si>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</si>
  <si>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</si>
  <si>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</si>
  <si>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</si>
  <si>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</si>
  <si>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</si>
  <si>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</si>
  <si>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</si>
  <si>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</si>
  <si>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</si>
  <si>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</si>
  <si>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</si>
  <si>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</si>
  <si>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</si>
  <si>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</si>
  <si>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</si>
  <si>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</si>
  <si>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</si>
  <si>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</si>
  <si>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</si>
  <si>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</si>
  <si>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</si>
  <si>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</si>
  <si>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</si>
  <si>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</si>
  <si>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</si>
  <si>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</si>
  <si>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</si>
  <si>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</si>
  <si>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</si>
  <si>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</si>
  <si>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</si>
  <si>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</si>
  <si>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</si>
  <si>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</si>
  <si>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</si>
  <si>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</si>
  <si>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</si>
  <si>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</si>
  <si>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sl_och_regionen_2019.pdf s. 18, 30% av antaget 50 platser per buss = 15</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</si>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</sst>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xf numFmtId="0" fontId="109" fillId="0" borderId="0" xfId="0" applyFont="1" applyAlignment="1">
      <alignment vertical="center"/>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C8" sqref="C8"/>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1241</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0" t="s">
        <v>48</v>
      </c>
      <c r="E18" s="941"/>
      <c r="F18" s="941"/>
      <c r="G18" s="941"/>
      <c r="H18" s="941"/>
      <c r="I18" s="941"/>
      <c r="J18" s="941"/>
      <c r="K18" s="941"/>
      <c r="L18" s="941"/>
      <c r="M18" s="941"/>
      <c r="N18" s="941"/>
      <c r="O18" s="941"/>
      <c r="P18" s="941"/>
      <c r="Q18" s="941"/>
    </row>
    <row r="19" spans="2:17" s="303" customFormat="1" x14ac:dyDescent="0.3">
      <c r="B19" s="432" t="s">
        <v>49</v>
      </c>
      <c r="C19" s="432" t="s">
        <v>43</v>
      </c>
      <c r="D19" s="940" t="s">
        <v>50</v>
      </c>
      <c r="E19" s="941"/>
      <c r="F19" s="941"/>
      <c r="G19" s="941"/>
      <c r="H19" s="941"/>
      <c r="I19" s="941"/>
      <c r="J19" s="941"/>
      <c r="K19" s="941"/>
      <c r="L19" s="941"/>
      <c r="M19" s="941"/>
      <c r="N19" s="941"/>
      <c r="O19" s="941"/>
      <c r="P19" s="941"/>
      <c r="Q19" s="941"/>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3" t="s">
        <v>66</v>
      </c>
      <c r="D26" s="303" t="s">
        <v>67</v>
      </c>
    </row>
    <row r="27" spans="2:17" s="303" customFormat="1" x14ac:dyDescent="0.3">
      <c r="B27" s="4" t="s">
        <v>68</v>
      </c>
      <c r="C27" s="943"/>
      <c r="D27" s="303" t="s">
        <v>69</v>
      </c>
    </row>
    <row r="28" spans="2:17" s="303" customFormat="1" x14ac:dyDescent="0.3">
      <c r="B28" s="4" t="s">
        <v>70</v>
      </c>
      <c r="C28" s="943"/>
      <c r="D28" s="303" t="s">
        <v>71</v>
      </c>
    </row>
    <row r="29" spans="2:17" x14ac:dyDescent="0.3">
      <c r="B29" s="4" t="s">
        <v>72</v>
      </c>
      <c r="C29" s="943"/>
      <c r="D29" s="942" t="s">
        <v>73</v>
      </c>
      <c r="E29" s="942"/>
      <c r="F29" s="942"/>
      <c r="G29" s="942"/>
      <c r="H29" s="942"/>
      <c r="I29" s="942"/>
      <c r="J29" s="942"/>
      <c r="K29" s="942"/>
    </row>
    <row r="30" spans="2:17" x14ac:dyDescent="0.3">
      <c r="B30" s="4" t="s">
        <v>74</v>
      </c>
      <c r="C30" s="943"/>
      <c r="D30" s="942"/>
      <c r="E30" s="942"/>
      <c r="F30" s="942"/>
      <c r="G30" s="942"/>
      <c r="H30" s="942"/>
      <c r="I30" s="942"/>
      <c r="J30" s="942"/>
      <c r="K30" s="942"/>
    </row>
    <row r="31" spans="2:17" x14ac:dyDescent="0.3">
      <c r="B31" s="4" t="s">
        <v>75</v>
      </c>
      <c r="C31" s="943"/>
      <c r="D31" s="942"/>
      <c r="E31" s="942"/>
      <c r="F31" s="942"/>
      <c r="G31" s="942"/>
      <c r="H31" s="942"/>
      <c r="I31" s="942"/>
      <c r="J31" s="942"/>
      <c r="K31" s="942"/>
    </row>
    <row r="32" spans="2:17" x14ac:dyDescent="0.3">
      <c r="B32" s="4" t="s">
        <v>76</v>
      </c>
      <c r="C32" s="943"/>
      <c r="D32" s="942"/>
      <c r="E32" s="942"/>
      <c r="F32" s="942"/>
      <c r="G32" s="942"/>
      <c r="H32" s="942"/>
      <c r="I32" s="942"/>
      <c r="J32" s="942"/>
      <c r="K32" s="942"/>
    </row>
    <row r="33" spans="2:11" x14ac:dyDescent="0.3">
      <c r="B33" s="4" t="s">
        <v>77</v>
      </c>
      <c r="C33" s="943"/>
      <c r="D33" s="942"/>
      <c r="E33" s="942"/>
      <c r="F33" s="942"/>
      <c r="G33" s="942"/>
      <c r="H33" s="942"/>
      <c r="I33" s="942"/>
      <c r="J33" s="942"/>
      <c r="K33" s="942"/>
    </row>
    <row r="34" spans="2:11" x14ac:dyDescent="0.3">
      <c r="B34" s="4" t="s">
        <v>78</v>
      </c>
      <c r="C34" s="943"/>
      <c r="D34" s="942"/>
      <c r="E34" s="942"/>
      <c r="F34" s="942"/>
      <c r="G34" s="942"/>
      <c r="H34" s="942"/>
      <c r="I34" s="942"/>
      <c r="J34" s="942"/>
      <c r="K34" s="942"/>
    </row>
    <row r="35" spans="2:11" x14ac:dyDescent="0.3">
      <c r="B35" s="4" t="s">
        <v>79</v>
      </c>
      <c r="C35" s="943"/>
      <c r="D35" s="942"/>
      <c r="E35" s="942"/>
      <c r="F35" s="942"/>
      <c r="G35" s="942"/>
      <c r="H35" s="942"/>
      <c r="I35" s="942"/>
      <c r="J35" s="942"/>
      <c r="K35" s="942"/>
    </row>
    <row r="36" spans="2:11" x14ac:dyDescent="0.3">
      <c r="B36" s="4" t="s">
        <v>80</v>
      </c>
      <c r="C36" s="943"/>
      <c r="D36" s="942"/>
      <c r="E36" s="942"/>
      <c r="F36" s="942"/>
      <c r="G36" s="942"/>
      <c r="H36" s="942"/>
      <c r="I36" s="942"/>
      <c r="J36" s="942"/>
      <c r="K36" s="942"/>
    </row>
    <row r="37" spans="2:11" x14ac:dyDescent="0.3">
      <c r="B37" s="4" t="s">
        <v>81</v>
      </c>
      <c r="C37" s="943"/>
      <c r="D37" s="942"/>
      <c r="E37" s="942"/>
      <c r="F37" s="942"/>
      <c r="G37" s="942"/>
      <c r="H37" s="942"/>
      <c r="I37" s="942"/>
      <c r="J37" s="942"/>
      <c r="K37" s="942"/>
    </row>
    <row r="38" spans="2:11" x14ac:dyDescent="0.3">
      <c r="B38" s="4" t="s">
        <v>82</v>
      </c>
      <c r="C38" s="943"/>
      <c r="D38" s="942"/>
      <c r="E38" s="942"/>
      <c r="F38" s="942"/>
      <c r="G38" s="942"/>
      <c r="H38" s="942"/>
      <c r="I38" s="942"/>
      <c r="J38" s="942"/>
      <c r="K38" s="942"/>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4" t="s">
        <v>83</v>
      </c>
      <c r="E4" s="944"/>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7"/>
  <sheetViews>
    <sheetView workbookViewId="0">
      <selection activeCell="G30" sqref="G30"/>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I50" sqref="I50"/>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9" t="s">
        <v>103</v>
      </c>
      <c r="C7" s="945" t="s">
        <v>102</v>
      </c>
      <c r="D7" s="947"/>
      <c r="E7" s="945" t="s">
        <v>123</v>
      </c>
      <c r="F7" s="947"/>
      <c r="G7" s="945" t="s">
        <v>194</v>
      </c>
      <c r="H7" s="948"/>
      <c r="I7" s="945" t="s">
        <v>195</v>
      </c>
      <c r="J7" s="947"/>
      <c r="K7" s="945" t="s">
        <v>162</v>
      </c>
      <c r="L7" s="947"/>
      <c r="M7" s="945" t="s">
        <v>196</v>
      </c>
      <c r="N7" s="947"/>
      <c r="O7" s="945" t="s">
        <v>170</v>
      </c>
      <c r="P7" s="948"/>
      <c r="Q7" s="945" t="s">
        <v>197</v>
      </c>
      <c r="R7" s="946"/>
      <c r="S7" s="338"/>
      <c r="T7" s="338"/>
      <c r="U7" s="338"/>
      <c r="V7" s="338"/>
      <c r="W7" s="338"/>
      <c r="X7" s="338"/>
      <c r="Y7" s="126"/>
      <c r="Z7" s="339"/>
      <c r="AA7" s="340"/>
      <c r="AB7" s="340"/>
      <c r="AC7" s="340"/>
      <c r="AD7" s="340"/>
      <c r="AE7" s="340"/>
    </row>
    <row r="8" spans="1:31" s="14" customFormat="1" ht="18" customHeight="1" x14ac:dyDescent="0.3">
      <c r="A8" s="126"/>
      <c r="B8" s="950"/>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9" t="s">
        <v>103</v>
      </c>
      <c r="C23" s="945" t="s">
        <v>210</v>
      </c>
      <c r="D23" s="947"/>
      <c r="E23" s="945" t="s">
        <v>211</v>
      </c>
      <c r="F23" s="947"/>
      <c r="G23" s="945" t="s">
        <v>212</v>
      </c>
      <c r="H23" s="947"/>
      <c r="I23" s="945" t="s">
        <v>165</v>
      </c>
      <c r="J23" s="947"/>
      <c r="K23" s="945" t="s">
        <v>213</v>
      </c>
      <c r="L23" s="947"/>
      <c r="M23" s="945" t="s">
        <v>197</v>
      </c>
      <c r="N23" s="946"/>
      <c r="O23" s="126"/>
      <c r="P23" s="339"/>
      <c r="Q23" s="340"/>
      <c r="R23" s="340"/>
      <c r="S23" s="340"/>
      <c r="T23" s="340"/>
      <c r="U23" s="340"/>
    </row>
    <row r="24" spans="1:28" s="14" customFormat="1" ht="18" customHeight="1" x14ac:dyDescent="0.3">
      <c r="A24" s="126"/>
      <c r="B24" s="950"/>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tabSelected="1" view="pageBreakPreview" zoomScale="60" zoomScaleNormal="75" workbookViewId="0">
      <selection activeCell="B8" sqref="B8"/>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52"/>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680">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680">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680">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680">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680">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680">
        <f>$U96*W96</f>
        <v>0</v>
      </c>
      <c r="E16" s="798"/>
      <c r="F16" s="798"/>
      <c r="G16" s="798"/>
      <c r="H16" s="798"/>
      <c r="I16" s="798"/>
      <c r="J16" s="798"/>
      <c r="K16" s="798"/>
      <c r="L16" s="798"/>
      <c r="M16" s="798"/>
      <c r="N16" s="798"/>
      <c r="O16" s="798"/>
      <c r="P16" s="798"/>
      <c r="Q16" s="798"/>
      <c r="R16" s="798"/>
      <c r="S16" s="680">
        <f t="shared" si="19"/>
        <v>0</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680">
        <v>38293</v>
      </c>
      <c r="E17" s="798"/>
      <c r="F17" s="798"/>
      <c r="G17" s="798"/>
      <c r="H17" s="798"/>
      <c r="I17" s="798"/>
      <c r="J17" s="798"/>
      <c r="K17" s="798"/>
      <c r="L17" s="798"/>
      <c r="M17" s="798"/>
      <c r="N17" s="798"/>
      <c r="O17" s="798"/>
      <c r="P17" s="798"/>
      <c r="Q17" s="798"/>
      <c r="R17" s="798"/>
      <c r="S17" s="680">
        <f t="shared" si="19"/>
        <v>38293</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680">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680">
        <f>$U99*W99</f>
        <v>0</v>
      </c>
      <c r="E19" s="798"/>
      <c r="F19" s="798"/>
      <c r="G19" s="798"/>
      <c r="H19" s="798"/>
      <c r="I19" s="798"/>
      <c r="J19" s="798"/>
      <c r="K19" s="798"/>
      <c r="L19" s="798"/>
      <c r="M19" s="798"/>
      <c r="N19" s="798"/>
      <c r="O19" s="798"/>
      <c r="P19" s="798"/>
      <c r="Q19" s="798"/>
      <c r="R19" s="798"/>
      <c r="S19" s="680">
        <f t="shared" si="19"/>
        <v>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680">
        <v>34800</v>
      </c>
      <c r="E20" s="798"/>
      <c r="F20" s="798"/>
      <c r="G20" s="798"/>
      <c r="H20" s="798"/>
      <c r="I20" s="798"/>
      <c r="J20" s="798"/>
      <c r="K20" s="798"/>
      <c r="L20" s="798"/>
      <c r="M20" s="798"/>
      <c r="N20" s="798"/>
      <c r="O20" s="798"/>
      <c r="P20" s="798"/>
      <c r="Q20" s="798"/>
      <c r="R20" s="798"/>
      <c r="S20" s="680">
        <f t="shared" si="19"/>
        <v>34800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x14ac:dyDescent="0.3">
      <c r="B24" s="476" t="s">
        <v>312</v>
      </c>
      <c r="C24" s="339"/>
      <c r="D24" s="3"/>
      <c r="U24" s="99"/>
      <c r="W24" s="3" t="s">
        <v>299</v>
      </c>
    </row>
    <row r="25" spans="1:55"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40" spans="1:38" x14ac:dyDescent="0.3">
      <c r="B40" s="476" t="s">
        <v>123</v>
      </c>
      <c r="C40" s="339"/>
      <c r="D40" s="3"/>
      <c r="E40" s="3"/>
      <c r="F40" s="3"/>
      <c r="G40" s="3"/>
      <c r="H40" s="3"/>
      <c r="I40" s="3"/>
      <c r="J40" s="3"/>
      <c r="K40" s="3"/>
      <c r="L40" s="3"/>
      <c r="M40" s="3"/>
      <c r="N40" s="3"/>
      <c r="O40" s="3"/>
      <c r="P40" s="3"/>
      <c r="Q40" s="3"/>
      <c r="R40" s="3"/>
      <c r="S40" s="3"/>
      <c r="W40" s="3" t="s">
        <v>299</v>
      </c>
    </row>
    <row r="41" spans="1:38"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680">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680">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680">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680">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680">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680">
        <f>$U80*W80</f>
        <v>0</v>
      </c>
      <c r="E80" s="798"/>
      <c r="F80" s="798"/>
      <c r="G80" s="798"/>
      <c r="H80" s="798"/>
      <c r="I80" s="798"/>
      <c r="J80" s="798"/>
      <c r="K80" s="798"/>
      <c r="L80" s="798"/>
      <c r="M80" s="798"/>
      <c r="N80" s="798"/>
      <c r="O80" s="798"/>
      <c r="P80" s="798"/>
      <c r="Q80" s="798"/>
      <c r="R80" s="798"/>
      <c r="S80" s="680">
        <f t="shared" si="154"/>
        <v>0</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680">
        <v>0</v>
      </c>
      <c r="E81" s="798"/>
      <c r="F81" s="798"/>
      <c r="G81" s="798"/>
      <c r="H81" s="798"/>
      <c r="I81" s="798"/>
      <c r="J81" s="798"/>
      <c r="K81" s="798"/>
      <c r="L81" s="798"/>
      <c r="M81" s="798"/>
      <c r="N81" s="798"/>
      <c r="O81" s="798"/>
      <c r="P81" s="798"/>
      <c r="Q81" s="798"/>
      <c r="R81" s="798"/>
      <c r="S81" s="680">
        <f t="shared" si="154"/>
        <v>0</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680">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680">
        <f>$U83*W83</f>
        <v>0</v>
      </c>
      <c r="E83" s="798"/>
      <c r="F83" s="798"/>
      <c r="G83" s="798"/>
      <c r="H83" s="798"/>
      <c r="I83" s="798"/>
      <c r="J83" s="798"/>
      <c r="K83" s="798"/>
      <c r="L83" s="798"/>
      <c r="M83" s="798"/>
      <c r="N83" s="798"/>
      <c r="O83" s="798"/>
      <c r="P83" s="798"/>
      <c r="Q83" s="798"/>
      <c r="R83" s="798"/>
      <c r="S83" s="680">
        <f t="shared" si="154"/>
        <v>0</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680">
        <v>0</v>
      </c>
      <c r="E84" s="798"/>
      <c r="F84" s="798"/>
      <c r="G84" s="798"/>
      <c r="H84" s="798"/>
      <c r="I84" s="798"/>
      <c r="J84" s="798"/>
      <c r="K84" s="798"/>
      <c r="L84" s="798"/>
      <c r="M84" s="798"/>
      <c r="N84" s="798"/>
      <c r="O84" s="798"/>
      <c r="P84" s="798"/>
      <c r="Q84" s="798"/>
      <c r="R84" s="798"/>
      <c r="S84" s="680">
        <f t="shared" si="154"/>
        <v>0</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3018</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3018</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680">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680">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680">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680">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680">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680">
        <f t="shared" ref="D96:D99" si="193">$U96*W96</f>
        <v>0</v>
      </c>
      <c r="E96" s="798"/>
      <c r="F96" s="798"/>
      <c r="G96" s="798"/>
      <c r="H96" s="798"/>
      <c r="I96" s="798"/>
      <c r="J96" s="798"/>
      <c r="K96" s="798"/>
      <c r="L96" s="798"/>
      <c r="M96" s="798"/>
      <c r="N96" s="798"/>
      <c r="O96" s="798"/>
      <c r="P96" s="798"/>
      <c r="Q96" s="798"/>
      <c r="R96" s="798"/>
      <c r="S96" s="680">
        <f t="shared" si="190"/>
        <v>0</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680">
        <v>30</v>
      </c>
      <c r="E97" s="798"/>
      <c r="F97" s="798"/>
      <c r="G97" s="798"/>
      <c r="H97" s="798"/>
      <c r="I97" s="798"/>
      <c r="J97" s="798"/>
      <c r="K97" s="798"/>
      <c r="L97" s="798"/>
      <c r="M97" s="798"/>
      <c r="N97" s="798"/>
      <c r="O97" s="798"/>
      <c r="P97" s="798"/>
      <c r="Q97" s="798"/>
      <c r="R97" s="798"/>
      <c r="S97" s="680">
        <f t="shared" si="190"/>
        <v>30</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680">
        <f t="shared" si="193"/>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680">
        <f t="shared" si="193"/>
        <v>0</v>
      </c>
      <c r="E99" s="798"/>
      <c r="F99" s="798"/>
      <c r="G99" s="798"/>
      <c r="H99" s="798"/>
      <c r="I99" s="798"/>
      <c r="J99" s="798"/>
      <c r="K99" s="798"/>
      <c r="L99" s="798"/>
      <c r="M99" s="798"/>
      <c r="N99" s="798"/>
      <c r="O99" s="798"/>
      <c r="P99" s="798"/>
      <c r="Q99" s="798"/>
      <c r="R99" s="798"/>
      <c r="S99" s="680">
        <f t="shared" si="190"/>
        <v>0</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680">
        <v>1</v>
      </c>
      <c r="E100" s="798"/>
      <c r="F100" s="798"/>
      <c r="G100" s="798"/>
      <c r="H100" s="798"/>
      <c r="I100" s="798"/>
      <c r="J100" s="798"/>
      <c r="K100" s="798"/>
      <c r="L100" s="798"/>
      <c r="M100" s="798"/>
      <c r="N100" s="798"/>
      <c r="O100" s="798"/>
      <c r="P100" s="798"/>
      <c r="Q100" s="798"/>
      <c r="R100" s="798"/>
      <c r="S100" s="680">
        <f t="shared" si="190"/>
        <v>1</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x14ac:dyDescent="0.3">
      <c r="B104" s="441" t="s">
        <v>138</v>
      </c>
      <c r="C104" s="339"/>
      <c r="W104" s="3" t="s">
        <v>299</v>
      </c>
    </row>
    <row r="105" spans="2:38"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680">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680">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680">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680">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680">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680">
        <f t="shared" ref="D128:D132" si="266">$U128*W128</f>
        <v>0</v>
      </c>
      <c r="E128" s="798"/>
      <c r="F128" s="798"/>
      <c r="G128" s="798"/>
      <c r="H128" s="798"/>
      <c r="I128" s="798"/>
      <c r="J128" s="798"/>
      <c r="K128" s="798"/>
      <c r="L128" s="798"/>
      <c r="M128" s="798"/>
      <c r="N128" s="798"/>
      <c r="O128" s="798"/>
      <c r="P128" s="798"/>
      <c r="Q128" s="798"/>
      <c r="R128" s="798"/>
      <c r="S128" s="680">
        <f t="shared" si="263"/>
        <v>0</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680">
        <v>15</v>
      </c>
      <c r="E129" s="798"/>
      <c r="F129" s="798"/>
      <c r="G129" s="798"/>
      <c r="H129" s="798"/>
      <c r="I129" s="798"/>
      <c r="J129" s="798"/>
      <c r="K129" s="798"/>
      <c r="L129" s="798"/>
      <c r="M129" s="798"/>
      <c r="N129" s="798"/>
      <c r="O129" s="798"/>
      <c r="P129" s="798"/>
      <c r="Q129" s="798"/>
      <c r="R129" s="798"/>
      <c r="S129" s="680">
        <f t="shared" si="263"/>
        <v>15</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680">
        <f t="shared" si="266"/>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680">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680">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x14ac:dyDescent="0.3">
      <c r="B136" s="476" t="s">
        <v>162</v>
      </c>
      <c r="C136" s="339"/>
      <c r="W136" s="3" t="s">
        <v>299</v>
      </c>
    </row>
    <row r="137" spans="2:38"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2" spans="2:38" x14ac:dyDescent="0.3">
      <c r="B142" s="476" t="s">
        <v>165</v>
      </c>
      <c r="C142" s="339"/>
      <c r="W142" s="3" t="s">
        <v>299</v>
      </c>
    </row>
    <row r="143" spans="2:38"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8" spans="2:38" x14ac:dyDescent="0.3">
      <c r="B148" s="476" t="s">
        <v>197</v>
      </c>
      <c r="C148" s="339"/>
      <c r="W148" s="3" t="s">
        <v>299</v>
      </c>
    </row>
    <row r="149" spans="2:38"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3" spans="2:38" x14ac:dyDescent="0.3">
      <c r="B153" s="476" t="s">
        <v>169</v>
      </c>
      <c r="C153" s="339"/>
      <c r="W153" s="3" t="s">
        <v>299</v>
      </c>
    </row>
    <row r="154" spans="2:38"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8" spans="2:38" x14ac:dyDescent="0.3">
      <c r="B158" s="476" t="s">
        <v>170</v>
      </c>
      <c r="C158" s="339"/>
      <c r="W158" s="3" t="s">
        <v>299</v>
      </c>
    </row>
    <row r="159" spans="2:38"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3" spans="2:38" x14ac:dyDescent="0.3">
      <c r="B163" s="476" t="s">
        <v>172</v>
      </c>
      <c r="C163" s="339"/>
      <c r="W163" s="3" t="s">
        <v>299</v>
      </c>
    </row>
    <row r="164" spans="2:38"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8" spans="2:38" x14ac:dyDescent="0.3">
      <c r="B178" s="441" t="s">
        <v>184</v>
      </c>
      <c r="C178" s="339"/>
      <c r="W178" s="3" t="s">
        <v>299</v>
      </c>
    </row>
    <row r="179" spans="2:38"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3" spans="2:38" x14ac:dyDescent="0.3">
      <c r="B183" s="441" t="s">
        <v>187</v>
      </c>
      <c r="C183" s="339"/>
      <c r="W183" s="3" t="s">
        <v>299</v>
      </c>
    </row>
    <row r="184" spans="2:38"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D19" sqref="D19"/>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3">
      <c r="B8" s="423" t="s">
        <v>170</v>
      </c>
      <c r="C8" s="807" t="s">
        <v>394</v>
      </c>
      <c r="D8" s="913"/>
      <c r="E8" s="931"/>
      <c r="F8" s="931"/>
      <c r="G8" s="931"/>
      <c r="H8" s="931"/>
      <c r="I8" s="931"/>
      <c r="J8" s="931"/>
      <c r="K8" s="931"/>
      <c r="L8" s="931"/>
      <c r="M8" s="931"/>
      <c r="N8" s="931"/>
      <c r="O8" s="931"/>
      <c r="P8" s="931"/>
      <c r="Q8" s="931"/>
      <c r="R8" s="931"/>
      <c r="S8" s="903">
        <f>SUM(D8:R8)</f>
        <v>0</v>
      </c>
    </row>
    <row r="9" spans="2:19"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3">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D13" sqref="D13"/>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v>1511</v>
      </c>
      <c r="E9" s="808"/>
      <c r="F9" s="808"/>
      <c r="G9" s="808"/>
      <c r="H9" s="808"/>
      <c r="I9" s="808"/>
      <c r="J9" s="808"/>
      <c r="K9" s="808"/>
      <c r="L9" s="808"/>
      <c r="M9" s="808"/>
      <c r="N9" s="808"/>
      <c r="O9" s="808"/>
      <c r="P9" s="808"/>
      <c r="Q9" s="808"/>
      <c r="R9" s="808"/>
      <c r="S9" s="808">
        <f t="shared" si="0"/>
        <v>1511</v>
      </c>
      <c r="W9" s="805"/>
      <c r="X9" s="805"/>
    </row>
    <row r="10" spans="2:24" x14ac:dyDescent="0.3">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v>3321</v>
      </c>
      <c r="E13" s="808"/>
      <c r="F13" s="808"/>
      <c r="G13" s="808"/>
      <c r="H13" s="808"/>
      <c r="I13" s="808"/>
      <c r="J13" s="808"/>
      <c r="K13" s="808"/>
      <c r="L13" s="808"/>
      <c r="M13" s="808"/>
      <c r="N13" s="808"/>
      <c r="O13" s="808"/>
      <c r="P13" s="808"/>
      <c r="Q13" s="808"/>
      <c r="R13" s="808"/>
      <c r="S13" s="808">
        <f t="shared" si="0"/>
        <v>3321</v>
      </c>
      <c r="W13" s="805"/>
      <c r="X13" s="805"/>
    </row>
    <row r="14" spans="2:24" x14ac:dyDescent="0.3">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4832</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4832</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1" t="s">
        <v>449</v>
      </c>
    </row>
    <row r="19" spans="2:5" x14ac:dyDescent="0.3">
      <c r="B19" s="169" t="s">
        <v>458</v>
      </c>
      <c r="C19" s="449">
        <v>0.75</v>
      </c>
      <c r="D19" s="445">
        <f t="shared" ref="D19:D20" si="1">C19</f>
        <v>0.75</v>
      </c>
      <c r="E19" s="951"/>
    </row>
    <row r="20" spans="2:5" x14ac:dyDescent="0.3">
      <c r="B20" s="169" t="s">
        <v>459</v>
      </c>
      <c r="C20" s="449">
        <v>0.8</v>
      </c>
      <c r="D20" s="445">
        <f t="shared" si="1"/>
        <v>0.8</v>
      </c>
      <c r="E20" s="951"/>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topLeftCell="A11" zoomScale="75" zoomScaleNormal="75" workbookViewId="0">
      <selection activeCell="E8" sqref="E8"/>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x14ac:dyDescent="0.3">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3">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498</v>
      </c>
      <c r="W24" s="123"/>
      <c r="X24" s="632" t="str">
        <f t="shared" si="1"/>
        <v>ok</v>
      </c>
    </row>
    <row r="25" spans="2:24" customFormat="1" x14ac:dyDescent="0.3">
      <c r="B25" s="191" t="s">
        <v>78</v>
      </c>
      <c r="C25" s="191" t="s">
        <v>499</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500</v>
      </c>
      <c r="D28" s="191" t="s">
        <v>501</v>
      </c>
      <c r="E28" s="500">
        <f t="shared" si="4"/>
        <v>0.76</v>
      </c>
      <c r="F28" s="500"/>
      <c r="G28" s="500"/>
      <c r="H28" s="500"/>
      <c r="I28" s="500"/>
      <c r="J28" s="500"/>
      <c r="K28" s="500"/>
      <c r="L28" s="500"/>
      <c r="M28" s="500"/>
      <c r="N28" s="500"/>
      <c r="O28" s="500"/>
      <c r="P28" s="500"/>
      <c r="Q28" s="500"/>
      <c r="R28" s="500"/>
      <c r="S28" s="500"/>
      <c r="U28" s="519">
        <v>0.76</v>
      </c>
      <c r="V28" s="485" t="s">
        <v>502</v>
      </c>
      <c r="W28" s="123"/>
      <c r="X28" s="632" t="str">
        <f t="shared" si="1"/>
        <v>ok</v>
      </c>
    </row>
    <row r="29" spans="2:24" customFormat="1" x14ac:dyDescent="0.3">
      <c r="B29" s="191" t="s">
        <v>78</v>
      </c>
      <c r="C29" s="191" t="s">
        <v>503</v>
      </c>
      <c r="D29" s="191" t="s">
        <v>504</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3">
      <c r="B30" s="191" t="s">
        <v>78</v>
      </c>
      <c r="C30" s="191" t="s">
        <v>505</v>
      </c>
      <c r="D30" s="191" t="s">
        <v>506</v>
      </c>
      <c r="E30" s="500">
        <f t="shared" si="4"/>
        <v>8.61</v>
      </c>
      <c r="F30" s="500"/>
      <c r="G30" s="500"/>
      <c r="H30" s="500"/>
      <c r="I30" s="500"/>
      <c r="J30" s="500"/>
      <c r="K30" s="500"/>
      <c r="L30" s="500"/>
      <c r="M30" s="500"/>
      <c r="N30" s="500"/>
      <c r="O30" s="500"/>
      <c r="P30" s="500"/>
      <c r="Q30" s="500"/>
      <c r="R30" s="500"/>
      <c r="S30" s="500"/>
      <c r="U30" s="451">
        <v>8.61</v>
      </c>
      <c r="V30" s="485" t="s">
        <v>502</v>
      </c>
      <c r="W30" s="123"/>
      <c r="X30" s="632" t="str">
        <f t="shared" si="1"/>
        <v>ok</v>
      </c>
    </row>
    <row r="31" spans="2:24" customFormat="1" x14ac:dyDescent="0.3">
      <c r="B31" s="191" t="s">
        <v>507</v>
      </c>
      <c r="C31" s="186" t="s">
        <v>508</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x14ac:dyDescent="0.3">
      <c r="B32" s="191" t="s">
        <v>507</v>
      </c>
      <c r="C32" s="186" t="s">
        <v>509</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x14ac:dyDescent="0.3">
      <c r="B33" s="191" t="s">
        <v>507</v>
      </c>
      <c r="C33" s="186" t="s">
        <v>510</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x14ac:dyDescent="0.3">
      <c r="B34" s="191" t="s">
        <v>507</v>
      </c>
      <c r="C34" s="191" t="s">
        <v>500</v>
      </c>
      <c r="D34" s="191" t="s">
        <v>501</v>
      </c>
      <c r="E34" s="500">
        <f t="shared" si="4"/>
        <v>0.76</v>
      </c>
      <c r="F34" s="500"/>
      <c r="G34" s="500"/>
      <c r="H34" s="500"/>
      <c r="I34" s="500"/>
      <c r="J34" s="500"/>
      <c r="K34" s="500"/>
      <c r="L34" s="500"/>
      <c r="M34" s="500"/>
      <c r="N34" s="500"/>
      <c r="O34" s="500"/>
      <c r="P34" s="500"/>
      <c r="Q34" s="500"/>
      <c r="R34" s="500"/>
      <c r="S34" s="500"/>
      <c r="U34" s="451">
        <f>U28</f>
        <v>0.76</v>
      </c>
      <c r="V34" s="468"/>
      <c r="W34" s="123"/>
      <c r="X34" s="632" t="str">
        <f t="shared" si="1"/>
        <v>ok</v>
      </c>
    </row>
    <row r="35" spans="2:24" customFormat="1" x14ac:dyDescent="0.3">
      <c r="B35" s="191" t="s">
        <v>507</v>
      </c>
      <c r="C35" s="191" t="s">
        <v>503</v>
      </c>
      <c r="D35" s="191" t="s">
        <v>504</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x14ac:dyDescent="0.3">
      <c r="B36" s="191" t="s">
        <v>507</v>
      </c>
      <c r="C36" s="191" t="s">
        <v>505</v>
      </c>
      <c r="D36" s="191" t="s">
        <v>506</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x14ac:dyDescent="0.3">
      <c r="B37" s="186" t="s">
        <v>80</v>
      </c>
      <c r="C37" s="186" t="s">
        <v>511</v>
      </c>
      <c r="D37" s="186" t="s">
        <v>512</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x14ac:dyDescent="0.3">
      <c r="B38" s="186" t="s">
        <v>80</v>
      </c>
      <c r="C38" s="186" t="s">
        <v>513</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x14ac:dyDescent="0.3">
      <c r="B39" s="186" t="s">
        <v>80</v>
      </c>
      <c r="C39" s="186" t="s">
        <v>417</v>
      </c>
      <c r="D39" s="186" t="s">
        <v>515</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x14ac:dyDescent="0.3">
      <c r="B40" s="186" t="s">
        <v>80</v>
      </c>
      <c r="C40" s="186" t="s">
        <v>417</v>
      </c>
      <c r="D40" s="186" t="s">
        <v>516</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x14ac:dyDescent="0.3">
      <c r="B41" s="186" t="s">
        <v>80</v>
      </c>
      <c r="C41" s="186" t="s">
        <v>419</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x14ac:dyDescent="0.3">
      <c r="B42" s="186" t="s">
        <v>80</v>
      </c>
      <c r="C42" s="186" t="s">
        <v>441</v>
      </c>
      <c r="D42" s="186"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x14ac:dyDescent="0.3">
      <c r="B43" s="191" t="s">
        <v>81</v>
      </c>
      <c r="C43" s="191" t="s">
        <v>81</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x14ac:dyDescent="0.3">
      <c r="B44" s="191" t="s">
        <v>81</v>
      </c>
      <c r="C44" s="191" t="s">
        <v>443</v>
      </c>
      <c r="D44" s="191" t="s">
        <v>520</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x14ac:dyDescent="0.3">
      <c r="B45" s="191" t="s">
        <v>81</v>
      </c>
      <c r="C45" s="191" t="s">
        <v>521</v>
      </c>
      <c r="D45" s="191" t="s">
        <v>522</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x14ac:dyDescent="0.3">
      <c r="B46" s="186" t="s">
        <v>82</v>
      </c>
      <c r="C46" s="186" t="s">
        <v>523</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c r="B47" s="186" t="s">
        <v>82</v>
      </c>
      <c r="C47" s="186" t="s">
        <v>82</v>
      </c>
      <c r="D47" s="186" t="s">
        <v>525</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sheetData>
  <sortState xmlns:xlrd2="http://schemas.microsoft.com/office/spreadsheetml/2017/richdata2" ref="B18:V42">
    <sortCondition ref="B6"/>
  </sortState>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E17" sqref="E17"/>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526</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527</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v>12.8</v>
      </c>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v>12.8</v>
      </c>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v>13.15</v>
      </c>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v>13.15</v>
      </c>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x14ac:dyDescent="0.3">
      <c r="B18" s="441" t="s">
        <v>528</v>
      </c>
      <c r="C18" s="339"/>
      <c r="U18" s="269"/>
    </row>
    <row r="19" spans="2:2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527</v>
      </c>
      <c r="U19" s="269"/>
    </row>
    <row r="20" spans="2:2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x14ac:dyDescent="0.3">
      <c r="B21" s="169" t="s">
        <v>108</v>
      </c>
      <c r="C21" s="169" t="s">
        <v>529</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x14ac:dyDescent="0.3">
      <c r="B22" s="169" t="s">
        <v>203</v>
      </c>
      <c r="C22" s="169" t="s">
        <v>530</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x14ac:dyDescent="0.3">
      <c r="B23" s="169" t="s">
        <v>110</v>
      </c>
      <c r="C23" s="169" t="s">
        <v>531</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x14ac:dyDescent="0.3">
      <c r="B24" s="169" t="s">
        <v>111</v>
      </c>
      <c r="C24" s="169" t="s">
        <v>532</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x14ac:dyDescent="0.3">
      <c r="B25" s="169" t="s">
        <v>112</v>
      </c>
      <c r="C25" s="169" t="s">
        <v>533</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x14ac:dyDescent="0.3">
      <c r="B26" s="169" t="s">
        <v>204</v>
      </c>
      <c r="C26" s="169" t="s">
        <v>534</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x14ac:dyDescent="0.3">
      <c r="B27" s="169" t="s">
        <v>205</v>
      </c>
      <c r="C27" s="169" t="s">
        <v>535</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x14ac:dyDescent="0.3">
      <c r="B28" s="169" t="s">
        <v>115</v>
      </c>
      <c r="C28" s="169" t="s">
        <v>536</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x14ac:dyDescent="0.3">
      <c r="B29" s="169" t="s">
        <v>206</v>
      </c>
      <c r="C29" s="169" t="s">
        <v>537</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x14ac:dyDescent="0.3">
      <c r="B30" s="169" t="s">
        <v>207</v>
      </c>
      <c r="C30" s="169" t="s">
        <v>538</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x14ac:dyDescent="0.3">
      <c r="B31" s="114"/>
      <c r="C31" s="114"/>
      <c r="D31" s="268"/>
      <c r="E31" s="268"/>
      <c r="F31" s="268"/>
      <c r="G31" s="268"/>
      <c r="H31" s="268"/>
      <c r="I31" s="268"/>
      <c r="J31" s="268"/>
      <c r="K31" s="268"/>
      <c r="L31" s="268"/>
      <c r="M31" s="268"/>
      <c r="N31" s="268"/>
      <c r="O31" s="268"/>
      <c r="P31" s="268"/>
      <c r="Q31" s="268"/>
      <c r="R31" s="268"/>
      <c r="T31" s="269"/>
      <c r="U31" s="269"/>
    </row>
    <row r="32" spans="2:21" x14ac:dyDescent="0.3">
      <c r="B32" s="114"/>
      <c r="C32" s="114"/>
      <c r="D32" s="268"/>
      <c r="E32" s="268"/>
      <c r="F32" s="268"/>
      <c r="G32" s="268"/>
      <c r="H32" s="268"/>
      <c r="I32" s="268"/>
      <c r="J32" s="268"/>
      <c r="K32" s="268"/>
      <c r="L32" s="268"/>
      <c r="M32" s="268"/>
      <c r="N32" s="268"/>
      <c r="O32" s="268"/>
      <c r="P32" s="268"/>
      <c r="Q32" s="268"/>
      <c r="R32" s="268"/>
      <c r="T32" s="269"/>
      <c r="U32" s="269"/>
    </row>
    <row r="33" spans="2:21" x14ac:dyDescent="0.3">
      <c r="B33" s="441" t="s">
        <v>312</v>
      </c>
      <c r="C33" s="339"/>
    </row>
    <row r="34" spans="2:2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527</v>
      </c>
      <c r="U34" s="260"/>
    </row>
    <row r="35" spans="2:2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x14ac:dyDescent="0.3">
      <c r="B46" s="114"/>
      <c r="C46" s="114"/>
      <c r="D46" s="268"/>
      <c r="E46" s="268"/>
      <c r="F46" s="268"/>
      <c r="G46" s="268"/>
      <c r="H46" s="268"/>
      <c r="I46" s="268"/>
      <c r="J46" s="268"/>
      <c r="K46" s="268"/>
      <c r="L46" s="268"/>
      <c r="M46" s="268"/>
      <c r="N46" s="268"/>
      <c r="O46" s="268"/>
      <c r="P46" s="268"/>
      <c r="Q46" s="268"/>
      <c r="R46" s="268"/>
      <c r="T46" s="269"/>
      <c r="U46" s="269"/>
    </row>
    <row r="47" spans="2:21" x14ac:dyDescent="0.3">
      <c r="B47" s="114"/>
      <c r="C47" s="114"/>
      <c r="D47" s="268"/>
      <c r="E47" s="268"/>
      <c r="F47" s="268"/>
      <c r="G47" s="268"/>
      <c r="H47" s="268"/>
      <c r="I47" s="268"/>
      <c r="J47" s="268"/>
      <c r="K47" s="268"/>
      <c r="L47" s="268"/>
      <c r="M47" s="268"/>
      <c r="N47" s="268"/>
      <c r="O47" s="268"/>
      <c r="P47" s="268"/>
      <c r="Q47" s="268"/>
      <c r="R47" s="268"/>
      <c r="T47" s="269"/>
      <c r="U47" s="269"/>
    </row>
    <row r="48" spans="2:21" x14ac:dyDescent="0.3">
      <c r="B48" s="441" t="s">
        <v>539</v>
      </c>
      <c r="C48" s="339"/>
    </row>
    <row r="49" spans="2:2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527</v>
      </c>
      <c r="U49" s="260"/>
    </row>
    <row r="50" spans="2:2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x14ac:dyDescent="0.3">
      <c r="B61" s="114"/>
      <c r="C61" s="114"/>
      <c r="D61" s="268"/>
      <c r="E61" s="268"/>
      <c r="F61" s="268"/>
      <c r="G61" s="268"/>
      <c r="H61" s="268"/>
      <c r="I61" s="268"/>
      <c r="J61" s="268"/>
      <c r="K61" s="268"/>
      <c r="L61" s="268"/>
      <c r="M61" s="268"/>
      <c r="N61" s="268"/>
      <c r="O61" s="268"/>
      <c r="P61" s="268"/>
      <c r="Q61" s="268"/>
      <c r="R61" s="268"/>
      <c r="T61" s="269"/>
      <c r="U61" s="269"/>
    </row>
    <row r="62" spans="2:21" x14ac:dyDescent="0.3">
      <c r="B62" s="149"/>
      <c r="C62" s="149"/>
    </row>
    <row r="63" spans="2:21" x14ac:dyDescent="0.3">
      <c r="B63" s="441" t="s">
        <v>540</v>
      </c>
      <c r="C63" s="339"/>
      <c r="D63" s="114"/>
      <c r="E63" s="114"/>
      <c r="F63" s="114"/>
      <c r="G63" s="114"/>
      <c r="H63" s="114"/>
      <c r="I63" s="114"/>
      <c r="J63" s="114"/>
      <c r="K63" s="114"/>
      <c r="L63" s="114"/>
      <c r="M63" s="114"/>
      <c r="N63" s="114"/>
      <c r="O63" s="114"/>
      <c r="P63" s="114"/>
      <c r="Q63" s="114"/>
      <c r="R63" s="114"/>
    </row>
    <row r="64" spans="2:2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7" spans="2:21" x14ac:dyDescent="0.3">
      <c r="B77" s="149"/>
      <c r="C77" s="149"/>
    </row>
    <row r="78" spans="2:21" x14ac:dyDescent="0.3">
      <c r="B78" s="441" t="s">
        <v>541</v>
      </c>
      <c r="C78" s="339"/>
      <c r="D78" s="114"/>
      <c r="E78" s="114"/>
      <c r="F78" s="114"/>
      <c r="G78" s="114"/>
      <c r="H78" s="114"/>
      <c r="I78" s="114"/>
      <c r="J78" s="114"/>
      <c r="K78" s="114"/>
      <c r="L78" s="114"/>
      <c r="M78" s="114"/>
      <c r="N78" s="114"/>
      <c r="O78" s="114"/>
      <c r="P78" s="114"/>
      <c r="Q78" s="114"/>
      <c r="R78" s="114"/>
    </row>
    <row r="79" spans="2:2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x14ac:dyDescent="0.3">
      <c r="B82" s="169" t="s">
        <v>203</v>
      </c>
      <c r="C82" s="169" t="s">
        <v>542</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x14ac:dyDescent="0.3">
      <c r="B85" s="169" t="s">
        <v>112</v>
      </c>
      <c r="C85" s="169" t="s">
        <v>543</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2" spans="2:21" x14ac:dyDescent="0.3">
      <c r="B92" s="149"/>
      <c r="C92" s="149"/>
    </row>
    <row r="93" spans="2:21" x14ac:dyDescent="0.3">
      <c r="B93" s="441" t="s">
        <v>544</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E96" s="265"/>
      <c r="F96" s="265"/>
      <c r="G96" s="265"/>
      <c r="H96" s="265"/>
      <c r="I96" s="265"/>
      <c r="J96" s="265"/>
      <c r="K96" s="265"/>
      <c r="L96" s="265"/>
      <c r="M96" s="265"/>
      <c r="N96" s="265"/>
      <c r="O96" s="265"/>
      <c r="P96" s="265"/>
      <c r="Q96" s="265"/>
      <c r="R96" s="265"/>
      <c r="T96" s="820"/>
      <c r="U96" s="16"/>
    </row>
    <row r="97" spans="2:21" x14ac:dyDescent="0.3">
      <c r="B97" s="169" t="s">
        <v>203</v>
      </c>
      <c r="C97" s="169" t="s">
        <v>327</v>
      </c>
      <c r="E97" s="265"/>
      <c r="F97" s="265"/>
      <c r="G97" s="265"/>
      <c r="H97" s="265"/>
      <c r="I97" s="265"/>
      <c r="J97" s="265"/>
      <c r="K97" s="265"/>
      <c r="L97" s="265"/>
      <c r="M97" s="265"/>
      <c r="N97" s="265"/>
      <c r="O97" s="265"/>
      <c r="P97" s="265"/>
      <c r="Q97" s="265"/>
      <c r="R97" s="265"/>
      <c r="T97" s="820"/>
      <c r="U97" s="16"/>
    </row>
    <row r="98" spans="2:21" x14ac:dyDescent="0.3">
      <c r="B98" s="169" t="s">
        <v>110</v>
      </c>
      <c r="C98" s="169" t="s">
        <v>328</v>
      </c>
      <c r="E98" s="265"/>
      <c r="F98" s="265"/>
      <c r="G98" s="265"/>
      <c r="H98" s="265"/>
      <c r="I98" s="265"/>
      <c r="J98" s="265"/>
      <c r="K98" s="265"/>
      <c r="L98" s="265"/>
      <c r="M98" s="265"/>
      <c r="N98" s="265"/>
      <c r="O98" s="265"/>
      <c r="P98" s="265"/>
      <c r="Q98" s="265"/>
      <c r="R98" s="265"/>
      <c r="T98" s="820"/>
      <c r="U98" s="16"/>
    </row>
    <row r="99" spans="2:21" x14ac:dyDescent="0.3">
      <c r="B99" s="169" t="s">
        <v>111</v>
      </c>
      <c r="C99" s="169" t="s">
        <v>329</v>
      </c>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545</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546</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f>14940/1000</f>
        <v>14.94</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f t="shared" ref="D127:D135" si="16">14940/1000</f>
        <v>14.94</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f t="shared" si="16"/>
        <v>14.94</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f t="shared" si="16"/>
        <v>14.94</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f t="shared" si="16"/>
        <v>14.94</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f t="shared" si="16"/>
        <v>14.94</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f t="shared" si="16"/>
        <v>14.94</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f t="shared" si="16"/>
        <v>14.94</v>
      </c>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f t="shared" si="16"/>
        <v>14.94</v>
      </c>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f t="shared" si="16"/>
        <v>14.94</v>
      </c>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x14ac:dyDescent="0.3">
      <c r="B138" s="441" t="s">
        <v>547</v>
      </c>
      <c r="C138" s="339"/>
    </row>
    <row r="139" spans="2:20" x14ac:dyDescent="0.3">
      <c r="B139" s="441" t="s">
        <v>103</v>
      </c>
      <c r="C139" s="264" t="s">
        <v>104</v>
      </c>
      <c r="D139" s="17" t="str">
        <f>D$4</f>
        <v>Z01</v>
      </c>
      <c r="E139" s="17" t="str">
        <f t="shared" ref="E139:R139" si="17">E$4</f>
        <v>Z02</v>
      </c>
      <c r="F139" s="17" t="str">
        <f t="shared" si="17"/>
        <v>Z03</v>
      </c>
      <c r="G139" s="17" t="str">
        <f t="shared" si="17"/>
        <v>Z04</v>
      </c>
      <c r="H139" s="17" t="str">
        <f t="shared" si="17"/>
        <v>Z05</v>
      </c>
      <c r="I139" s="17" t="str">
        <f t="shared" si="17"/>
        <v>Z06</v>
      </c>
      <c r="J139" s="17" t="str">
        <f t="shared" si="17"/>
        <v>Z07</v>
      </c>
      <c r="K139" s="17" t="str">
        <f t="shared" si="17"/>
        <v>Z08</v>
      </c>
      <c r="L139" s="17" t="str">
        <f t="shared" si="17"/>
        <v>Z09</v>
      </c>
      <c r="M139" s="17" t="str">
        <f t="shared" si="17"/>
        <v>Z10</v>
      </c>
      <c r="N139" s="17" t="str">
        <f t="shared" si="17"/>
        <v>Z11</v>
      </c>
      <c r="O139" s="17" t="str">
        <f t="shared" si="17"/>
        <v>Z12</v>
      </c>
      <c r="P139" s="17" t="str">
        <f t="shared" si="17"/>
        <v>Z13</v>
      </c>
      <c r="Q139" s="17" t="str">
        <f t="shared" si="17"/>
        <v>Z14</v>
      </c>
      <c r="R139" s="17" t="str">
        <f t="shared" si="17"/>
        <v>Z15</v>
      </c>
      <c r="T139" s="17" t="str">
        <f>T$4</f>
        <v>Average</v>
      </c>
    </row>
    <row r="140" spans="2:20" x14ac:dyDescent="0.3">
      <c r="B140" s="169" t="s">
        <v>107</v>
      </c>
      <c r="C140" s="169" t="s">
        <v>127</v>
      </c>
      <c r="D140" s="265">
        <f>$T140</f>
        <v>0</v>
      </c>
      <c r="E140" s="265">
        <f t="shared" ref="E140:R150" si="18">$T140</f>
        <v>0</v>
      </c>
      <c r="F140" s="265">
        <f t="shared" si="18"/>
        <v>0</v>
      </c>
      <c r="G140" s="265">
        <f t="shared" si="18"/>
        <v>0</v>
      </c>
      <c r="H140" s="265">
        <f t="shared" si="18"/>
        <v>0</v>
      </c>
      <c r="I140" s="265">
        <f t="shared" si="18"/>
        <v>0</v>
      </c>
      <c r="J140" s="265">
        <f t="shared" si="18"/>
        <v>0</v>
      </c>
      <c r="K140" s="265">
        <f t="shared" si="18"/>
        <v>0</v>
      </c>
      <c r="L140" s="265">
        <f t="shared" si="18"/>
        <v>0</v>
      </c>
      <c r="M140" s="265">
        <f t="shared" si="18"/>
        <v>0</v>
      </c>
      <c r="N140" s="265">
        <f t="shared" si="18"/>
        <v>0</v>
      </c>
      <c r="O140" s="265">
        <f t="shared" si="18"/>
        <v>0</v>
      </c>
      <c r="P140" s="265">
        <f t="shared" si="18"/>
        <v>0</v>
      </c>
      <c r="Q140" s="265">
        <f t="shared" si="18"/>
        <v>0</v>
      </c>
      <c r="R140" s="265">
        <f t="shared" si="18"/>
        <v>0</v>
      </c>
      <c r="T140" s="820"/>
    </row>
    <row r="141" spans="2:20" x14ac:dyDescent="0.3">
      <c r="B141" s="169" t="s">
        <v>108</v>
      </c>
      <c r="C141" s="169" t="s">
        <v>128</v>
      </c>
      <c r="D141" s="265">
        <f t="shared" ref="D141:D150" si="19">$T141</f>
        <v>0</v>
      </c>
      <c r="E141" s="265">
        <f t="shared" si="18"/>
        <v>0</v>
      </c>
      <c r="F141" s="265">
        <f t="shared" si="18"/>
        <v>0</v>
      </c>
      <c r="G141" s="265">
        <f t="shared" si="18"/>
        <v>0</v>
      </c>
      <c r="H141" s="265">
        <f t="shared" si="18"/>
        <v>0</v>
      </c>
      <c r="I141" s="265">
        <f t="shared" si="18"/>
        <v>0</v>
      </c>
      <c r="J141" s="265">
        <f t="shared" si="18"/>
        <v>0</v>
      </c>
      <c r="K141" s="265">
        <f t="shared" si="18"/>
        <v>0</v>
      </c>
      <c r="L141" s="265">
        <f t="shared" si="18"/>
        <v>0</v>
      </c>
      <c r="M141" s="265">
        <f t="shared" si="18"/>
        <v>0</v>
      </c>
      <c r="N141" s="265">
        <f t="shared" si="18"/>
        <v>0</v>
      </c>
      <c r="O141" s="265">
        <f t="shared" si="18"/>
        <v>0</v>
      </c>
      <c r="P141" s="265">
        <f t="shared" si="18"/>
        <v>0</v>
      </c>
      <c r="Q141" s="265">
        <f t="shared" si="18"/>
        <v>0</v>
      </c>
      <c r="R141" s="265">
        <f t="shared" si="18"/>
        <v>0</v>
      </c>
      <c r="T141" s="820"/>
    </row>
    <row r="142" spans="2:20" x14ac:dyDescent="0.3">
      <c r="B142" s="169" t="s">
        <v>203</v>
      </c>
      <c r="C142" s="169" t="s">
        <v>129</v>
      </c>
      <c r="D142" s="265">
        <f t="shared" si="19"/>
        <v>0</v>
      </c>
      <c r="E142" s="265">
        <f t="shared" si="18"/>
        <v>0</v>
      </c>
      <c r="F142" s="265">
        <f t="shared" si="18"/>
        <v>0</v>
      </c>
      <c r="G142" s="265">
        <f t="shared" si="18"/>
        <v>0</v>
      </c>
      <c r="H142" s="265">
        <f t="shared" si="18"/>
        <v>0</v>
      </c>
      <c r="I142" s="265">
        <f t="shared" si="18"/>
        <v>0</v>
      </c>
      <c r="J142" s="265">
        <f t="shared" si="18"/>
        <v>0</v>
      </c>
      <c r="K142" s="265">
        <f t="shared" si="18"/>
        <v>0</v>
      </c>
      <c r="L142" s="265">
        <f t="shared" si="18"/>
        <v>0</v>
      </c>
      <c r="M142" s="265">
        <f t="shared" si="18"/>
        <v>0</v>
      </c>
      <c r="N142" s="265">
        <f t="shared" si="18"/>
        <v>0</v>
      </c>
      <c r="O142" s="265">
        <f t="shared" si="18"/>
        <v>0</v>
      </c>
      <c r="P142" s="265">
        <f t="shared" si="18"/>
        <v>0</v>
      </c>
      <c r="Q142" s="265">
        <f t="shared" si="18"/>
        <v>0</v>
      </c>
      <c r="R142" s="265">
        <f t="shared" si="18"/>
        <v>0</v>
      </c>
      <c r="T142" s="820"/>
    </row>
    <row r="143" spans="2:20" x14ac:dyDescent="0.3">
      <c r="B143" s="169" t="s">
        <v>110</v>
      </c>
      <c r="C143" s="169" t="s">
        <v>130</v>
      </c>
      <c r="D143" s="265">
        <f t="shared" si="19"/>
        <v>0</v>
      </c>
      <c r="E143" s="265">
        <f t="shared" si="18"/>
        <v>0</v>
      </c>
      <c r="F143" s="265">
        <f t="shared" si="18"/>
        <v>0</v>
      </c>
      <c r="G143" s="265">
        <f t="shared" si="18"/>
        <v>0</v>
      </c>
      <c r="H143" s="265">
        <f t="shared" si="18"/>
        <v>0</v>
      </c>
      <c r="I143" s="265">
        <f t="shared" si="18"/>
        <v>0</v>
      </c>
      <c r="J143" s="265">
        <f t="shared" si="18"/>
        <v>0</v>
      </c>
      <c r="K143" s="265">
        <f t="shared" si="18"/>
        <v>0</v>
      </c>
      <c r="L143" s="265">
        <f t="shared" si="18"/>
        <v>0</v>
      </c>
      <c r="M143" s="265">
        <f t="shared" si="18"/>
        <v>0</v>
      </c>
      <c r="N143" s="265">
        <f t="shared" si="18"/>
        <v>0</v>
      </c>
      <c r="O143" s="265">
        <f t="shared" si="18"/>
        <v>0</v>
      </c>
      <c r="P143" s="265">
        <f t="shared" si="18"/>
        <v>0</v>
      </c>
      <c r="Q143" s="265">
        <f t="shared" si="18"/>
        <v>0</v>
      </c>
      <c r="R143" s="265">
        <f t="shared" si="18"/>
        <v>0</v>
      </c>
      <c r="T143" s="820"/>
    </row>
    <row r="144" spans="2:20" x14ac:dyDescent="0.3">
      <c r="B144" s="169" t="s">
        <v>111</v>
      </c>
      <c r="C144" s="169" t="s">
        <v>131</v>
      </c>
      <c r="D144" s="265">
        <f t="shared" si="19"/>
        <v>0</v>
      </c>
      <c r="E144" s="265">
        <f t="shared" si="18"/>
        <v>0</v>
      </c>
      <c r="F144" s="265">
        <f t="shared" si="18"/>
        <v>0</v>
      </c>
      <c r="G144" s="265">
        <f t="shared" si="18"/>
        <v>0</v>
      </c>
      <c r="H144" s="265">
        <f t="shared" si="18"/>
        <v>0</v>
      </c>
      <c r="I144" s="265">
        <f t="shared" si="18"/>
        <v>0</v>
      </c>
      <c r="J144" s="265">
        <f t="shared" si="18"/>
        <v>0</v>
      </c>
      <c r="K144" s="265">
        <f t="shared" si="18"/>
        <v>0</v>
      </c>
      <c r="L144" s="265">
        <f t="shared" si="18"/>
        <v>0</v>
      </c>
      <c r="M144" s="265">
        <f t="shared" si="18"/>
        <v>0</v>
      </c>
      <c r="N144" s="265">
        <f t="shared" si="18"/>
        <v>0</v>
      </c>
      <c r="O144" s="265">
        <f t="shared" si="18"/>
        <v>0</v>
      </c>
      <c r="P144" s="265">
        <f t="shared" si="18"/>
        <v>0</v>
      </c>
      <c r="Q144" s="265">
        <f t="shared" si="18"/>
        <v>0</v>
      </c>
      <c r="R144" s="265">
        <f t="shared" si="18"/>
        <v>0</v>
      </c>
      <c r="T144" s="820"/>
    </row>
    <row r="145" spans="2:20" x14ac:dyDescent="0.3">
      <c r="B145" s="169" t="s">
        <v>112</v>
      </c>
      <c r="C145" s="169" t="s">
        <v>132</v>
      </c>
      <c r="D145" s="265">
        <f t="shared" si="19"/>
        <v>0</v>
      </c>
      <c r="E145" s="265">
        <f t="shared" si="18"/>
        <v>0</v>
      </c>
      <c r="F145" s="265">
        <f t="shared" si="18"/>
        <v>0</v>
      </c>
      <c r="G145" s="265">
        <f t="shared" si="18"/>
        <v>0</v>
      </c>
      <c r="H145" s="265">
        <f t="shared" si="18"/>
        <v>0</v>
      </c>
      <c r="I145" s="265">
        <f t="shared" si="18"/>
        <v>0</v>
      </c>
      <c r="J145" s="265">
        <f t="shared" si="18"/>
        <v>0</v>
      </c>
      <c r="K145" s="265">
        <f t="shared" si="18"/>
        <v>0</v>
      </c>
      <c r="L145" s="265">
        <f t="shared" si="18"/>
        <v>0</v>
      </c>
      <c r="M145" s="265">
        <f t="shared" si="18"/>
        <v>0</v>
      </c>
      <c r="N145" s="265">
        <f t="shared" si="18"/>
        <v>0</v>
      </c>
      <c r="O145" s="265">
        <f t="shared" si="18"/>
        <v>0</v>
      </c>
      <c r="P145" s="265">
        <f t="shared" si="18"/>
        <v>0</v>
      </c>
      <c r="Q145" s="265">
        <f t="shared" si="18"/>
        <v>0</v>
      </c>
      <c r="R145" s="265">
        <f t="shared" si="18"/>
        <v>0</v>
      </c>
      <c r="T145" s="820"/>
    </row>
    <row r="146" spans="2:20" x14ac:dyDescent="0.3">
      <c r="B146" s="169" t="s">
        <v>204</v>
      </c>
      <c r="C146" s="169" t="s">
        <v>133</v>
      </c>
      <c r="D146" s="265">
        <f t="shared" si="19"/>
        <v>0</v>
      </c>
      <c r="E146" s="265">
        <f t="shared" si="18"/>
        <v>0</v>
      </c>
      <c r="F146" s="265">
        <f t="shared" si="18"/>
        <v>0</v>
      </c>
      <c r="G146" s="265">
        <f t="shared" si="18"/>
        <v>0</v>
      </c>
      <c r="H146" s="265">
        <f t="shared" si="18"/>
        <v>0</v>
      </c>
      <c r="I146" s="265">
        <f t="shared" si="18"/>
        <v>0</v>
      </c>
      <c r="J146" s="265">
        <f t="shared" si="18"/>
        <v>0</v>
      </c>
      <c r="K146" s="265">
        <f t="shared" si="18"/>
        <v>0</v>
      </c>
      <c r="L146" s="265">
        <f t="shared" si="18"/>
        <v>0</v>
      </c>
      <c r="M146" s="265">
        <f t="shared" si="18"/>
        <v>0</v>
      </c>
      <c r="N146" s="265">
        <f t="shared" si="18"/>
        <v>0</v>
      </c>
      <c r="O146" s="265">
        <f t="shared" si="18"/>
        <v>0</v>
      </c>
      <c r="P146" s="265">
        <f t="shared" si="18"/>
        <v>0</v>
      </c>
      <c r="Q146" s="265">
        <f t="shared" si="18"/>
        <v>0</v>
      </c>
      <c r="R146" s="265">
        <f t="shared" si="18"/>
        <v>0</v>
      </c>
      <c r="T146" s="820"/>
    </row>
    <row r="147" spans="2:20" x14ac:dyDescent="0.3">
      <c r="B147" s="169" t="s">
        <v>205</v>
      </c>
      <c r="C147" s="169" t="s">
        <v>134</v>
      </c>
      <c r="D147" s="265">
        <f t="shared" si="19"/>
        <v>0</v>
      </c>
      <c r="E147" s="265">
        <f t="shared" si="18"/>
        <v>0</v>
      </c>
      <c r="F147" s="265">
        <f t="shared" si="18"/>
        <v>0</v>
      </c>
      <c r="G147" s="265">
        <f t="shared" si="18"/>
        <v>0</v>
      </c>
      <c r="H147" s="265">
        <f t="shared" si="18"/>
        <v>0</v>
      </c>
      <c r="I147" s="265">
        <f t="shared" si="18"/>
        <v>0</v>
      </c>
      <c r="J147" s="265">
        <f t="shared" si="18"/>
        <v>0</v>
      </c>
      <c r="K147" s="265">
        <f t="shared" si="18"/>
        <v>0</v>
      </c>
      <c r="L147" s="265">
        <f t="shared" si="18"/>
        <v>0</v>
      </c>
      <c r="M147" s="265">
        <f t="shared" si="18"/>
        <v>0</v>
      </c>
      <c r="N147" s="265">
        <f t="shared" si="18"/>
        <v>0</v>
      </c>
      <c r="O147" s="265">
        <f t="shared" si="18"/>
        <v>0</v>
      </c>
      <c r="P147" s="265">
        <f t="shared" si="18"/>
        <v>0</v>
      </c>
      <c r="Q147" s="265">
        <f t="shared" si="18"/>
        <v>0</v>
      </c>
      <c r="R147" s="265">
        <f t="shared" si="18"/>
        <v>0</v>
      </c>
      <c r="T147" s="820"/>
    </row>
    <row r="148" spans="2:20" x14ac:dyDescent="0.3">
      <c r="B148" s="169" t="s">
        <v>115</v>
      </c>
      <c r="C148" s="169" t="s">
        <v>135</v>
      </c>
      <c r="D148" s="265">
        <f t="shared" si="19"/>
        <v>0</v>
      </c>
      <c r="E148" s="265">
        <f t="shared" si="18"/>
        <v>0</v>
      </c>
      <c r="F148" s="265">
        <f t="shared" si="18"/>
        <v>0</v>
      </c>
      <c r="G148" s="265">
        <f t="shared" si="18"/>
        <v>0</v>
      </c>
      <c r="H148" s="265">
        <f t="shared" si="18"/>
        <v>0</v>
      </c>
      <c r="I148" s="265">
        <f t="shared" si="18"/>
        <v>0</v>
      </c>
      <c r="J148" s="265">
        <f t="shared" si="18"/>
        <v>0</v>
      </c>
      <c r="K148" s="265">
        <f t="shared" si="18"/>
        <v>0</v>
      </c>
      <c r="L148" s="265">
        <f t="shared" si="18"/>
        <v>0</v>
      </c>
      <c r="M148" s="265">
        <f t="shared" si="18"/>
        <v>0</v>
      </c>
      <c r="N148" s="265">
        <f t="shared" si="18"/>
        <v>0</v>
      </c>
      <c r="O148" s="265">
        <f t="shared" si="18"/>
        <v>0</v>
      </c>
      <c r="P148" s="265">
        <f t="shared" si="18"/>
        <v>0</v>
      </c>
      <c r="Q148" s="265">
        <f t="shared" si="18"/>
        <v>0</v>
      </c>
      <c r="R148" s="265">
        <f t="shared" si="18"/>
        <v>0</v>
      </c>
      <c r="T148" s="820"/>
    </row>
    <row r="149" spans="2:20" x14ac:dyDescent="0.3">
      <c r="B149" s="169" t="s">
        <v>206</v>
      </c>
      <c r="C149" s="169" t="s">
        <v>136</v>
      </c>
      <c r="D149" s="265">
        <f t="shared" si="19"/>
        <v>0</v>
      </c>
      <c r="E149" s="265">
        <f t="shared" si="18"/>
        <v>0</v>
      </c>
      <c r="F149" s="265">
        <f t="shared" si="18"/>
        <v>0</v>
      </c>
      <c r="G149" s="265">
        <f t="shared" si="18"/>
        <v>0</v>
      </c>
      <c r="H149" s="265">
        <f t="shared" si="18"/>
        <v>0</v>
      </c>
      <c r="I149" s="265">
        <f t="shared" si="18"/>
        <v>0</v>
      </c>
      <c r="J149" s="265">
        <f t="shared" si="18"/>
        <v>0</v>
      </c>
      <c r="K149" s="265">
        <f t="shared" si="18"/>
        <v>0</v>
      </c>
      <c r="L149" s="265">
        <f t="shared" si="18"/>
        <v>0</v>
      </c>
      <c r="M149" s="265">
        <f t="shared" si="18"/>
        <v>0</v>
      </c>
      <c r="N149" s="265">
        <f t="shared" si="18"/>
        <v>0</v>
      </c>
      <c r="O149" s="265">
        <f t="shared" si="18"/>
        <v>0</v>
      </c>
      <c r="P149" s="265">
        <f t="shared" si="18"/>
        <v>0</v>
      </c>
      <c r="Q149" s="265">
        <f t="shared" si="18"/>
        <v>0</v>
      </c>
      <c r="R149" s="265">
        <f t="shared" si="18"/>
        <v>0</v>
      </c>
      <c r="T149" s="820"/>
    </row>
    <row r="150" spans="2:20" x14ac:dyDescent="0.3">
      <c r="B150" s="169" t="s">
        <v>207</v>
      </c>
      <c r="C150" s="169" t="s">
        <v>137</v>
      </c>
      <c r="D150" s="265">
        <f t="shared" si="19"/>
        <v>0</v>
      </c>
      <c r="E150" s="265">
        <f t="shared" si="18"/>
        <v>0</v>
      </c>
      <c r="F150" s="265">
        <f t="shared" si="18"/>
        <v>0</v>
      </c>
      <c r="G150" s="265">
        <f t="shared" si="18"/>
        <v>0</v>
      </c>
      <c r="H150" s="265">
        <f t="shared" si="18"/>
        <v>0</v>
      </c>
      <c r="I150" s="265">
        <f t="shared" si="18"/>
        <v>0</v>
      </c>
      <c r="J150" s="265">
        <f t="shared" si="18"/>
        <v>0</v>
      </c>
      <c r="K150" s="265">
        <f t="shared" si="18"/>
        <v>0</v>
      </c>
      <c r="L150" s="265">
        <f t="shared" si="18"/>
        <v>0</v>
      </c>
      <c r="M150" s="265">
        <f t="shared" si="18"/>
        <v>0</v>
      </c>
      <c r="N150" s="265">
        <f t="shared" si="18"/>
        <v>0</v>
      </c>
      <c r="O150" s="265">
        <f t="shared" si="18"/>
        <v>0</v>
      </c>
      <c r="P150" s="265">
        <f t="shared" si="18"/>
        <v>0</v>
      </c>
      <c r="Q150" s="265">
        <f t="shared" si="18"/>
        <v>0</v>
      </c>
      <c r="R150" s="265">
        <f t="shared" si="18"/>
        <v>0</v>
      </c>
      <c r="T150" s="820"/>
    </row>
    <row r="152" spans="2:20" x14ac:dyDescent="0.3">
      <c r="B152" s="149"/>
      <c r="C152" s="149"/>
      <c r="D152" s="268"/>
      <c r="E152" s="268"/>
      <c r="F152" s="268"/>
      <c r="G152" s="268"/>
      <c r="H152" s="268"/>
      <c r="I152" s="268"/>
      <c r="J152" s="268"/>
      <c r="K152" s="268"/>
      <c r="L152" s="268"/>
      <c r="M152" s="268"/>
      <c r="N152" s="268"/>
      <c r="O152" s="268"/>
      <c r="P152" s="268"/>
      <c r="Q152" s="268"/>
      <c r="R152" s="268"/>
      <c r="T152" s="269"/>
    </row>
    <row r="153" spans="2:20" x14ac:dyDescent="0.3">
      <c r="B153" s="441" t="s">
        <v>548</v>
      </c>
      <c r="C153" s="339"/>
    </row>
    <row r="154" spans="2:20" x14ac:dyDescent="0.3">
      <c r="B154" s="441" t="s">
        <v>103</v>
      </c>
      <c r="C154" s="264" t="s">
        <v>104</v>
      </c>
      <c r="D154" s="17" t="str">
        <f>D$4</f>
        <v>Z01</v>
      </c>
      <c r="E154" s="17" t="str">
        <f t="shared" ref="E154:R154" si="20">E$4</f>
        <v>Z02</v>
      </c>
      <c r="F154" s="17" t="str">
        <f t="shared" si="20"/>
        <v>Z03</v>
      </c>
      <c r="G154" s="17" t="str">
        <f t="shared" si="20"/>
        <v>Z04</v>
      </c>
      <c r="H154" s="17" t="str">
        <f t="shared" si="20"/>
        <v>Z05</v>
      </c>
      <c r="I154" s="17" t="str">
        <f t="shared" si="20"/>
        <v>Z06</v>
      </c>
      <c r="J154" s="17" t="str">
        <f t="shared" si="20"/>
        <v>Z07</v>
      </c>
      <c r="K154" s="17" t="str">
        <f t="shared" si="20"/>
        <v>Z08</v>
      </c>
      <c r="L154" s="17" t="str">
        <f t="shared" si="20"/>
        <v>Z09</v>
      </c>
      <c r="M154" s="17" t="str">
        <f t="shared" si="20"/>
        <v>Z10</v>
      </c>
      <c r="N154" s="17" t="str">
        <f t="shared" si="20"/>
        <v>Z11</v>
      </c>
      <c r="O154" s="17" t="str">
        <f t="shared" si="20"/>
        <v>Z12</v>
      </c>
      <c r="P154" s="17" t="str">
        <f t="shared" si="20"/>
        <v>Z13</v>
      </c>
      <c r="Q154" s="17" t="str">
        <f t="shared" si="20"/>
        <v>Z14</v>
      </c>
      <c r="R154" s="17" t="str">
        <f t="shared" si="20"/>
        <v>Z15</v>
      </c>
      <c r="T154" s="17" t="str">
        <f>T$4</f>
        <v>Average</v>
      </c>
    </row>
    <row r="155" spans="2:20"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x14ac:dyDescent="0.3">
      <c r="B166" s="114"/>
      <c r="C166" s="114"/>
      <c r="D166" s="268"/>
      <c r="E166" s="268"/>
      <c r="F166" s="268"/>
      <c r="G166" s="268"/>
      <c r="H166" s="268"/>
      <c r="I166" s="268"/>
      <c r="J166" s="268"/>
      <c r="K166" s="268"/>
      <c r="L166" s="268"/>
      <c r="M166" s="268"/>
      <c r="N166" s="268"/>
      <c r="O166" s="268"/>
      <c r="P166" s="268"/>
      <c r="Q166" s="268"/>
      <c r="R166" s="268"/>
      <c r="T166" s="269"/>
    </row>
    <row r="167" spans="2:20" x14ac:dyDescent="0.3">
      <c r="B167" s="149"/>
      <c r="C167" s="149"/>
      <c r="D167" s="268"/>
      <c r="E167" s="268"/>
      <c r="F167" s="268"/>
      <c r="G167" s="268"/>
      <c r="H167" s="268"/>
      <c r="I167" s="268"/>
      <c r="J167" s="268"/>
      <c r="K167" s="268"/>
      <c r="L167" s="268"/>
      <c r="M167" s="268"/>
      <c r="N167" s="268"/>
      <c r="O167" s="268"/>
      <c r="P167" s="268"/>
      <c r="Q167" s="268"/>
      <c r="R167" s="268"/>
      <c r="T167" s="269"/>
    </row>
    <row r="168" spans="2:20" x14ac:dyDescent="0.3">
      <c r="B168" s="441" t="s">
        <v>549</v>
      </c>
      <c r="C168" s="339"/>
    </row>
    <row r="169" spans="2:20" x14ac:dyDescent="0.3">
      <c r="B169" s="441" t="s">
        <v>103</v>
      </c>
      <c r="C169" s="264" t="s">
        <v>104</v>
      </c>
      <c r="D169" s="17" t="str">
        <f>D$4</f>
        <v>Z01</v>
      </c>
      <c r="E169" s="17" t="str">
        <f t="shared" ref="E169:R169" si="21">E$4</f>
        <v>Z02</v>
      </c>
      <c r="F169" s="17" t="str">
        <f t="shared" si="21"/>
        <v>Z03</v>
      </c>
      <c r="G169" s="17" t="str">
        <f t="shared" si="21"/>
        <v>Z04</v>
      </c>
      <c r="H169" s="17" t="str">
        <f t="shared" si="21"/>
        <v>Z05</v>
      </c>
      <c r="I169" s="17" t="str">
        <f t="shared" si="21"/>
        <v>Z06</v>
      </c>
      <c r="J169" s="17" t="str">
        <f t="shared" si="21"/>
        <v>Z07</v>
      </c>
      <c r="K169" s="17" t="str">
        <f t="shared" si="21"/>
        <v>Z08</v>
      </c>
      <c r="L169" s="17" t="str">
        <f t="shared" si="21"/>
        <v>Z09</v>
      </c>
      <c r="M169" s="17" t="str">
        <f t="shared" si="21"/>
        <v>Z10</v>
      </c>
      <c r="N169" s="17" t="str">
        <f t="shared" si="21"/>
        <v>Z11</v>
      </c>
      <c r="O169" s="17" t="str">
        <f t="shared" si="21"/>
        <v>Z12</v>
      </c>
      <c r="P169" s="17" t="str">
        <f t="shared" si="21"/>
        <v>Z13</v>
      </c>
      <c r="Q169" s="17" t="str">
        <f t="shared" si="21"/>
        <v>Z14</v>
      </c>
      <c r="R169" s="17" t="str">
        <f t="shared" si="21"/>
        <v>Z15</v>
      </c>
      <c r="T169" s="17" t="str">
        <f>T$4</f>
        <v>Average</v>
      </c>
    </row>
    <row r="170" spans="2:20" x14ac:dyDescent="0.3">
      <c r="B170" s="169" t="s">
        <v>107</v>
      </c>
      <c r="C170" s="169" t="s">
        <v>139</v>
      </c>
      <c r="D170" s="265">
        <f t="shared" ref="D170:R180" si="22">$T170</f>
        <v>0</v>
      </c>
      <c r="E170" s="265">
        <f t="shared" si="22"/>
        <v>0</v>
      </c>
      <c r="F170" s="265">
        <f t="shared" si="22"/>
        <v>0</v>
      </c>
      <c r="G170" s="265">
        <f t="shared" si="22"/>
        <v>0</v>
      </c>
      <c r="H170" s="265">
        <f t="shared" si="22"/>
        <v>0</v>
      </c>
      <c r="I170" s="265">
        <f t="shared" si="22"/>
        <v>0</v>
      </c>
      <c r="J170" s="265">
        <f t="shared" si="22"/>
        <v>0</v>
      </c>
      <c r="K170" s="265">
        <f t="shared" si="22"/>
        <v>0</v>
      </c>
      <c r="L170" s="265">
        <f t="shared" si="22"/>
        <v>0</v>
      </c>
      <c r="M170" s="265">
        <f t="shared" si="22"/>
        <v>0</v>
      </c>
      <c r="N170" s="265">
        <f t="shared" si="22"/>
        <v>0</v>
      </c>
      <c r="O170" s="265">
        <f t="shared" si="22"/>
        <v>0</v>
      </c>
      <c r="P170" s="265">
        <f t="shared" si="22"/>
        <v>0</v>
      </c>
      <c r="Q170" s="265">
        <f t="shared" si="22"/>
        <v>0</v>
      </c>
      <c r="R170" s="265">
        <f t="shared" si="22"/>
        <v>0</v>
      </c>
      <c r="T170" s="820"/>
    </row>
    <row r="171" spans="2:20" x14ac:dyDescent="0.3">
      <c r="B171" s="169" t="s">
        <v>108</v>
      </c>
      <c r="C171" s="169" t="s">
        <v>140</v>
      </c>
      <c r="D171" s="265">
        <f t="shared" si="22"/>
        <v>0</v>
      </c>
      <c r="E171" s="265">
        <f t="shared" si="22"/>
        <v>0</v>
      </c>
      <c r="F171" s="265">
        <f t="shared" si="22"/>
        <v>0</v>
      </c>
      <c r="G171" s="265">
        <f t="shared" si="22"/>
        <v>0</v>
      </c>
      <c r="H171" s="265">
        <f t="shared" si="22"/>
        <v>0</v>
      </c>
      <c r="I171" s="265">
        <f t="shared" si="22"/>
        <v>0</v>
      </c>
      <c r="J171" s="265">
        <f t="shared" si="22"/>
        <v>0</v>
      </c>
      <c r="K171" s="265">
        <f t="shared" si="22"/>
        <v>0</v>
      </c>
      <c r="L171" s="265">
        <f t="shared" si="22"/>
        <v>0</v>
      </c>
      <c r="M171" s="265">
        <f t="shared" si="22"/>
        <v>0</v>
      </c>
      <c r="N171" s="265">
        <f t="shared" si="22"/>
        <v>0</v>
      </c>
      <c r="O171" s="265">
        <f t="shared" si="22"/>
        <v>0</v>
      </c>
      <c r="P171" s="265">
        <f t="shared" si="22"/>
        <v>0</v>
      </c>
      <c r="Q171" s="265">
        <f t="shared" si="22"/>
        <v>0</v>
      </c>
      <c r="R171" s="265">
        <f t="shared" si="22"/>
        <v>0</v>
      </c>
      <c r="T171" s="820"/>
    </row>
    <row r="172" spans="2:20" x14ac:dyDescent="0.3">
      <c r="B172" s="169" t="s">
        <v>203</v>
      </c>
      <c r="C172" s="169" t="s">
        <v>141</v>
      </c>
      <c r="D172" s="265">
        <f t="shared" si="22"/>
        <v>0</v>
      </c>
      <c r="E172" s="265">
        <f t="shared" si="22"/>
        <v>0</v>
      </c>
      <c r="F172" s="265">
        <f t="shared" si="22"/>
        <v>0</v>
      </c>
      <c r="G172" s="265">
        <f t="shared" si="22"/>
        <v>0</v>
      </c>
      <c r="H172" s="265">
        <f t="shared" si="22"/>
        <v>0</v>
      </c>
      <c r="I172" s="265">
        <f t="shared" si="22"/>
        <v>0</v>
      </c>
      <c r="J172" s="265">
        <f t="shared" si="22"/>
        <v>0</v>
      </c>
      <c r="K172" s="265">
        <f t="shared" si="22"/>
        <v>0</v>
      </c>
      <c r="L172" s="265">
        <f t="shared" si="22"/>
        <v>0</v>
      </c>
      <c r="M172" s="265">
        <f t="shared" si="22"/>
        <v>0</v>
      </c>
      <c r="N172" s="265">
        <f t="shared" si="22"/>
        <v>0</v>
      </c>
      <c r="O172" s="265">
        <f t="shared" si="22"/>
        <v>0</v>
      </c>
      <c r="P172" s="265">
        <f t="shared" si="22"/>
        <v>0</v>
      </c>
      <c r="Q172" s="265">
        <f t="shared" si="22"/>
        <v>0</v>
      </c>
      <c r="R172" s="265">
        <f t="shared" si="22"/>
        <v>0</v>
      </c>
      <c r="T172" s="820"/>
    </row>
    <row r="173" spans="2:20" x14ac:dyDescent="0.3">
      <c r="B173" s="169" t="s">
        <v>110</v>
      </c>
      <c r="C173" s="169" t="s">
        <v>142</v>
      </c>
      <c r="D173" s="265">
        <f t="shared" si="22"/>
        <v>0</v>
      </c>
      <c r="E173" s="265">
        <f t="shared" si="22"/>
        <v>0</v>
      </c>
      <c r="F173" s="265">
        <f t="shared" si="22"/>
        <v>0</v>
      </c>
      <c r="G173" s="265">
        <f t="shared" si="22"/>
        <v>0</v>
      </c>
      <c r="H173" s="265">
        <f t="shared" si="22"/>
        <v>0</v>
      </c>
      <c r="I173" s="265">
        <f t="shared" si="22"/>
        <v>0</v>
      </c>
      <c r="J173" s="265">
        <f t="shared" si="22"/>
        <v>0</v>
      </c>
      <c r="K173" s="265">
        <f t="shared" si="22"/>
        <v>0</v>
      </c>
      <c r="L173" s="265">
        <f t="shared" si="22"/>
        <v>0</v>
      </c>
      <c r="M173" s="265">
        <f t="shared" si="22"/>
        <v>0</v>
      </c>
      <c r="N173" s="265">
        <f t="shared" si="22"/>
        <v>0</v>
      </c>
      <c r="O173" s="265">
        <f t="shared" si="22"/>
        <v>0</v>
      </c>
      <c r="P173" s="265">
        <f t="shared" si="22"/>
        <v>0</v>
      </c>
      <c r="Q173" s="265">
        <f t="shared" si="22"/>
        <v>0</v>
      </c>
      <c r="R173" s="265">
        <f t="shared" si="22"/>
        <v>0</v>
      </c>
      <c r="T173" s="820"/>
    </row>
    <row r="174" spans="2:20" x14ac:dyDescent="0.3">
      <c r="B174" s="169" t="s">
        <v>111</v>
      </c>
      <c r="C174" s="169" t="s">
        <v>143</v>
      </c>
      <c r="D174" s="265">
        <f t="shared" si="22"/>
        <v>0</v>
      </c>
      <c r="E174" s="265">
        <f t="shared" si="22"/>
        <v>0</v>
      </c>
      <c r="F174" s="265">
        <f t="shared" si="22"/>
        <v>0</v>
      </c>
      <c r="G174" s="265">
        <f t="shared" si="22"/>
        <v>0</v>
      </c>
      <c r="H174" s="265">
        <f t="shared" si="22"/>
        <v>0</v>
      </c>
      <c r="I174" s="265">
        <f t="shared" si="22"/>
        <v>0</v>
      </c>
      <c r="J174" s="265">
        <f t="shared" si="22"/>
        <v>0</v>
      </c>
      <c r="K174" s="265">
        <f t="shared" si="22"/>
        <v>0</v>
      </c>
      <c r="L174" s="265">
        <f t="shared" si="22"/>
        <v>0</v>
      </c>
      <c r="M174" s="265">
        <f t="shared" si="22"/>
        <v>0</v>
      </c>
      <c r="N174" s="265">
        <f t="shared" si="22"/>
        <v>0</v>
      </c>
      <c r="O174" s="265">
        <f t="shared" si="22"/>
        <v>0</v>
      </c>
      <c r="P174" s="265">
        <f t="shared" si="22"/>
        <v>0</v>
      </c>
      <c r="Q174" s="265">
        <f t="shared" si="22"/>
        <v>0</v>
      </c>
      <c r="R174" s="265">
        <f t="shared" si="22"/>
        <v>0</v>
      </c>
      <c r="T174" s="820"/>
    </row>
    <row r="175" spans="2:20" x14ac:dyDescent="0.3">
      <c r="B175" s="169" t="s">
        <v>112</v>
      </c>
      <c r="C175" s="169" t="s">
        <v>144</v>
      </c>
      <c r="D175" s="265">
        <f t="shared" si="22"/>
        <v>0</v>
      </c>
      <c r="E175" s="265">
        <f t="shared" si="22"/>
        <v>0</v>
      </c>
      <c r="F175" s="265">
        <f t="shared" si="22"/>
        <v>0</v>
      </c>
      <c r="G175" s="265">
        <f t="shared" si="22"/>
        <v>0</v>
      </c>
      <c r="H175" s="265">
        <f t="shared" si="22"/>
        <v>0</v>
      </c>
      <c r="I175" s="265">
        <f t="shared" si="22"/>
        <v>0</v>
      </c>
      <c r="J175" s="265">
        <f t="shared" si="22"/>
        <v>0</v>
      </c>
      <c r="K175" s="265">
        <f t="shared" si="22"/>
        <v>0</v>
      </c>
      <c r="L175" s="265">
        <f t="shared" si="22"/>
        <v>0</v>
      </c>
      <c r="M175" s="265">
        <f t="shared" si="22"/>
        <v>0</v>
      </c>
      <c r="N175" s="265">
        <f t="shared" si="22"/>
        <v>0</v>
      </c>
      <c r="O175" s="265">
        <f t="shared" si="22"/>
        <v>0</v>
      </c>
      <c r="P175" s="265">
        <f t="shared" si="22"/>
        <v>0</v>
      </c>
      <c r="Q175" s="265">
        <f t="shared" si="22"/>
        <v>0</v>
      </c>
      <c r="R175" s="265">
        <f t="shared" si="22"/>
        <v>0</v>
      </c>
      <c r="T175" s="820"/>
    </row>
    <row r="176" spans="2:20" x14ac:dyDescent="0.3">
      <c r="B176" s="169" t="s">
        <v>204</v>
      </c>
      <c r="C176" s="169" t="s">
        <v>145</v>
      </c>
      <c r="D176" s="265">
        <f t="shared" si="22"/>
        <v>0</v>
      </c>
      <c r="E176" s="265">
        <f t="shared" si="22"/>
        <v>0</v>
      </c>
      <c r="F176" s="265">
        <f t="shared" si="22"/>
        <v>0</v>
      </c>
      <c r="G176" s="265">
        <f t="shared" si="22"/>
        <v>0</v>
      </c>
      <c r="H176" s="265">
        <f t="shared" si="22"/>
        <v>0</v>
      </c>
      <c r="I176" s="265">
        <f t="shared" si="22"/>
        <v>0</v>
      </c>
      <c r="J176" s="265">
        <f t="shared" si="22"/>
        <v>0</v>
      </c>
      <c r="K176" s="265">
        <f t="shared" si="22"/>
        <v>0</v>
      </c>
      <c r="L176" s="265">
        <f t="shared" si="22"/>
        <v>0</v>
      </c>
      <c r="M176" s="265">
        <f t="shared" si="22"/>
        <v>0</v>
      </c>
      <c r="N176" s="265">
        <f t="shared" si="22"/>
        <v>0</v>
      </c>
      <c r="O176" s="265">
        <f t="shared" si="22"/>
        <v>0</v>
      </c>
      <c r="P176" s="265">
        <f t="shared" si="22"/>
        <v>0</v>
      </c>
      <c r="Q176" s="265">
        <f t="shared" si="22"/>
        <v>0</v>
      </c>
      <c r="R176" s="265">
        <f t="shared" si="22"/>
        <v>0</v>
      </c>
      <c r="T176" s="820"/>
    </row>
    <row r="177" spans="1:21" x14ac:dyDescent="0.3">
      <c r="B177" s="169" t="s">
        <v>205</v>
      </c>
      <c r="C177" s="169" t="s">
        <v>146</v>
      </c>
      <c r="D177" s="265">
        <f t="shared" si="22"/>
        <v>0</v>
      </c>
      <c r="E177" s="265">
        <f t="shared" si="22"/>
        <v>0</v>
      </c>
      <c r="F177" s="265">
        <f t="shared" si="22"/>
        <v>0</v>
      </c>
      <c r="G177" s="265">
        <f t="shared" si="22"/>
        <v>0</v>
      </c>
      <c r="H177" s="265">
        <f t="shared" si="22"/>
        <v>0</v>
      </c>
      <c r="I177" s="265">
        <f t="shared" si="22"/>
        <v>0</v>
      </c>
      <c r="J177" s="265">
        <f t="shared" si="22"/>
        <v>0</v>
      </c>
      <c r="K177" s="265">
        <f t="shared" si="22"/>
        <v>0</v>
      </c>
      <c r="L177" s="265">
        <f t="shared" si="22"/>
        <v>0</v>
      </c>
      <c r="M177" s="265">
        <f t="shared" si="22"/>
        <v>0</v>
      </c>
      <c r="N177" s="265">
        <f t="shared" si="22"/>
        <v>0</v>
      </c>
      <c r="O177" s="265">
        <f t="shared" si="22"/>
        <v>0</v>
      </c>
      <c r="P177" s="265">
        <f t="shared" si="22"/>
        <v>0</v>
      </c>
      <c r="Q177" s="265">
        <f t="shared" si="22"/>
        <v>0</v>
      </c>
      <c r="R177" s="265">
        <f t="shared" si="22"/>
        <v>0</v>
      </c>
      <c r="T177" s="820"/>
    </row>
    <row r="178" spans="1:21" x14ac:dyDescent="0.3">
      <c r="B178" s="169" t="s">
        <v>115</v>
      </c>
      <c r="C178" s="169" t="s">
        <v>147</v>
      </c>
      <c r="D178" s="265">
        <f t="shared" si="22"/>
        <v>0</v>
      </c>
      <c r="E178" s="265">
        <f t="shared" si="22"/>
        <v>0</v>
      </c>
      <c r="F178" s="265">
        <f t="shared" si="22"/>
        <v>0</v>
      </c>
      <c r="G178" s="265">
        <f t="shared" si="22"/>
        <v>0</v>
      </c>
      <c r="H178" s="265">
        <f t="shared" si="22"/>
        <v>0</v>
      </c>
      <c r="I178" s="265">
        <f t="shared" si="22"/>
        <v>0</v>
      </c>
      <c r="J178" s="265">
        <f t="shared" si="22"/>
        <v>0</v>
      </c>
      <c r="K178" s="265">
        <f t="shared" si="22"/>
        <v>0</v>
      </c>
      <c r="L178" s="265">
        <f t="shared" si="22"/>
        <v>0</v>
      </c>
      <c r="M178" s="265">
        <f t="shared" si="22"/>
        <v>0</v>
      </c>
      <c r="N178" s="265">
        <f t="shared" si="22"/>
        <v>0</v>
      </c>
      <c r="O178" s="265">
        <f t="shared" si="22"/>
        <v>0</v>
      </c>
      <c r="P178" s="265">
        <f t="shared" si="22"/>
        <v>0</v>
      </c>
      <c r="Q178" s="265">
        <f t="shared" si="22"/>
        <v>0</v>
      </c>
      <c r="R178" s="265">
        <f t="shared" si="22"/>
        <v>0</v>
      </c>
      <c r="T178" s="820"/>
    </row>
    <row r="179" spans="1:21" x14ac:dyDescent="0.3">
      <c r="B179" s="169" t="s">
        <v>206</v>
      </c>
      <c r="C179" s="169" t="s">
        <v>148</v>
      </c>
      <c r="D179" s="265">
        <f t="shared" si="22"/>
        <v>0</v>
      </c>
      <c r="E179" s="265">
        <f t="shared" si="22"/>
        <v>0</v>
      </c>
      <c r="F179" s="265">
        <f t="shared" si="22"/>
        <v>0</v>
      </c>
      <c r="G179" s="265">
        <f t="shared" si="22"/>
        <v>0</v>
      </c>
      <c r="H179" s="265">
        <f t="shared" si="22"/>
        <v>0</v>
      </c>
      <c r="I179" s="265">
        <f t="shared" si="22"/>
        <v>0</v>
      </c>
      <c r="J179" s="265">
        <f t="shared" si="22"/>
        <v>0</v>
      </c>
      <c r="K179" s="265">
        <f t="shared" si="22"/>
        <v>0</v>
      </c>
      <c r="L179" s="265">
        <f t="shared" si="22"/>
        <v>0</v>
      </c>
      <c r="M179" s="265">
        <f t="shared" si="22"/>
        <v>0</v>
      </c>
      <c r="N179" s="265">
        <f t="shared" si="22"/>
        <v>0</v>
      </c>
      <c r="O179" s="265">
        <f t="shared" si="22"/>
        <v>0</v>
      </c>
      <c r="P179" s="265">
        <f t="shared" si="22"/>
        <v>0</v>
      </c>
      <c r="Q179" s="265">
        <f t="shared" si="22"/>
        <v>0</v>
      </c>
      <c r="R179" s="265">
        <f t="shared" si="22"/>
        <v>0</v>
      </c>
      <c r="T179" s="820"/>
    </row>
    <row r="180" spans="1:21" x14ac:dyDescent="0.3">
      <c r="B180" s="169" t="s">
        <v>207</v>
      </c>
      <c r="C180" s="169" t="s">
        <v>149</v>
      </c>
      <c r="D180" s="265">
        <f t="shared" si="22"/>
        <v>0</v>
      </c>
      <c r="E180" s="265">
        <f t="shared" si="22"/>
        <v>0</v>
      </c>
      <c r="F180" s="265">
        <f t="shared" si="22"/>
        <v>0</v>
      </c>
      <c r="G180" s="265">
        <f t="shared" si="22"/>
        <v>0</v>
      </c>
      <c r="H180" s="265">
        <f t="shared" si="22"/>
        <v>0</v>
      </c>
      <c r="I180" s="265">
        <f t="shared" si="22"/>
        <v>0</v>
      </c>
      <c r="J180" s="265">
        <f t="shared" si="22"/>
        <v>0</v>
      </c>
      <c r="K180" s="265">
        <f t="shared" si="22"/>
        <v>0</v>
      </c>
      <c r="L180" s="265">
        <f t="shared" si="22"/>
        <v>0</v>
      </c>
      <c r="M180" s="265">
        <f t="shared" si="22"/>
        <v>0</v>
      </c>
      <c r="N180" s="265">
        <f t="shared" si="22"/>
        <v>0</v>
      </c>
      <c r="O180" s="265">
        <f t="shared" si="22"/>
        <v>0</v>
      </c>
      <c r="P180" s="265">
        <f t="shared" si="22"/>
        <v>0</v>
      </c>
      <c r="Q180" s="265">
        <f t="shared" si="22"/>
        <v>0</v>
      </c>
      <c r="R180" s="265">
        <f t="shared" si="22"/>
        <v>0</v>
      </c>
      <c r="T180" s="820"/>
    </row>
    <row r="182" spans="1:21" x14ac:dyDescent="0.3">
      <c r="B182" s="149"/>
      <c r="C182" s="149"/>
    </row>
    <row r="183" spans="1:21" x14ac:dyDescent="0.3">
      <c r="B183" s="441" t="s">
        <v>550</v>
      </c>
      <c r="C183" s="339"/>
    </row>
    <row r="184" spans="1:21" x14ac:dyDescent="0.3">
      <c r="B184" s="441" t="s">
        <v>103</v>
      </c>
      <c r="C184" s="264" t="s">
        <v>104</v>
      </c>
      <c r="D184" s="17" t="str">
        <f>D$4</f>
        <v>Z01</v>
      </c>
      <c r="E184" s="17" t="str">
        <f t="shared" ref="E184:R184" si="23">E$4</f>
        <v>Z02</v>
      </c>
      <c r="F184" s="17" t="str">
        <f t="shared" si="23"/>
        <v>Z03</v>
      </c>
      <c r="G184" s="17" t="str">
        <f t="shared" si="23"/>
        <v>Z04</v>
      </c>
      <c r="H184" s="17" t="str">
        <f t="shared" si="23"/>
        <v>Z05</v>
      </c>
      <c r="I184" s="17" t="str">
        <f t="shared" si="23"/>
        <v>Z06</v>
      </c>
      <c r="J184" s="17" t="str">
        <f t="shared" si="23"/>
        <v>Z07</v>
      </c>
      <c r="K184" s="17" t="str">
        <f t="shared" si="23"/>
        <v>Z08</v>
      </c>
      <c r="L184" s="17" t="str">
        <f t="shared" si="23"/>
        <v>Z09</v>
      </c>
      <c r="M184" s="17" t="str">
        <f t="shared" si="23"/>
        <v>Z10</v>
      </c>
      <c r="N184" s="17" t="str">
        <f t="shared" si="23"/>
        <v>Z11</v>
      </c>
      <c r="O184" s="17" t="str">
        <f t="shared" si="23"/>
        <v>Z12</v>
      </c>
      <c r="P184" s="17" t="str">
        <f t="shared" si="23"/>
        <v>Z13</v>
      </c>
      <c r="Q184" s="17" t="str">
        <f t="shared" si="23"/>
        <v>Z14</v>
      </c>
      <c r="R184" s="17" t="str">
        <f t="shared" si="23"/>
        <v>Z15</v>
      </c>
      <c r="T184" s="17" t="str">
        <f>T$4</f>
        <v>Average</v>
      </c>
      <c r="U184" s="260"/>
    </row>
    <row r="185" spans="1:21" x14ac:dyDescent="0.3">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22.84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22.84</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22.84</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22.84</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22.84</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v>22.84</v>
      </c>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v>22.84</v>
      </c>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v>22.84</v>
      </c>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v>22.84</v>
      </c>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v>22.84</v>
      </c>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x14ac:dyDescent="0.3">
      <c r="B198" s="441" t="s">
        <v>551</v>
      </c>
      <c r="C198" s="339"/>
    </row>
    <row r="199" spans="1:21" x14ac:dyDescent="0.3">
      <c r="B199" s="441" t="s">
        <v>103</v>
      </c>
      <c r="C199" s="264" t="s">
        <v>104</v>
      </c>
      <c r="D199" s="17" t="str">
        <f>D$4</f>
        <v>Z01</v>
      </c>
      <c r="E199" s="17" t="str">
        <f t="shared" ref="E199:R199" si="24">E$4</f>
        <v>Z02</v>
      </c>
      <c r="F199" s="17" t="str">
        <f t="shared" si="24"/>
        <v>Z03</v>
      </c>
      <c r="G199" s="17" t="str">
        <f t="shared" si="24"/>
        <v>Z04</v>
      </c>
      <c r="H199" s="17" t="str">
        <f t="shared" si="24"/>
        <v>Z05</v>
      </c>
      <c r="I199" s="17" t="str">
        <f t="shared" si="24"/>
        <v>Z06</v>
      </c>
      <c r="J199" s="17" t="str">
        <f t="shared" si="24"/>
        <v>Z07</v>
      </c>
      <c r="K199" s="17" t="str">
        <f t="shared" si="24"/>
        <v>Z08</v>
      </c>
      <c r="L199" s="17" t="str">
        <f t="shared" si="24"/>
        <v>Z09</v>
      </c>
      <c r="M199" s="17" t="str">
        <f t="shared" si="24"/>
        <v>Z10</v>
      </c>
      <c r="N199" s="17" t="str">
        <f t="shared" si="24"/>
        <v>Z11</v>
      </c>
      <c r="O199" s="17" t="str">
        <f t="shared" si="24"/>
        <v>Z12</v>
      </c>
      <c r="P199" s="17" t="str">
        <f t="shared" si="24"/>
        <v>Z13</v>
      </c>
      <c r="Q199" s="17" t="str">
        <f t="shared" si="24"/>
        <v>Z14</v>
      </c>
      <c r="R199" s="17" t="str">
        <f t="shared" si="24"/>
        <v>Z15</v>
      </c>
      <c r="T199" s="17" t="str">
        <f>T$4</f>
        <v>Average</v>
      </c>
      <c r="U199" s="260"/>
    </row>
    <row r="200" spans="1:21" x14ac:dyDescent="0.3">
      <c r="B200" s="271" t="s">
        <v>107</v>
      </c>
      <c r="C200" s="271" t="s">
        <v>151</v>
      </c>
      <c r="D200" s="272">
        <f>$T200</f>
        <v>0</v>
      </c>
      <c r="E200" s="272">
        <f t="shared" ref="E200:R210" si="25">$T200</f>
        <v>0</v>
      </c>
      <c r="F200" s="272">
        <f t="shared" si="25"/>
        <v>0</v>
      </c>
      <c r="G200" s="272">
        <f t="shared" si="25"/>
        <v>0</v>
      </c>
      <c r="H200" s="272">
        <f t="shared" si="25"/>
        <v>0</v>
      </c>
      <c r="I200" s="272">
        <f t="shared" si="25"/>
        <v>0</v>
      </c>
      <c r="J200" s="272">
        <f t="shared" si="25"/>
        <v>0</v>
      </c>
      <c r="K200" s="272">
        <f t="shared" si="25"/>
        <v>0</v>
      </c>
      <c r="L200" s="272">
        <f t="shared" si="25"/>
        <v>0</v>
      </c>
      <c r="M200" s="272">
        <f t="shared" si="25"/>
        <v>0</v>
      </c>
      <c r="N200" s="272">
        <f t="shared" si="25"/>
        <v>0</v>
      </c>
      <c r="O200" s="272">
        <f t="shared" si="25"/>
        <v>0</v>
      </c>
      <c r="P200" s="272">
        <f t="shared" si="25"/>
        <v>0</v>
      </c>
      <c r="Q200" s="272">
        <f t="shared" si="25"/>
        <v>0</v>
      </c>
      <c r="R200" s="272">
        <f t="shared" si="25"/>
        <v>0</v>
      </c>
      <c r="T200" s="820"/>
      <c r="U200" s="16"/>
    </row>
    <row r="201" spans="1:21" x14ac:dyDescent="0.3">
      <c r="B201" s="169" t="s">
        <v>108</v>
      </c>
      <c r="C201" s="271" t="s">
        <v>152</v>
      </c>
      <c r="D201" s="606">
        <f t="shared" ref="D201:D210" si="26">$T201</f>
        <v>0</v>
      </c>
      <c r="E201" s="606">
        <f t="shared" si="25"/>
        <v>0</v>
      </c>
      <c r="F201" s="606">
        <f t="shared" si="25"/>
        <v>0</v>
      </c>
      <c r="G201" s="606">
        <f t="shared" si="25"/>
        <v>0</v>
      </c>
      <c r="H201" s="606">
        <f t="shared" si="25"/>
        <v>0</v>
      </c>
      <c r="I201" s="606">
        <f t="shared" si="25"/>
        <v>0</v>
      </c>
      <c r="J201" s="606">
        <f t="shared" si="25"/>
        <v>0</v>
      </c>
      <c r="K201" s="606">
        <f t="shared" si="25"/>
        <v>0</v>
      </c>
      <c r="L201" s="606">
        <f t="shared" si="25"/>
        <v>0</v>
      </c>
      <c r="M201" s="606">
        <f t="shared" si="25"/>
        <v>0</v>
      </c>
      <c r="N201" s="606">
        <f t="shared" si="25"/>
        <v>0</v>
      </c>
      <c r="O201" s="606">
        <f t="shared" si="25"/>
        <v>0</v>
      </c>
      <c r="P201" s="606">
        <f t="shared" si="25"/>
        <v>0</v>
      </c>
      <c r="Q201" s="606">
        <f t="shared" si="25"/>
        <v>0</v>
      </c>
      <c r="R201" s="606">
        <f t="shared" si="25"/>
        <v>0</v>
      </c>
      <c r="T201" s="820"/>
      <c r="U201" s="16"/>
    </row>
    <row r="202" spans="1:21" x14ac:dyDescent="0.3">
      <c r="B202" s="169" t="s">
        <v>203</v>
      </c>
      <c r="C202" s="271" t="s">
        <v>153</v>
      </c>
      <c r="D202" s="272">
        <f t="shared" si="26"/>
        <v>0</v>
      </c>
      <c r="E202" s="272">
        <f t="shared" si="25"/>
        <v>0</v>
      </c>
      <c r="F202" s="272">
        <f t="shared" si="25"/>
        <v>0</v>
      </c>
      <c r="G202" s="272">
        <f t="shared" si="25"/>
        <v>0</v>
      </c>
      <c r="H202" s="272">
        <f t="shared" si="25"/>
        <v>0</v>
      </c>
      <c r="I202" s="272">
        <f t="shared" si="25"/>
        <v>0</v>
      </c>
      <c r="J202" s="272">
        <f t="shared" si="25"/>
        <v>0</v>
      </c>
      <c r="K202" s="272">
        <f t="shared" si="25"/>
        <v>0</v>
      </c>
      <c r="L202" s="272">
        <f t="shared" si="25"/>
        <v>0</v>
      </c>
      <c r="M202" s="272">
        <f t="shared" si="25"/>
        <v>0</v>
      </c>
      <c r="N202" s="272">
        <f t="shared" si="25"/>
        <v>0</v>
      </c>
      <c r="O202" s="272">
        <f t="shared" si="25"/>
        <v>0</v>
      </c>
      <c r="P202" s="272">
        <f t="shared" si="25"/>
        <v>0</v>
      </c>
      <c r="Q202" s="272">
        <f t="shared" si="25"/>
        <v>0</v>
      </c>
      <c r="R202" s="272">
        <f t="shared" si="25"/>
        <v>0</v>
      </c>
      <c r="T202" s="820"/>
      <c r="U202" s="16"/>
    </row>
    <row r="203" spans="1:21" x14ac:dyDescent="0.3">
      <c r="B203" s="169" t="s">
        <v>110</v>
      </c>
      <c r="C203" s="271" t="s">
        <v>154</v>
      </c>
      <c r="D203" s="272">
        <f t="shared" si="26"/>
        <v>0</v>
      </c>
      <c r="E203" s="272">
        <f t="shared" si="25"/>
        <v>0</v>
      </c>
      <c r="F203" s="272">
        <f t="shared" si="25"/>
        <v>0</v>
      </c>
      <c r="G203" s="272">
        <f t="shared" si="25"/>
        <v>0</v>
      </c>
      <c r="H203" s="272">
        <f t="shared" si="25"/>
        <v>0</v>
      </c>
      <c r="I203" s="272">
        <f t="shared" si="25"/>
        <v>0</v>
      </c>
      <c r="J203" s="272">
        <f t="shared" si="25"/>
        <v>0</v>
      </c>
      <c r="K203" s="272">
        <f t="shared" si="25"/>
        <v>0</v>
      </c>
      <c r="L203" s="272">
        <f t="shared" si="25"/>
        <v>0</v>
      </c>
      <c r="M203" s="272">
        <f t="shared" si="25"/>
        <v>0</v>
      </c>
      <c r="N203" s="272">
        <f t="shared" si="25"/>
        <v>0</v>
      </c>
      <c r="O203" s="272">
        <f t="shared" si="25"/>
        <v>0</v>
      </c>
      <c r="P203" s="272">
        <f t="shared" si="25"/>
        <v>0</v>
      </c>
      <c r="Q203" s="272">
        <f t="shared" si="25"/>
        <v>0</v>
      </c>
      <c r="R203" s="272">
        <f t="shared" si="25"/>
        <v>0</v>
      </c>
      <c r="T203" s="820"/>
      <c r="U203" s="16"/>
    </row>
    <row r="204" spans="1:21" x14ac:dyDescent="0.3">
      <c r="B204" s="169" t="s">
        <v>111</v>
      </c>
      <c r="C204" s="271" t="s">
        <v>155</v>
      </c>
      <c r="D204" s="272">
        <f t="shared" si="26"/>
        <v>0</v>
      </c>
      <c r="E204" s="272">
        <f t="shared" si="25"/>
        <v>0</v>
      </c>
      <c r="F204" s="272">
        <f t="shared" si="25"/>
        <v>0</v>
      </c>
      <c r="G204" s="272">
        <f t="shared" si="25"/>
        <v>0</v>
      </c>
      <c r="H204" s="272">
        <f t="shared" si="25"/>
        <v>0</v>
      </c>
      <c r="I204" s="272">
        <f t="shared" si="25"/>
        <v>0</v>
      </c>
      <c r="J204" s="272">
        <f t="shared" si="25"/>
        <v>0</v>
      </c>
      <c r="K204" s="272">
        <f t="shared" si="25"/>
        <v>0</v>
      </c>
      <c r="L204" s="272">
        <f t="shared" si="25"/>
        <v>0</v>
      </c>
      <c r="M204" s="272">
        <f t="shared" si="25"/>
        <v>0</v>
      </c>
      <c r="N204" s="272">
        <f t="shared" si="25"/>
        <v>0</v>
      </c>
      <c r="O204" s="272">
        <f t="shared" si="25"/>
        <v>0</v>
      </c>
      <c r="P204" s="272">
        <f t="shared" si="25"/>
        <v>0</v>
      </c>
      <c r="Q204" s="272">
        <f t="shared" si="25"/>
        <v>0</v>
      </c>
      <c r="R204" s="272">
        <f t="shared" si="25"/>
        <v>0</v>
      </c>
      <c r="T204" s="820"/>
      <c r="U204" s="16"/>
    </row>
    <row r="205" spans="1:21" x14ac:dyDescent="0.3">
      <c r="B205" s="169" t="s">
        <v>112</v>
      </c>
      <c r="C205" s="271" t="s">
        <v>156</v>
      </c>
      <c r="D205" s="272">
        <f t="shared" si="26"/>
        <v>0</v>
      </c>
      <c r="E205" s="272">
        <f t="shared" si="25"/>
        <v>0</v>
      </c>
      <c r="F205" s="272">
        <f t="shared" si="25"/>
        <v>0</v>
      </c>
      <c r="G205" s="272">
        <f t="shared" si="25"/>
        <v>0</v>
      </c>
      <c r="H205" s="272">
        <f t="shared" si="25"/>
        <v>0</v>
      </c>
      <c r="I205" s="272">
        <f t="shared" si="25"/>
        <v>0</v>
      </c>
      <c r="J205" s="272">
        <f t="shared" si="25"/>
        <v>0</v>
      </c>
      <c r="K205" s="272">
        <f t="shared" si="25"/>
        <v>0</v>
      </c>
      <c r="L205" s="272">
        <f t="shared" si="25"/>
        <v>0</v>
      </c>
      <c r="M205" s="272">
        <f t="shared" si="25"/>
        <v>0</v>
      </c>
      <c r="N205" s="272">
        <f t="shared" si="25"/>
        <v>0</v>
      </c>
      <c r="O205" s="272">
        <f t="shared" si="25"/>
        <v>0</v>
      </c>
      <c r="P205" s="272">
        <f t="shared" si="25"/>
        <v>0</v>
      </c>
      <c r="Q205" s="272">
        <f t="shared" si="25"/>
        <v>0</v>
      </c>
      <c r="R205" s="272">
        <f t="shared" si="25"/>
        <v>0</v>
      </c>
      <c r="T205" s="820"/>
      <c r="U205" s="16"/>
    </row>
    <row r="206" spans="1:21" x14ac:dyDescent="0.3">
      <c r="B206" s="169" t="s">
        <v>204</v>
      </c>
      <c r="C206" s="271" t="s">
        <v>157</v>
      </c>
      <c r="D206" s="272">
        <f t="shared" si="26"/>
        <v>0</v>
      </c>
      <c r="E206" s="272">
        <f t="shared" si="25"/>
        <v>0</v>
      </c>
      <c r="F206" s="272">
        <f t="shared" si="25"/>
        <v>0</v>
      </c>
      <c r="G206" s="272">
        <f t="shared" si="25"/>
        <v>0</v>
      </c>
      <c r="H206" s="272">
        <f t="shared" si="25"/>
        <v>0</v>
      </c>
      <c r="I206" s="272">
        <f t="shared" si="25"/>
        <v>0</v>
      </c>
      <c r="J206" s="272">
        <f t="shared" si="25"/>
        <v>0</v>
      </c>
      <c r="K206" s="272">
        <f t="shared" si="25"/>
        <v>0</v>
      </c>
      <c r="L206" s="272">
        <f t="shared" si="25"/>
        <v>0</v>
      </c>
      <c r="M206" s="272">
        <f t="shared" si="25"/>
        <v>0</v>
      </c>
      <c r="N206" s="272">
        <f t="shared" si="25"/>
        <v>0</v>
      </c>
      <c r="O206" s="272">
        <f t="shared" si="25"/>
        <v>0</v>
      </c>
      <c r="P206" s="272">
        <f t="shared" si="25"/>
        <v>0</v>
      </c>
      <c r="Q206" s="272">
        <f t="shared" si="25"/>
        <v>0</v>
      </c>
      <c r="R206" s="272">
        <f t="shared" si="25"/>
        <v>0</v>
      </c>
      <c r="T206" s="820"/>
      <c r="U206" s="16"/>
    </row>
    <row r="207" spans="1:21" x14ac:dyDescent="0.3">
      <c r="B207" s="169" t="s">
        <v>205</v>
      </c>
      <c r="C207" s="271" t="s">
        <v>158</v>
      </c>
      <c r="D207" s="272">
        <f t="shared" si="26"/>
        <v>0</v>
      </c>
      <c r="E207" s="272">
        <f t="shared" si="25"/>
        <v>0</v>
      </c>
      <c r="F207" s="272">
        <f t="shared" si="25"/>
        <v>0</v>
      </c>
      <c r="G207" s="272">
        <f t="shared" si="25"/>
        <v>0</v>
      </c>
      <c r="H207" s="272">
        <f t="shared" si="25"/>
        <v>0</v>
      </c>
      <c r="I207" s="272">
        <f t="shared" si="25"/>
        <v>0</v>
      </c>
      <c r="J207" s="272">
        <f t="shared" si="25"/>
        <v>0</v>
      </c>
      <c r="K207" s="272">
        <f t="shared" si="25"/>
        <v>0</v>
      </c>
      <c r="L207" s="272">
        <f t="shared" si="25"/>
        <v>0</v>
      </c>
      <c r="M207" s="272">
        <f t="shared" si="25"/>
        <v>0</v>
      </c>
      <c r="N207" s="272">
        <f t="shared" si="25"/>
        <v>0</v>
      </c>
      <c r="O207" s="272">
        <f t="shared" si="25"/>
        <v>0</v>
      </c>
      <c r="P207" s="272">
        <f t="shared" si="25"/>
        <v>0</v>
      </c>
      <c r="Q207" s="272">
        <f t="shared" si="25"/>
        <v>0</v>
      </c>
      <c r="R207" s="272">
        <f t="shared" si="25"/>
        <v>0</v>
      </c>
      <c r="T207" s="820"/>
      <c r="U207" s="16"/>
    </row>
    <row r="208" spans="1:21" x14ac:dyDescent="0.3">
      <c r="B208" s="169" t="s">
        <v>115</v>
      </c>
      <c r="C208" s="271" t="s">
        <v>159</v>
      </c>
      <c r="D208" s="272">
        <f t="shared" si="26"/>
        <v>0</v>
      </c>
      <c r="E208" s="272">
        <f t="shared" si="25"/>
        <v>0</v>
      </c>
      <c r="F208" s="272">
        <f t="shared" si="25"/>
        <v>0</v>
      </c>
      <c r="G208" s="272">
        <f t="shared" si="25"/>
        <v>0</v>
      </c>
      <c r="H208" s="272">
        <f t="shared" si="25"/>
        <v>0</v>
      </c>
      <c r="I208" s="272">
        <f t="shared" si="25"/>
        <v>0</v>
      </c>
      <c r="J208" s="272">
        <f t="shared" si="25"/>
        <v>0</v>
      </c>
      <c r="K208" s="272">
        <f t="shared" si="25"/>
        <v>0</v>
      </c>
      <c r="L208" s="272">
        <f t="shared" si="25"/>
        <v>0</v>
      </c>
      <c r="M208" s="272">
        <f t="shared" si="25"/>
        <v>0</v>
      </c>
      <c r="N208" s="272">
        <f t="shared" si="25"/>
        <v>0</v>
      </c>
      <c r="O208" s="272">
        <f t="shared" si="25"/>
        <v>0</v>
      </c>
      <c r="P208" s="272">
        <f t="shared" si="25"/>
        <v>0</v>
      </c>
      <c r="Q208" s="272">
        <f t="shared" si="25"/>
        <v>0</v>
      </c>
      <c r="R208" s="272">
        <f t="shared" si="25"/>
        <v>0</v>
      </c>
      <c r="T208" s="820"/>
    </row>
    <row r="209" spans="2:21" x14ac:dyDescent="0.3">
      <c r="B209" s="169" t="s">
        <v>206</v>
      </c>
      <c r="C209" s="271" t="s">
        <v>160</v>
      </c>
      <c r="D209" s="272">
        <f t="shared" si="26"/>
        <v>0</v>
      </c>
      <c r="E209" s="272">
        <f t="shared" si="25"/>
        <v>0</v>
      </c>
      <c r="F209" s="272">
        <f t="shared" si="25"/>
        <v>0</v>
      </c>
      <c r="G209" s="272">
        <f t="shared" si="25"/>
        <v>0</v>
      </c>
      <c r="H209" s="272">
        <f t="shared" si="25"/>
        <v>0</v>
      </c>
      <c r="I209" s="272">
        <f t="shared" si="25"/>
        <v>0</v>
      </c>
      <c r="J209" s="272">
        <f t="shared" si="25"/>
        <v>0</v>
      </c>
      <c r="K209" s="272">
        <f t="shared" si="25"/>
        <v>0</v>
      </c>
      <c r="L209" s="272">
        <f t="shared" si="25"/>
        <v>0</v>
      </c>
      <c r="M209" s="272">
        <f t="shared" si="25"/>
        <v>0</v>
      </c>
      <c r="N209" s="272">
        <f t="shared" si="25"/>
        <v>0</v>
      </c>
      <c r="O209" s="272">
        <f t="shared" si="25"/>
        <v>0</v>
      </c>
      <c r="P209" s="272">
        <f t="shared" si="25"/>
        <v>0</v>
      </c>
      <c r="Q209" s="272">
        <f t="shared" si="25"/>
        <v>0</v>
      </c>
      <c r="R209" s="272">
        <f t="shared" si="25"/>
        <v>0</v>
      </c>
      <c r="T209" s="820"/>
      <c r="U209" s="16"/>
    </row>
    <row r="210" spans="2:21" x14ac:dyDescent="0.3">
      <c r="B210" s="169" t="s">
        <v>207</v>
      </c>
      <c r="C210" s="271" t="s">
        <v>161</v>
      </c>
      <c r="D210" s="272">
        <f t="shared" si="26"/>
        <v>0</v>
      </c>
      <c r="E210" s="272">
        <f t="shared" si="25"/>
        <v>0</v>
      </c>
      <c r="F210" s="272">
        <f t="shared" si="25"/>
        <v>0</v>
      </c>
      <c r="G210" s="272">
        <f t="shared" si="25"/>
        <v>0</v>
      </c>
      <c r="H210" s="272">
        <f t="shared" si="25"/>
        <v>0</v>
      </c>
      <c r="I210" s="272">
        <f t="shared" si="25"/>
        <v>0</v>
      </c>
      <c r="J210" s="272">
        <f t="shared" si="25"/>
        <v>0</v>
      </c>
      <c r="K210" s="272">
        <f t="shared" si="25"/>
        <v>0</v>
      </c>
      <c r="L210" s="272">
        <f t="shared" si="25"/>
        <v>0</v>
      </c>
      <c r="M210" s="272">
        <f t="shared" si="25"/>
        <v>0</v>
      </c>
      <c r="N210" s="272">
        <f t="shared" si="25"/>
        <v>0</v>
      </c>
      <c r="O210" s="272">
        <f t="shared" si="25"/>
        <v>0</v>
      </c>
      <c r="P210" s="272">
        <f t="shared" si="25"/>
        <v>0</v>
      </c>
      <c r="Q210" s="272">
        <f t="shared" si="25"/>
        <v>0</v>
      </c>
      <c r="R210" s="272">
        <f t="shared" si="25"/>
        <v>0</v>
      </c>
      <c r="T210" s="820"/>
      <c r="U210" s="16"/>
    </row>
    <row r="212" spans="2:21" x14ac:dyDescent="0.3">
      <c r="B212" s="149"/>
      <c r="C212" s="149"/>
    </row>
    <row r="213" spans="2:21" x14ac:dyDescent="0.3">
      <c r="B213" s="441" t="s">
        <v>552</v>
      </c>
      <c r="C213" s="339"/>
    </row>
    <row r="214" spans="2:21" x14ac:dyDescent="0.3">
      <c r="B214" s="441" t="s">
        <v>103</v>
      </c>
      <c r="C214" s="264" t="s">
        <v>104</v>
      </c>
      <c r="D214" s="17" t="str">
        <f>D$4</f>
        <v>Z01</v>
      </c>
      <c r="E214" s="17" t="str">
        <f t="shared" ref="E214:R214" si="27">E$4</f>
        <v>Z02</v>
      </c>
      <c r="F214" s="17" t="str">
        <f t="shared" si="27"/>
        <v>Z03</v>
      </c>
      <c r="G214" s="17" t="str">
        <f t="shared" si="27"/>
        <v>Z04</v>
      </c>
      <c r="H214" s="17" t="str">
        <f t="shared" si="27"/>
        <v>Z05</v>
      </c>
      <c r="I214" s="17" t="str">
        <f t="shared" si="27"/>
        <v>Z06</v>
      </c>
      <c r="J214" s="17" t="str">
        <f t="shared" si="27"/>
        <v>Z07</v>
      </c>
      <c r="K214" s="17" t="str">
        <f t="shared" si="27"/>
        <v>Z08</v>
      </c>
      <c r="L214" s="17" t="str">
        <f t="shared" si="27"/>
        <v>Z09</v>
      </c>
      <c r="M214" s="17" t="str">
        <f t="shared" si="27"/>
        <v>Z10</v>
      </c>
      <c r="N214" s="17" t="str">
        <f t="shared" si="27"/>
        <v>Z11</v>
      </c>
      <c r="O214" s="17" t="str">
        <f t="shared" si="27"/>
        <v>Z12</v>
      </c>
      <c r="P214" s="17" t="str">
        <f t="shared" si="27"/>
        <v>Z13</v>
      </c>
      <c r="Q214" s="17" t="str">
        <f t="shared" si="27"/>
        <v>Z14</v>
      </c>
      <c r="R214" s="17" t="str">
        <f t="shared" si="27"/>
        <v>Z15</v>
      </c>
      <c r="T214" s="17" t="str">
        <f>T$4</f>
        <v>Average</v>
      </c>
      <c r="U214" s="260"/>
    </row>
    <row r="215" spans="2:2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x14ac:dyDescent="0.3">
      <c r="B217" s="169" t="s">
        <v>203</v>
      </c>
      <c r="C217" s="169" t="s">
        <v>553</v>
      </c>
      <c r="D217" s="606">
        <f>$T217</f>
        <v>0</v>
      </c>
      <c r="E217" s="606">
        <f t="shared" ref="E217:R217" si="28">$T217</f>
        <v>0</v>
      </c>
      <c r="F217" s="606">
        <f t="shared" si="28"/>
        <v>0</v>
      </c>
      <c r="G217" s="606">
        <f t="shared" si="28"/>
        <v>0</v>
      </c>
      <c r="H217" s="606">
        <f t="shared" si="28"/>
        <v>0</v>
      </c>
      <c r="I217" s="606">
        <f t="shared" si="28"/>
        <v>0</v>
      </c>
      <c r="J217" s="606">
        <f t="shared" si="28"/>
        <v>0</v>
      </c>
      <c r="K217" s="606">
        <f t="shared" si="28"/>
        <v>0</v>
      </c>
      <c r="L217" s="606">
        <f t="shared" si="28"/>
        <v>0</v>
      </c>
      <c r="M217" s="606">
        <f t="shared" si="28"/>
        <v>0</v>
      </c>
      <c r="N217" s="606">
        <f t="shared" si="28"/>
        <v>0</v>
      </c>
      <c r="O217" s="606">
        <f t="shared" si="28"/>
        <v>0</v>
      </c>
      <c r="P217" s="606">
        <f t="shared" si="28"/>
        <v>0</v>
      </c>
      <c r="Q217" s="606">
        <f t="shared" si="28"/>
        <v>0</v>
      </c>
      <c r="R217" s="606">
        <f t="shared" si="28"/>
        <v>0</v>
      </c>
      <c r="T217" s="291">
        <f>STAT_TRA_Mileage!Q11/1000</f>
        <v>0</v>
      </c>
      <c r="U217" s="16"/>
    </row>
    <row r="218" spans="2:2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8" spans="2:21" x14ac:dyDescent="0.3">
      <c r="B228" s="149"/>
      <c r="C228" s="149"/>
    </row>
    <row r="229" spans="2:21" x14ac:dyDescent="0.3">
      <c r="B229" s="441" t="s">
        <v>554</v>
      </c>
      <c r="C229" s="339"/>
    </row>
    <row r="230" spans="2:21" x14ac:dyDescent="0.3">
      <c r="B230" s="441" t="s">
        <v>103</v>
      </c>
      <c r="C230" s="264" t="s">
        <v>104</v>
      </c>
      <c r="D230" s="17" t="str">
        <f>D$4</f>
        <v>Z01</v>
      </c>
      <c r="E230" s="17" t="str">
        <f t="shared" ref="E230:R230" si="29">E$4</f>
        <v>Z02</v>
      </c>
      <c r="F230" s="17" t="str">
        <f t="shared" si="29"/>
        <v>Z03</v>
      </c>
      <c r="G230" s="17" t="str">
        <f t="shared" si="29"/>
        <v>Z04</v>
      </c>
      <c r="H230" s="17" t="str">
        <f t="shared" si="29"/>
        <v>Z05</v>
      </c>
      <c r="I230" s="17" t="str">
        <f t="shared" si="29"/>
        <v>Z06</v>
      </c>
      <c r="J230" s="17" t="str">
        <f t="shared" si="29"/>
        <v>Z07</v>
      </c>
      <c r="K230" s="17" t="str">
        <f t="shared" si="29"/>
        <v>Z08</v>
      </c>
      <c r="L230" s="17" t="str">
        <f t="shared" si="29"/>
        <v>Z09</v>
      </c>
      <c r="M230" s="17" t="str">
        <f t="shared" si="29"/>
        <v>Z10</v>
      </c>
      <c r="N230" s="17" t="str">
        <f t="shared" si="29"/>
        <v>Z11</v>
      </c>
      <c r="O230" s="17" t="str">
        <f t="shared" si="29"/>
        <v>Z12</v>
      </c>
      <c r="P230" s="17" t="str">
        <f t="shared" si="29"/>
        <v>Z13</v>
      </c>
      <c r="Q230" s="17" t="str">
        <f t="shared" si="29"/>
        <v>Z14</v>
      </c>
      <c r="R230" s="17" t="str">
        <f t="shared" si="29"/>
        <v>Z15</v>
      </c>
      <c r="T230" s="17" t="str">
        <f>T$4</f>
        <v>Average</v>
      </c>
      <c r="U230" s="260"/>
    </row>
    <row r="231" spans="2:2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x14ac:dyDescent="0.3">
      <c r="B233" s="169" t="s">
        <v>203</v>
      </c>
      <c r="C233" s="169" t="s">
        <v>555</v>
      </c>
      <c r="D233" s="606">
        <f t="shared" ref="D233:R233" si="30">$T233</f>
        <v>0</v>
      </c>
      <c r="E233" s="606">
        <f t="shared" si="30"/>
        <v>0</v>
      </c>
      <c r="F233" s="606">
        <f t="shared" si="30"/>
        <v>0</v>
      </c>
      <c r="G233" s="606">
        <f t="shared" si="30"/>
        <v>0</v>
      </c>
      <c r="H233" s="606">
        <f t="shared" si="30"/>
        <v>0</v>
      </c>
      <c r="I233" s="606">
        <f t="shared" si="30"/>
        <v>0</v>
      </c>
      <c r="J233" s="606">
        <f t="shared" si="30"/>
        <v>0</v>
      </c>
      <c r="K233" s="606">
        <f t="shared" si="30"/>
        <v>0</v>
      </c>
      <c r="L233" s="606">
        <f t="shared" si="30"/>
        <v>0</v>
      </c>
      <c r="M233" s="606">
        <f t="shared" si="30"/>
        <v>0</v>
      </c>
      <c r="N233" s="606">
        <f t="shared" si="30"/>
        <v>0</v>
      </c>
      <c r="O233" s="606">
        <f t="shared" si="30"/>
        <v>0</v>
      </c>
      <c r="P233" s="606">
        <f t="shared" si="30"/>
        <v>0</v>
      </c>
      <c r="Q233" s="606">
        <f t="shared" si="30"/>
        <v>0</v>
      </c>
      <c r="R233" s="606">
        <f t="shared" si="30"/>
        <v>0</v>
      </c>
      <c r="T233" s="291">
        <f>STAT_TRA_Mileage!R11/1000</f>
        <v>0</v>
      </c>
      <c r="U233" s="16"/>
    </row>
    <row r="234" spans="2:2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4" spans="2:21" x14ac:dyDescent="0.3">
      <c r="B244" s="149"/>
      <c r="C244" s="149"/>
    </row>
    <row r="245" spans="2:21" x14ac:dyDescent="0.3">
      <c r="B245" s="441" t="s">
        <v>556</v>
      </c>
      <c r="C245" s="339"/>
    </row>
    <row r="246" spans="2:21" x14ac:dyDescent="0.3">
      <c r="B246" s="441" t="s">
        <v>103</v>
      </c>
      <c r="C246" s="264" t="s">
        <v>104</v>
      </c>
      <c r="D246" s="17" t="str">
        <f>D$4</f>
        <v>Z01</v>
      </c>
      <c r="E246" s="17" t="str">
        <f t="shared" ref="E246:R246" si="31">E$4</f>
        <v>Z02</v>
      </c>
      <c r="F246" s="17" t="str">
        <f t="shared" si="31"/>
        <v>Z03</v>
      </c>
      <c r="G246" s="17" t="str">
        <f t="shared" si="31"/>
        <v>Z04</v>
      </c>
      <c r="H246" s="17" t="str">
        <f t="shared" si="31"/>
        <v>Z05</v>
      </c>
      <c r="I246" s="17" t="str">
        <f t="shared" si="31"/>
        <v>Z06</v>
      </c>
      <c r="J246" s="17" t="str">
        <f t="shared" si="31"/>
        <v>Z07</v>
      </c>
      <c r="K246" s="17" t="str">
        <f t="shared" si="31"/>
        <v>Z08</v>
      </c>
      <c r="L246" s="17" t="str">
        <f t="shared" si="31"/>
        <v>Z09</v>
      </c>
      <c r="M246" s="17" t="str">
        <f t="shared" si="31"/>
        <v>Z10</v>
      </c>
      <c r="N246" s="17" t="str">
        <f t="shared" si="31"/>
        <v>Z11</v>
      </c>
      <c r="O246" s="17" t="str">
        <f t="shared" si="31"/>
        <v>Z12</v>
      </c>
      <c r="P246" s="17" t="str">
        <f t="shared" si="31"/>
        <v>Z13</v>
      </c>
      <c r="Q246" s="17" t="str">
        <f t="shared" si="31"/>
        <v>Z14</v>
      </c>
      <c r="R246" s="17" t="str">
        <f t="shared" si="31"/>
        <v>Z15</v>
      </c>
      <c r="T246" s="17" t="str">
        <f>T$4</f>
        <v>Average</v>
      </c>
      <c r="U246" s="260"/>
    </row>
    <row r="247" spans="2:2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x14ac:dyDescent="0.3">
      <c r="B249" s="169" t="s">
        <v>203</v>
      </c>
      <c r="C249" s="169" t="s">
        <v>557</v>
      </c>
      <c r="D249" s="508">
        <f>$T249</f>
        <v>0</v>
      </c>
      <c r="E249" s="508">
        <f t="shared" ref="E249:R249" si="32">$T249</f>
        <v>0</v>
      </c>
      <c r="F249" s="508">
        <f t="shared" si="32"/>
        <v>0</v>
      </c>
      <c r="G249" s="508">
        <f t="shared" si="32"/>
        <v>0</v>
      </c>
      <c r="H249" s="508">
        <f t="shared" si="32"/>
        <v>0</v>
      </c>
      <c r="I249" s="508">
        <f t="shared" si="32"/>
        <v>0</v>
      </c>
      <c r="J249" s="508">
        <f t="shared" si="32"/>
        <v>0</v>
      </c>
      <c r="K249" s="508">
        <f t="shared" si="32"/>
        <v>0</v>
      </c>
      <c r="L249" s="508">
        <f t="shared" si="32"/>
        <v>0</v>
      </c>
      <c r="M249" s="508">
        <f t="shared" si="32"/>
        <v>0</v>
      </c>
      <c r="N249" s="508">
        <f t="shared" si="32"/>
        <v>0</v>
      </c>
      <c r="O249" s="508">
        <f t="shared" si="32"/>
        <v>0</v>
      </c>
      <c r="P249" s="508">
        <f t="shared" si="32"/>
        <v>0</v>
      </c>
      <c r="Q249" s="508">
        <f t="shared" si="32"/>
        <v>0</v>
      </c>
      <c r="R249" s="508">
        <f t="shared" si="32"/>
        <v>0</v>
      </c>
      <c r="T249" s="291">
        <f>STAT_TRA_Mileage!M27/1000</f>
        <v>0</v>
      </c>
      <c r="U249" s="16"/>
    </row>
    <row r="250" spans="2:2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60" spans="2:21" x14ac:dyDescent="0.3">
      <c r="B260" s="149"/>
      <c r="C260" s="149"/>
    </row>
    <row r="261" spans="2:21" x14ac:dyDescent="0.3">
      <c r="B261" s="441" t="s">
        <v>558</v>
      </c>
      <c r="C261" s="339"/>
    </row>
    <row r="262" spans="2:21" x14ac:dyDescent="0.3">
      <c r="B262" s="441" t="s">
        <v>103</v>
      </c>
      <c r="C262" s="264" t="s">
        <v>104</v>
      </c>
      <c r="D262" s="17" t="str">
        <f>D$4</f>
        <v>Z01</v>
      </c>
      <c r="E262" s="17" t="str">
        <f t="shared" ref="E262:R262" si="33">E$4</f>
        <v>Z02</v>
      </c>
      <c r="F262" s="17" t="str">
        <f t="shared" si="33"/>
        <v>Z03</v>
      </c>
      <c r="G262" s="17" t="str">
        <f t="shared" si="33"/>
        <v>Z04</v>
      </c>
      <c r="H262" s="17" t="str">
        <f t="shared" si="33"/>
        <v>Z05</v>
      </c>
      <c r="I262" s="17" t="str">
        <f t="shared" si="33"/>
        <v>Z06</v>
      </c>
      <c r="J262" s="17" t="str">
        <f t="shared" si="33"/>
        <v>Z07</v>
      </c>
      <c r="K262" s="17" t="str">
        <f t="shared" si="33"/>
        <v>Z08</v>
      </c>
      <c r="L262" s="17" t="str">
        <f t="shared" si="33"/>
        <v>Z09</v>
      </c>
      <c r="M262" s="17" t="str">
        <f t="shared" si="33"/>
        <v>Z10</v>
      </c>
      <c r="N262" s="17" t="str">
        <f t="shared" si="33"/>
        <v>Z11</v>
      </c>
      <c r="O262" s="17" t="str">
        <f t="shared" si="33"/>
        <v>Z12</v>
      </c>
      <c r="P262" s="17" t="str">
        <f t="shared" si="33"/>
        <v>Z13</v>
      </c>
      <c r="Q262" s="17" t="str">
        <f t="shared" si="33"/>
        <v>Z14</v>
      </c>
      <c r="R262" s="17" t="str">
        <f t="shared" si="33"/>
        <v>Z15</v>
      </c>
      <c r="T262" s="17" t="str">
        <f>T$4</f>
        <v>Average</v>
      </c>
      <c r="U262" s="260"/>
    </row>
    <row r="263" spans="2:2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x14ac:dyDescent="0.3">
      <c r="B265" s="169" t="s">
        <v>203</v>
      </c>
      <c r="C265" s="169" t="s">
        <v>559</v>
      </c>
      <c r="D265" s="508">
        <f t="shared" ref="D265" si="34">$T265</f>
        <v>0</v>
      </c>
      <c r="E265" s="508">
        <f t="shared" ref="E265:R265" si="35">$T265</f>
        <v>0</v>
      </c>
      <c r="F265" s="508">
        <f t="shared" si="35"/>
        <v>0</v>
      </c>
      <c r="G265" s="508">
        <f t="shared" si="35"/>
        <v>0</v>
      </c>
      <c r="H265" s="508">
        <f t="shared" si="35"/>
        <v>0</v>
      </c>
      <c r="I265" s="508">
        <f t="shared" si="35"/>
        <v>0</v>
      </c>
      <c r="J265" s="508">
        <f t="shared" si="35"/>
        <v>0</v>
      </c>
      <c r="K265" s="508">
        <f t="shared" si="35"/>
        <v>0</v>
      </c>
      <c r="L265" s="508">
        <f t="shared" si="35"/>
        <v>0</v>
      </c>
      <c r="M265" s="508">
        <f t="shared" si="35"/>
        <v>0</v>
      </c>
      <c r="N265" s="508">
        <f t="shared" si="35"/>
        <v>0</v>
      </c>
      <c r="O265" s="508">
        <f t="shared" si="35"/>
        <v>0</v>
      </c>
      <c r="P265" s="508">
        <f t="shared" si="35"/>
        <v>0</v>
      </c>
      <c r="Q265" s="508">
        <f t="shared" si="35"/>
        <v>0</v>
      </c>
      <c r="R265" s="508">
        <f t="shared" si="35"/>
        <v>0</v>
      </c>
      <c r="T265" s="291">
        <f>STAT_TRA_Mileage!N27/1000</f>
        <v>0</v>
      </c>
      <c r="U265" s="16"/>
    </row>
    <row r="266" spans="2:2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6" spans="2:21" x14ac:dyDescent="0.3">
      <c r="B276" s="149"/>
      <c r="C276" s="149"/>
    </row>
    <row r="277" spans="2:21" x14ac:dyDescent="0.3">
      <c r="B277" s="441" t="s">
        <v>560</v>
      </c>
      <c r="C277" s="339"/>
    </row>
    <row r="278" spans="2:21" x14ac:dyDescent="0.3">
      <c r="B278" s="441" t="s">
        <v>103</v>
      </c>
      <c r="C278" s="264" t="s">
        <v>104</v>
      </c>
      <c r="D278" s="17" t="str">
        <f>D$4</f>
        <v>Z01</v>
      </c>
      <c r="E278" s="17" t="str">
        <f t="shared" ref="E278:R278" si="36">E$4</f>
        <v>Z02</v>
      </c>
      <c r="F278" s="17" t="str">
        <f t="shared" si="36"/>
        <v>Z03</v>
      </c>
      <c r="G278" s="17" t="str">
        <f t="shared" si="36"/>
        <v>Z04</v>
      </c>
      <c r="H278" s="17" t="str">
        <f t="shared" si="36"/>
        <v>Z05</v>
      </c>
      <c r="I278" s="17" t="str">
        <f t="shared" si="36"/>
        <v>Z06</v>
      </c>
      <c r="J278" s="17" t="str">
        <f t="shared" si="36"/>
        <v>Z07</v>
      </c>
      <c r="K278" s="17" t="str">
        <f t="shared" si="36"/>
        <v>Z08</v>
      </c>
      <c r="L278" s="17" t="str">
        <f t="shared" si="36"/>
        <v>Z09</v>
      </c>
      <c r="M278" s="17" t="str">
        <f t="shared" si="36"/>
        <v>Z10</v>
      </c>
      <c r="N278" s="17" t="str">
        <f t="shared" si="36"/>
        <v>Z11</v>
      </c>
      <c r="O278" s="17" t="str">
        <f t="shared" si="36"/>
        <v>Z12</v>
      </c>
      <c r="P278" s="17" t="str">
        <f t="shared" si="36"/>
        <v>Z13</v>
      </c>
      <c r="Q278" s="17" t="str">
        <f t="shared" si="36"/>
        <v>Z14</v>
      </c>
      <c r="R278" s="17" t="str">
        <f t="shared" si="36"/>
        <v>Z15</v>
      </c>
      <c r="T278" s="17" t="str">
        <f>T$4</f>
        <v>Average</v>
      </c>
      <c r="U278" s="260"/>
    </row>
    <row r="279" spans="2:2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x14ac:dyDescent="0.3">
      <c r="B281" s="169" t="s">
        <v>203</v>
      </c>
      <c r="C281" s="169" t="s">
        <v>380</v>
      </c>
      <c r="D281" s="508">
        <f t="shared" ref="D281:D290" si="37">$T281</f>
        <v>0</v>
      </c>
      <c r="E281" s="508">
        <f t="shared" ref="E281:R290" si="38">$T281</f>
        <v>0</v>
      </c>
      <c r="F281" s="508">
        <f t="shared" si="38"/>
        <v>0</v>
      </c>
      <c r="G281" s="508">
        <f t="shared" si="38"/>
        <v>0</v>
      </c>
      <c r="H281" s="508">
        <f t="shared" si="38"/>
        <v>0</v>
      </c>
      <c r="I281" s="508">
        <f t="shared" si="38"/>
        <v>0</v>
      </c>
      <c r="J281" s="508">
        <f t="shared" si="38"/>
        <v>0</v>
      </c>
      <c r="K281" s="508">
        <f t="shared" si="38"/>
        <v>0</v>
      </c>
      <c r="L281" s="508">
        <f t="shared" si="38"/>
        <v>0</v>
      </c>
      <c r="M281" s="508">
        <f t="shared" si="38"/>
        <v>0</v>
      </c>
      <c r="N281" s="508">
        <f t="shared" si="38"/>
        <v>0</v>
      </c>
      <c r="O281" s="508">
        <f t="shared" si="38"/>
        <v>0</v>
      </c>
      <c r="P281" s="508">
        <f t="shared" si="38"/>
        <v>0</v>
      </c>
      <c r="Q281" s="508">
        <f t="shared" si="38"/>
        <v>0</v>
      </c>
      <c r="R281" s="508">
        <f t="shared" si="38"/>
        <v>0</v>
      </c>
      <c r="T281" s="291">
        <f>STAT_TRA_Mileage!M11/1000</f>
        <v>0</v>
      </c>
      <c r="U281" s="16"/>
    </row>
    <row r="282" spans="2:2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x14ac:dyDescent="0.3">
      <c r="B290" s="169" t="s">
        <v>208</v>
      </c>
      <c r="C290" s="169" t="s">
        <v>381</v>
      </c>
      <c r="D290" s="508">
        <f t="shared" si="37"/>
        <v>0</v>
      </c>
      <c r="E290" s="508">
        <f t="shared" si="38"/>
        <v>0</v>
      </c>
      <c r="F290" s="508">
        <f t="shared" si="38"/>
        <v>0</v>
      </c>
      <c r="G290" s="508">
        <f t="shared" si="38"/>
        <v>0</v>
      </c>
      <c r="H290" s="508">
        <f t="shared" si="38"/>
        <v>0</v>
      </c>
      <c r="I290" s="508">
        <f t="shared" si="38"/>
        <v>0</v>
      </c>
      <c r="J290" s="508">
        <f t="shared" si="38"/>
        <v>0</v>
      </c>
      <c r="K290" s="508">
        <f t="shared" si="38"/>
        <v>0</v>
      </c>
      <c r="L290" s="508">
        <f t="shared" si="38"/>
        <v>0</v>
      </c>
      <c r="M290" s="508">
        <f t="shared" si="38"/>
        <v>0</v>
      </c>
      <c r="N290" s="508">
        <f t="shared" si="38"/>
        <v>0</v>
      </c>
      <c r="O290" s="508">
        <f t="shared" si="38"/>
        <v>0</v>
      </c>
      <c r="P290" s="508">
        <f t="shared" si="38"/>
        <v>0</v>
      </c>
      <c r="Q290" s="508">
        <f t="shared" si="38"/>
        <v>0</v>
      </c>
      <c r="R290" s="508">
        <f t="shared" si="38"/>
        <v>0</v>
      </c>
      <c r="T290" s="291">
        <f>STAT_TRA_Mileage!M20/1000</f>
        <v>0</v>
      </c>
      <c r="U290" s="16"/>
    </row>
    <row r="292" spans="2:21" x14ac:dyDescent="0.3">
      <c r="B292" s="149"/>
      <c r="C292" s="149"/>
    </row>
    <row r="293" spans="2:21" x14ac:dyDescent="0.3">
      <c r="B293" s="441" t="s">
        <v>561</v>
      </c>
      <c r="C293" s="339"/>
    </row>
    <row r="294" spans="2:21" x14ac:dyDescent="0.3">
      <c r="B294" s="441" t="s">
        <v>103</v>
      </c>
      <c r="C294" s="264" t="s">
        <v>104</v>
      </c>
      <c r="D294" s="17" t="str">
        <f>D$4</f>
        <v>Z01</v>
      </c>
      <c r="E294" s="17" t="str">
        <f t="shared" ref="E294:R294" si="39">E$4</f>
        <v>Z02</v>
      </c>
      <c r="F294" s="17" t="str">
        <f t="shared" si="39"/>
        <v>Z03</v>
      </c>
      <c r="G294" s="17" t="str">
        <f t="shared" si="39"/>
        <v>Z04</v>
      </c>
      <c r="H294" s="17" t="str">
        <f t="shared" si="39"/>
        <v>Z05</v>
      </c>
      <c r="I294" s="17" t="str">
        <f t="shared" si="39"/>
        <v>Z06</v>
      </c>
      <c r="J294" s="17" t="str">
        <f t="shared" si="39"/>
        <v>Z07</v>
      </c>
      <c r="K294" s="17" t="str">
        <f t="shared" si="39"/>
        <v>Z08</v>
      </c>
      <c r="L294" s="17" t="str">
        <f t="shared" si="39"/>
        <v>Z09</v>
      </c>
      <c r="M294" s="17" t="str">
        <f t="shared" si="39"/>
        <v>Z10</v>
      </c>
      <c r="N294" s="17" t="str">
        <f t="shared" si="39"/>
        <v>Z11</v>
      </c>
      <c r="O294" s="17" t="str">
        <f t="shared" si="39"/>
        <v>Z12</v>
      </c>
      <c r="P294" s="17" t="str">
        <f t="shared" si="39"/>
        <v>Z13</v>
      </c>
      <c r="Q294" s="17" t="str">
        <f t="shared" si="39"/>
        <v>Z14</v>
      </c>
      <c r="R294" s="17" t="str">
        <f t="shared" si="39"/>
        <v>Z15</v>
      </c>
      <c r="T294" s="17" t="str">
        <f>T$4</f>
        <v>Average</v>
      </c>
    </row>
    <row r="295" spans="2:2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x14ac:dyDescent="0.3">
      <c r="B297" s="169" t="s">
        <v>203</v>
      </c>
      <c r="C297" s="169" t="s">
        <v>562</v>
      </c>
      <c r="D297" s="508">
        <f>$T297</f>
        <v>0</v>
      </c>
      <c r="E297" s="508">
        <f t="shared" ref="E297:R297" si="40">$T297</f>
        <v>0</v>
      </c>
      <c r="F297" s="508">
        <f t="shared" si="40"/>
        <v>0</v>
      </c>
      <c r="G297" s="508">
        <f t="shared" si="40"/>
        <v>0</v>
      </c>
      <c r="H297" s="508">
        <f t="shared" si="40"/>
        <v>0</v>
      </c>
      <c r="I297" s="508">
        <f t="shared" si="40"/>
        <v>0</v>
      </c>
      <c r="J297" s="508">
        <f t="shared" si="40"/>
        <v>0</v>
      </c>
      <c r="K297" s="508">
        <f t="shared" si="40"/>
        <v>0</v>
      </c>
      <c r="L297" s="508">
        <f t="shared" si="40"/>
        <v>0</v>
      </c>
      <c r="M297" s="508">
        <f t="shared" si="40"/>
        <v>0</v>
      </c>
      <c r="N297" s="508">
        <f t="shared" si="40"/>
        <v>0</v>
      </c>
      <c r="O297" s="508">
        <f t="shared" si="40"/>
        <v>0</v>
      </c>
      <c r="P297" s="508">
        <f t="shared" si="40"/>
        <v>0</v>
      </c>
      <c r="Q297" s="508">
        <f t="shared" si="40"/>
        <v>0</v>
      </c>
      <c r="R297" s="508">
        <f t="shared" si="40"/>
        <v>0</v>
      </c>
      <c r="S297" s="102"/>
      <c r="T297" s="291">
        <f>STAT_TRA_Mileage!K20/1000</f>
        <v>0</v>
      </c>
    </row>
    <row r="298" spans="2:2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x14ac:dyDescent="0.3">
      <c r="B306" s="169" t="s">
        <v>208</v>
      </c>
      <c r="C306" s="169" t="s">
        <v>563</v>
      </c>
      <c r="D306" s="508">
        <f>$T306</f>
        <v>0</v>
      </c>
      <c r="E306" s="508">
        <f t="shared" ref="E306:R306" si="41">$T306</f>
        <v>0</v>
      </c>
      <c r="F306" s="508">
        <f t="shared" si="41"/>
        <v>0</v>
      </c>
      <c r="G306" s="508">
        <f t="shared" si="41"/>
        <v>0</v>
      </c>
      <c r="H306" s="508">
        <f t="shared" si="41"/>
        <v>0</v>
      </c>
      <c r="I306" s="508">
        <f t="shared" si="41"/>
        <v>0</v>
      </c>
      <c r="J306" s="508">
        <f t="shared" si="41"/>
        <v>0</v>
      </c>
      <c r="K306" s="508">
        <f t="shared" si="41"/>
        <v>0</v>
      </c>
      <c r="L306" s="508">
        <f t="shared" si="41"/>
        <v>0</v>
      </c>
      <c r="M306" s="508">
        <f t="shared" si="41"/>
        <v>0</v>
      </c>
      <c r="N306" s="508">
        <f t="shared" si="41"/>
        <v>0</v>
      </c>
      <c r="O306" s="508">
        <f t="shared" si="41"/>
        <v>0</v>
      </c>
      <c r="P306" s="508">
        <f t="shared" si="41"/>
        <v>0</v>
      </c>
      <c r="Q306" s="508">
        <f t="shared" si="41"/>
        <v>0</v>
      </c>
      <c r="R306" s="508">
        <f t="shared" si="41"/>
        <v>0</v>
      </c>
      <c r="S306" s="102"/>
      <c r="T306" s="291">
        <f>STAT_TRA_Mileage!L20/1000</f>
        <v>0</v>
      </c>
    </row>
    <row r="308" spans="2:21" x14ac:dyDescent="0.3">
      <c r="B308" s="149"/>
      <c r="C308" s="149"/>
    </row>
    <row r="309" spans="2:21" x14ac:dyDescent="0.3">
      <c r="B309" s="441" t="s">
        <v>564</v>
      </c>
      <c r="C309" s="339"/>
    </row>
    <row r="310" spans="2:21" x14ac:dyDescent="0.3">
      <c r="B310" s="441" t="s">
        <v>103</v>
      </c>
      <c r="C310" s="264" t="s">
        <v>104</v>
      </c>
      <c r="D310" s="17" t="str">
        <f>D$4</f>
        <v>Z01</v>
      </c>
      <c r="E310" s="17" t="str">
        <f t="shared" ref="E310:R310" si="42">E$4</f>
        <v>Z02</v>
      </c>
      <c r="F310" s="17" t="str">
        <f t="shared" si="42"/>
        <v>Z03</v>
      </c>
      <c r="G310" s="17" t="str">
        <f t="shared" si="42"/>
        <v>Z04</v>
      </c>
      <c r="H310" s="17" t="str">
        <f t="shared" si="42"/>
        <v>Z05</v>
      </c>
      <c r="I310" s="17" t="str">
        <f t="shared" si="42"/>
        <v>Z06</v>
      </c>
      <c r="J310" s="17" t="str">
        <f t="shared" si="42"/>
        <v>Z07</v>
      </c>
      <c r="K310" s="17" t="str">
        <f t="shared" si="42"/>
        <v>Z08</v>
      </c>
      <c r="L310" s="17" t="str">
        <f t="shared" si="42"/>
        <v>Z09</v>
      </c>
      <c r="M310" s="17" t="str">
        <f t="shared" si="42"/>
        <v>Z10</v>
      </c>
      <c r="N310" s="17" t="str">
        <f t="shared" si="42"/>
        <v>Z11</v>
      </c>
      <c r="O310" s="17" t="str">
        <f t="shared" si="42"/>
        <v>Z12</v>
      </c>
      <c r="P310" s="17" t="str">
        <f t="shared" si="42"/>
        <v>Z13</v>
      </c>
      <c r="Q310" s="17" t="str">
        <f t="shared" si="42"/>
        <v>Z14</v>
      </c>
      <c r="R310" s="17" t="str">
        <f t="shared" si="42"/>
        <v>Z15</v>
      </c>
      <c r="T310" s="17" t="str">
        <f>T$4</f>
        <v>Average</v>
      </c>
      <c r="U310" s="260"/>
    </row>
    <row r="311" spans="2:2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x14ac:dyDescent="0.3">
      <c r="B313" s="169" t="s">
        <v>203</v>
      </c>
      <c r="C313" s="169" t="s">
        <v>565</v>
      </c>
      <c r="D313" s="508">
        <f t="shared" ref="D313:D322" si="43">$T313</f>
        <v>0</v>
      </c>
      <c r="E313" s="508">
        <f t="shared" ref="E313:R322" si="44">$T313</f>
        <v>0</v>
      </c>
      <c r="F313" s="508">
        <f t="shared" si="44"/>
        <v>0</v>
      </c>
      <c r="G313" s="508">
        <f t="shared" si="44"/>
        <v>0</v>
      </c>
      <c r="H313" s="508">
        <f t="shared" si="44"/>
        <v>0</v>
      </c>
      <c r="I313" s="508">
        <f t="shared" si="44"/>
        <v>0</v>
      </c>
      <c r="J313" s="508">
        <f t="shared" si="44"/>
        <v>0</v>
      </c>
      <c r="K313" s="508">
        <f t="shared" si="44"/>
        <v>0</v>
      </c>
      <c r="L313" s="508">
        <f t="shared" si="44"/>
        <v>0</v>
      </c>
      <c r="M313" s="508">
        <f t="shared" si="44"/>
        <v>0</v>
      </c>
      <c r="N313" s="508">
        <f t="shared" si="44"/>
        <v>0</v>
      </c>
      <c r="O313" s="508">
        <f t="shared" si="44"/>
        <v>0</v>
      </c>
      <c r="P313" s="508">
        <f t="shared" si="44"/>
        <v>0</v>
      </c>
      <c r="Q313" s="508">
        <f t="shared" si="44"/>
        <v>0</v>
      </c>
      <c r="R313" s="508">
        <f t="shared" si="44"/>
        <v>0</v>
      </c>
      <c r="S313" s="102"/>
      <c r="T313" s="291">
        <f>STAT_TRA_Mileage!K27/1000</f>
        <v>0</v>
      </c>
      <c r="U313" s="16"/>
    </row>
    <row r="314" spans="2:2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x14ac:dyDescent="0.3">
      <c r="B322" s="169" t="s">
        <v>208</v>
      </c>
      <c r="C322" s="169" t="s">
        <v>566</v>
      </c>
      <c r="D322" s="508">
        <f t="shared" si="43"/>
        <v>0</v>
      </c>
      <c r="E322" s="508">
        <f t="shared" si="44"/>
        <v>0</v>
      </c>
      <c r="F322" s="508">
        <f t="shared" si="44"/>
        <v>0</v>
      </c>
      <c r="G322" s="508">
        <f t="shared" si="44"/>
        <v>0</v>
      </c>
      <c r="H322" s="508">
        <f t="shared" si="44"/>
        <v>0</v>
      </c>
      <c r="I322" s="508">
        <f t="shared" si="44"/>
        <v>0</v>
      </c>
      <c r="J322" s="508">
        <f t="shared" si="44"/>
        <v>0</v>
      </c>
      <c r="K322" s="508">
        <f t="shared" si="44"/>
        <v>0</v>
      </c>
      <c r="L322" s="508">
        <f t="shared" si="44"/>
        <v>0</v>
      </c>
      <c r="M322" s="508">
        <f t="shared" si="44"/>
        <v>0</v>
      </c>
      <c r="N322" s="508">
        <f t="shared" si="44"/>
        <v>0</v>
      </c>
      <c r="O322" s="508">
        <f t="shared" si="44"/>
        <v>0</v>
      </c>
      <c r="P322" s="508">
        <f t="shared" si="44"/>
        <v>0</v>
      </c>
      <c r="Q322" s="508">
        <f t="shared" si="44"/>
        <v>0</v>
      </c>
      <c r="R322" s="508">
        <f t="shared" si="44"/>
        <v>0</v>
      </c>
      <c r="S322" s="102"/>
      <c r="T322" s="291">
        <f>STAT_TRA_Mileage!K36/1000</f>
        <v>0</v>
      </c>
      <c r="U322" s="16"/>
    </row>
    <row r="324" spans="2:21" x14ac:dyDescent="0.3">
      <c r="B324" s="149"/>
      <c r="C324" s="149"/>
    </row>
    <row r="325" spans="2:21" x14ac:dyDescent="0.3">
      <c r="B325" s="441" t="s">
        <v>567</v>
      </c>
      <c r="C325" s="339"/>
    </row>
    <row r="326" spans="2:21" x14ac:dyDescent="0.3">
      <c r="B326" s="441" t="s">
        <v>103</v>
      </c>
      <c r="C326" s="264" t="s">
        <v>104</v>
      </c>
      <c r="D326" s="17" t="str">
        <f>D$4</f>
        <v>Z01</v>
      </c>
      <c r="E326" s="17" t="str">
        <f t="shared" ref="E326:R326" si="45">E$4</f>
        <v>Z02</v>
      </c>
      <c r="F326" s="17" t="str">
        <f t="shared" si="45"/>
        <v>Z03</v>
      </c>
      <c r="G326" s="17" t="str">
        <f t="shared" si="45"/>
        <v>Z04</v>
      </c>
      <c r="H326" s="17" t="str">
        <f t="shared" si="45"/>
        <v>Z05</v>
      </c>
      <c r="I326" s="17" t="str">
        <f t="shared" si="45"/>
        <v>Z06</v>
      </c>
      <c r="J326" s="17" t="str">
        <f t="shared" si="45"/>
        <v>Z07</v>
      </c>
      <c r="K326" s="17" t="str">
        <f t="shared" si="45"/>
        <v>Z08</v>
      </c>
      <c r="L326" s="17" t="str">
        <f t="shared" si="45"/>
        <v>Z09</v>
      </c>
      <c r="M326" s="17" t="str">
        <f t="shared" si="45"/>
        <v>Z10</v>
      </c>
      <c r="N326" s="17" t="str">
        <f t="shared" si="45"/>
        <v>Z11</v>
      </c>
      <c r="O326" s="17" t="str">
        <f t="shared" si="45"/>
        <v>Z12</v>
      </c>
      <c r="P326" s="17" t="str">
        <f t="shared" si="45"/>
        <v>Z13</v>
      </c>
      <c r="Q326" s="17" t="str">
        <f t="shared" si="45"/>
        <v>Z14</v>
      </c>
      <c r="R326" s="17" t="str">
        <f t="shared" si="45"/>
        <v>Z15</v>
      </c>
      <c r="T326" s="17" t="str">
        <f>T$4</f>
        <v>Average</v>
      </c>
    </row>
    <row r="327" spans="2:2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x14ac:dyDescent="0.3">
      <c r="B329" s="169" t="s">
        <v>203</v>
      </c>
      <c r="C329" s="169" t="s">
        <v>166</v>
      </c>
      <c r="D329" s="508">
        <f t="shared" ref="D329:Q329" si="46">$T329</f>
        <v>0</v>
      </c>
      <c r="E329" s="508">
        <f t="shared" si="46"/>
        <v>0</v>
      </c>
      <c r="F329" s="508">
        <f t="shared" si="46"/>
        <v>0</v>
      </c>
      <c r="G329" s="508">
        <f t="shared" si="46"/>
        <v>0</v>
      </c>
      <c r="H329" s="508">
        <f t="shared" si="46"/>
        <v>0</v>
      </c>
      <c r="I329" s="508">
        <f t="shared" si="46"/>
        <v>0</v>
      </c>
      <c r="J329" s="508">
        <f t="shared" si="46"/>
        <v>0</v>
      </c>
      <c r="K329" s="508">
        <f t="shared" si="46"/>
        <v>0</v>
      </c>
      <c r="L329" s="508">
        <f t="shared" si="46"/>
        <v>0</v>
      </c>
      <c r="M329" s="508">
        <f t="shared" si="46"/>
        <v>0</v>
      </c>
      <c r="N329" s="508">
        <f t="shared" si="46"/>
        <v>0</v>
      </c>
      <c r="O329" s="508">
        <f t="shared" si="46"/>
        <v>0</v>
      </c>
      <c r="P329" s="508">
        <f t="shared" si="46"/>
        <v>0</v>
      </c>
      <c r="Q329" s="508">
        <f t="shared" si="46"/>
        <v>0</v>
      </c>
      <c r="R329" s="508">
        <f>$T329</f>
        <v>0</v>
      </c>
      <c r="S329" s="102"/>
      <c r="T329" s="291">
        <f>STAT_TRA_Mileage!L27/1000</f>
        <v>0</v>
      </c>
    </row>
    <row r="330" spans="2:2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x14ac:dyDescent="0.3">
      <c r="B338" s="169" t="s">
        <v>208</v>
      </c>
      <c r="C338" s="169" t="s">
        <v>167</v>
      </c>
      <c r="D338" s="508">
        <f>$T338</f>
        <v>0</v>
      </c>
      <c r="E338" s="508">
        <f t="shared" ref="E338:R338" si="47">$T338</f>
        <v>0</v>
      </c>
      <c r="F338" s="508">
        <f t="shared" si="47"/>
        <v>0</v>
      </c>
      <c r="G338" s="508">
        <f t="shared" si="47"/>
        <v>0</v>
      </c>
      <c r="H338" s="508">
        <f t="shared" si="47"/>
        <v>0</v>
      </c>
      <c r="I338" s="508">
        <f t="shared" si="47"/>
        <v>0</v>
      </c>
      <c r="J338" s="508">
        <f t="shared" si="47"/>
        <v>0</v>
      </c>
      <c r="K338" s="508">
        <f t="shared" si="47"/>
        <v>0</v>
      </c>
      <c r="L338" s="508">
        <f t="shared" si="47"/>
        <v>0</v>
      </c>
      <c r="M338" s="508">
        <f t="shared" si="47"/>
        <v>0</v>
      </c>
      <c r="N338" s="508">
        <f t="shared" si="47"/>
        <v>0</v>
      </c>
      <c r="O338" s="508">
        <f t="shared" si="47"/>
        <v>0</v>
      </c>
      <c r="P338" s="508">
        <f t="shared" si="47"/>
        <v>0</v>
      </c>
      <c r="Q338" s="508">
        <f t="shared" si="47"/>
        <v>0</v>
      </c>
      <c r="R338" s="508">
        <f t="shared" si="47"/>
        <v>0</v>
      </c>
      <c r="S338" s="102"/>
      <c r="T338" s="291">
        <f>STAT_TRA_Mileage!L36/1000</f>
        <v>0</v>
      </c>
    </row>
    <row r="340" spans="1:21" x14ac:dyDescent="0.3">
      <c r="B340" s="149"/>
      <c r="C340" s="149"/>
    </row>
    <row r="341" spans="1:21" x14ac:dyDescent="0.3">
      <c r="B341" s="441" t="s">
        <v>170</v>
      </c>
      <c r="C341" s="339"/>
    </row>
    <row r="342" spans="1:21" x14ac:dyDescent="0.3">
      <c r="B342" s="441" t="s">
        <v>103</v>
      </c>
      <c r="C342" s="264" t="s">
        <v>104</v>
      </c>
      <c r="D342" s="17" t="str">
        <f>D$4</f>
        <v>Z01</v>
      </c>
      <c r="E342" s="17" t="str">
        <f t="shared" ref="E342:R342" si="48">E$4</f>
        <v>Z02</v>
      </c>
      <c r="F342" s="17" t="str">
        <f t="shared" si="48"/>
        <v>Z03</v>
      </c>
      <c r="G342" s="17" t="str">
        <f t="shared" si="48"/>
        <v>Z04</v>
      </c>
      <c r="H342" s="17" t="str">
        <f t="shared" si="48"/>
        <v>Z05</v>
      </c>
      <c r="I342" s="17" t="str">
        <f t="shared" si="48"/>
        <v>Z06</v>
      </c>
      <c r="J342" s="17" t="str">
        <f t="shared" si="48"/>
        <v>Z07</v>
      </c>
      <c r="K342" s="17" t="str">
        <f t="shared" si="48"/>
        <v>Z08</v>
      </c>
      <c r="L342" s="17" t="str">
        <f t="shared" si="48"/>
        <v>Z09</v>
      </c>
      <c r="M342" s="17" t="str">
        <f t="shared" si="48"/>
        <v>Z10</v>
      </c>
      <c r="N342" s="17" t="str">
        <f t="shared" si="48"/>
        <v>Z11</v>
      </c>
      <c r="O342" s="17" t="str">
        <f t="shared" si="48"/>
        <v>Z12</v>
      </c>
      <c r="P342" s="17" t="str">
        <f t="shared" si="48"/>
        <v>Z13</v>
      </c>
      <c r="Q342" s="17" t="str">
        <f t="shared" si="48"/>
        <v>Z14</v>
      </c>
      <c r="R342" s="17" t="str">
        <f t="shared" si="48"/>
        <v>Z15</v>
      </c>
      <c r="T342" s="17" t="str">
        <f>T$4</f>
        <v>Average</v>
      </c>
    </row>
    <row r="343" spans="1:21" x14ac:dyDescent="0.3">
      <c r="B343" s="271" t="s">
        <v>568</v>
      </c>
      <c r="C343" s="271" t="s">
        <v>382</v>
      </c>
      <c r="D343" s="678">
        <f>$T343</f>
        <v>0</v>
      </c>
      <c r="E343" s="678">
        <f t="shared" ref="E343:R344" si="49">$T343</f>
        <v>0</v>
      </c>
      <c r="F343" s="678">
        <f t="shared" si="49"/>
        <v>0</v>
      </c>
      <c r="G343" s="678">
        <f t="shared" si="49"/>
        <v>0</v>
      </c>
      <c r="H343" s="678">
        <f t="shared" si="49"/>
        <v>0</v>
      </c>
      <c r="I343" s="678">
        <f t="shared" si="49"/>
        <v>0</v>
      </c>
      <c r="J343" s="678">
        <f t="shared" si="49"/>
        <v>0</v>
      </c>
      <c r="K343" s="678">
        <f t="shared" si="49"/>
        <v>0</v>
      </c>
      <c r="L343" s="678">
        <f t="shared" si="49"/>
        <v>0</v>
      </c>
      <c r="M343" s="678">
        <f t="shared" si="49"/>
        <v>0</v>
      </c>
      <c r="N343" s="678">
        <f t="shared" si="49"/>
        <v>0</v>
      </c>
      <c r="O343" s="678">
        <f t="shared" si="49"/>
        <v>0</v>
      </c>
      <c r="P343" s="678">
        <f t="shared" si="49"/>
        <v>0</v>
      </c>
      <c r="Q343" s="678">
        <f t="shared" si="49"/>
        <v>0</v>
      </c>
      <c r="R343" s="678">
        <f t="shared" si="49"/>
        <v>0</v>
      </c>
      <c r="T343" s="679">
        <f>STAT_TRA_Mileage!O20/1000</f>
        <v>0</v>
      </c>
    </row>
    <row r="344" spans="1:21" x14ac:dyDescent="0.3">
      <c r="B344" s="271" t="s">
        <v>569</v>
      </c>
      <c r="C344" s="271" t="s">
        <v>171</v>
      </c>
      <c r="D344" s="678">
        <f>$T344</f>
        <v>0</v>
      </c>
      <c r="E344" s="678">
        <f t="shared" si="49"/>
        <v>0</v>
      </c>
      <c r="F344" s="678">
        <f t="shared" si="49"/>
        <v>0</v>
      </c>
      <c r="G344" s="678">
        <f t="shared" si="49"/>
        <v>0</v>
      </c>
      <c r="H344" s="678">
        <f t="shared" si="49"/>
        <v>0</v>
      </c>
      <c r="I344" s="678">
        <f t="shared" si="49"/>
        <v>0</v>
      </c>
      <c r="J344" s="678">
        <f t="shared" si="49"/>
        <v>0</v>
      </c>
      <c r="K344" s="678">
        <f t="shared" si="49"/>
        <v>0</v>
      </c>
      <c r="L344" s="678">
        <f t="shared" si="49"/>
        <v>0</v>
      </c>
      <c r="M344" s="678">
        <f t="shared" si="49"/>
        <v>0</v>
      </c>
      <c r="N344" s="678">
        <f t="shared" si="49"/>
        <v>0</v>
      </c>
      <c r="O344" s="678">
        <f t="shared" si="49"/>
        <v>0</v>
      </c>
      <c r="P344" s="678">
        <f t="shared" si="49"/>
        <v>0</v>
      </c>
      <c r="Q344" s="678">
        <f t="shared" si="49"/>
        <v>0</v>
      </c>
      <c r="R344" s="678">
        <f t="shared" si="49"/>
        <v>0</v>
      </c>
      <c r="T344" s="679">
        <f>STAT_TRA_Mileage!O20/1000</f>
        <v>0</v>
      </c>
    </row>
    <row r="346" spans="1:21" x14ac:dyDescent="0.3">
      <c r="B346" s="149"/>
      <c r="C346" s="149"/>
      <c r="D346" s="268"/>
      <c r="E346" s="268"/>
      <c r="F346" s="268"/>
      <c r="G346" s="268"/>
      <c r="H346" s="268"/>
      <c r="I346" s="268"/>
      <c r="J346" s="268"/>
      <c r="K346" s="268"/>
      <c r="L346" s="268"/>
      <c r="M346" s="268"/>
      <c r="N346" s="268"/>
      <c r="O346" s="268"/>
      <c r="P346" s="268"/>
      <c r="Q346" s="268"/>
      <c r="R346" s="268"/>
      <c r="T346" s="269"/>
    </row>
    <row r="347" spans="1:21" x14ac:dyDescent="0.3">
      <c r="B347" s="441" t="s">
        <v>570</v>
      </c>
      <c r="C347" s="339"/>
    </row>
    <row r="348" spans="1:21" x14ac:dyDescent="0.3">
      <c r="B348" s="441" t="s">
        <v>103</v>
      </c>
      <c r="C348" s="264" t="s">
        <v>104</v>
      </c>
      <c r="D348" s="17" t="str">
        <f>D$4</f>
        <v>Z01</v>
      </c>
      <c r="E348" s="17" t="str">
        <f t="shared" ref="E348:R348" si="50">E$4</f>
        <v>Z02</v>
      </c>
      <c r="F348" s="17" t="str">
        <f t="shared" si="50"/>
        <v>Z03</v>
      </c>
      <c r="G348" s="17" t="str">
        <f t="shared" si="50"/>
        <v>Z04</v>
      </c>
      <c r="H348" s="17" t="str">
        <f t="shared" si="50"/>
        <v>Z05</v>
      </c>
      <c r="I348" s="17" t="str">
        <f t="shared" si="50"/>
        <v>Z06</v>
      </c>
      <c r="J348" s="17" t="str">
        <f t="shared" si="50"/>
        <v>Z07</v>
      </c>
      <c r="K348" s="17" t="str">
        <f t="shared" si="50"/>
        <v>Z08</v>
      </c>
      <c r="L348" s="17" t="str">
        <f t="shared" si="50"/>
        <v>Z09</v>
      </c>
      <c r="M348" s="17" t="str">
        <f t="shared" si="50"/>
        <v>Z10</v>
      </c>
      <c r="N348" s="17" t="str">
        <f t="shared" si="50"/>
        <v>Z11</v>
      </c>
      <c r="O348" s="17" t="str">
        <f t="shared" si="50"/>
        <v>Z12</v>
      </c>
      <c r="P348" s="17" t="str">
        <f t="shared" si="50"/>
        <v>Z13</v>
      </c>
      <c r="Q348" s="17" t="str">
        <f t="shared" si="50"/>
        <v>Z14</v>
      </c>
      <c r="R348" s="17" t="str">
        <f t="shared" si="50"/>
        <v>Z15</v>
      </c>
      <c r="T348" s="17" t="str">
        <f>T$4</f>
        <v>Average</v>
      </c>
    </row>
    <row r="349" spans="1:21" x14ac:dyDescent="0.3">
      <c r="B349" s="169" t="s">
        <v>178</v>
      </c>
      <c r="C349" s="186" t="s">
        <v>216</v>
      </c>
      <c r="D349" s="265">
        <f>$T349</f>
        <v>0</v>
      </c>
      <c r="E349" s="265">
        <f t="shared" ref="E349:R354" si="51">$T349</f>
        <v>0</v>
      </c>
      <c r="F349" s="265">
        <f t="shared" si="51"/>
        <v>0</v>
      </c>
      <c r="G349" s="265">
        <f t="shared" si="51"/>
        <v>0</v>
      </c>
      <c r="H349" s="265">
        <f t="shared" si="51"/>
        <v>0</v>
      </c>
      <c r="I349" s="265">
        <f t="shared" si="51"/>
        <v>0</v>
      </c>
      <c r="J349" s="265">
        <f t="shared" si="51"/>
        <v>0</v>
      </c>
      <c r="K349" s="265">
        <f t="shared" si="51"/>
        <v>0</v>
      </c>
      <c r="L349" s="265">
        <f t="shared" si="51"/>
        <v>0</v>
      </c>
      <c r="M349" s="265">
        <f t="shared" si="51"/>
        <v>0</v>
      </c>
      <c r="N349" s="265">
        <f t="shared" si="51"/>
        <v>0</v>
      </c>
      <c r="O349" s="265">
        <f t="shared" si="51"/>
        <v>0</v>
      </c>
      <c r="P349" s="265">
        <f t="shared" si="51"/>
        <v>0</v>
      </c>
      <c r="Q349" s="265">
        <f t="shared" si="51"/>
        <v>0</v>
      </c>
      <c r="R349" s="265">
        <f t="shared" si="51"/>
        <v>0</v>
      </c>
      <c r="T349" s="270">
        <f>STAT_TRA_Mileage!D40/1000</f>
        <v>0</v>
      </c>
      <c r="U349" s="273"/>
    </row>
    <row r="350" spans="1:21" x14ac:dyDescent="0.3">
      <c r="B350" s="169" t="s">
        <v>179</v>
      </c>
      <c r="C350" s="186" t="s">
        <v>217</v>
      </c>
      <c r="D350" s="265">
        <f t="shared" ref="D350:D354" si="52">$T350</f>
        <v>0</v>
      </c>
      <c r="E350" s="265">
        <f t="shared" si="51"/>
        <v>0</v>
      </c>
      <c r="F350" s="265">
        <f t="shared" si="51"/>
        <v>0</v>
      </c>
      <c r="G350" s="265">
        <f t="shared" si="51"/>
        <v>0</v>
      </c>
      <c r="H350" s="265">
        <f t="shared" si="51"/>
        <v>0</v>
      </c>
      <c r="I350" s="265">
        <f t="shared" si="51"/>
        <v>0</v>
      </c>
      <c r="J350" s="265">
        <f t="shared" si="51"/>
        <v>0</v>
      </c>
      <c r="K350" s="265">
        <f t="shared" si="51"/>
        <v>0</v>
      </c>
      <c r="L350" s="265">
        <f t="shared" si="51"/>
        <v>0</v>
      </c>
      <c r="M350" s="265">
        <f t="shared" si="51"/>
        <v>0</v>
      </c>
      <c r="N350" s="265">
        <f t="shared" si="51"/>
        <v>0</v>
      </c>
      <c r="O350" s="265">
        <f t="shared" si="51"/>
        <v>0</v>
      </c>
      <c r="P350" s="265">
        <f t="shared" si="51"/>
        <v>0</v>
      </c>
      <c r="Q350" s="265">
        <f t="shared" si="51"/>
        <v>0</v>
      </c>
      <c r="R350" s="265">
        <f t="shared" si="51"/>
        <v>0</v>
      </c>
      <c r="T350" s="270">
        <f>STAT_TRA_Mileage!D41/1000</f>
        <v>0</v>
      </c>
      <c r="U350" s="273"/>
    </row>
    <row r="351" spans="1:21" x14ac:dyDescent="0.3">
      <c r="A351"/>
      <c r="B351" s="271" t="s">
        <v>173</v>
      </c>
      <c r="C351" s="186" t="s">
        <v>218</v>
      </c>
      <c r="D351" s="265">
        <f t="shared" si="52"/>
        <v>0</v>
      </c>
      <c r="E351" s="265">
        <f t="shared" si="51"/>
        <v>0</v>
      </c>
      <c r="F351" s="265">
        <f t="shared" si="51"/>
        <v>0</v>
      </c>
      <c r="G351" s="265">
        <f t="shared" si="51"/>
        <v>0</v>
      </c>
      <c r="H351" s="265">
        <f t="shared" si="51"/>
        <v>0</v>
      </c>
      <c r="I351" s="265">
        <f t="shared" si="51"/>
        <v>0</v>
      </c>
      <c r="J351" s="265">
        <f t="shared" si="51"/>
        <v>0</v>
      </c>
      <c r="K351" s="265">
        <f t="shared" si="51"/>
        <v>0</v>
      </c>
      <c r="L351" s="265">
        <f t="shared" si="51"/>
        <v>0</v>
      </c>
      <c r="M351" s="265">
        <f t="shared" si="51"/>
        <v>0</v>
      </c>
      <c r="N351" s="265">
        <f t="shared" si="51"/>
        <v>0</v>
      </c>
      <c r="O351" s="265">
        <f t="shared" si="51"/>
        <v>0</v>
      </c>
      <c r="P351" s="265">
        <f t="shared" si="51"/>
        <v>0</v>
      </c>
      <c r="Q351" s="265">
        <f t="shared" si="51"/>
        <v>0</v>
      </c>
      <c r="R351" s="265">
        <f t="shared" si="51"/>
        <v>0</v>
      </c>
      <c r="T351" s="270">
        <f>STAT_TRA_Mileage!D42/1000</f>
        <v>0</v>
      </c>
      <c r="U351" s="273"/>
    </row>
    <row r="352" spans="1:21" x14ac:dyDescent="0.3">
      <c r="A352"/>
      <c r="B352" s="169" t="s">
        <v>174</v>
      </c>
      <c r="C352" s="186" t="s">
        <v>219</v>
      </c>
      <c r="D352" s="265">
        <f t="shared" si="52"/>
        <v>0</v>
      </c>
      <c r="E352" s="265">
        <f t="shared" si="51"/>
        <v>0</v>
      </c>
      <c r="F352" s="265">
        <f t="shared" si="51"/>
        <v>0</v>
      </c>
      <c r="G352" s="265">
        <f t="shared" si="51"/>
        <v>0</v>
      </c>
      <c r="H352" s="265">
        <f t="shared" si="51"/>
        <v>0</v>
      </c>
      <c r="I352" s="265">
        <f t="shared" si="51"/>
        <v>0</v>
      </c>
      <c r="J352" s="265">
        <f t="shared" si="51"/>
        <v>0</v>
      </c>
      <c r="K352" s="265">
        <f t="shared" si="51"/>
        <v>0</v>
      </c>
      <c r="L352" s="265">
        <f t="shared" si="51"/>
        <v>0</v>
      </c>
      <c r="M352" s="265">
        <f t="shared" si="51"/>
        <v>0</v>
      </c>
      <c r="N352" s="265">
        <f t="shared" si="51"/>
        <v>0</v>
      </c>
      <c r="O352" s="265">
        <f t="shared" si="51"/>
        <v>0</v>
      </c>
      <c r="P352" s="265">
        <f t="shared" si="51"/>
        <v>0</v>
      </c>
      <c r="Q352" s="265">
        <f t="shared" si="51"/>
        <v>0</v>
      </c>
      <c r="R352" s="265">
        <f t="shared" si="51"/>
        <v>0</v>
      </c>
      <c r="T352" s="270">
        <f>STAT_TRA_Mileage!D43/1000</f>
        <v>0</v>
      </c>
      <c r="U352" s="274"/>
    </row>
    <row r="353" spans="1:21" x14ac:dyDescent="0.3">
      <c r="A353"/>
      <c r="B353" s="336" t="s">
        <v>220</v>
      </c>
      <c r="C353" s="186" t="s">
        <v>221</v>
      </c>
      <c r="D353" s="265">
        <f t="shared" si="52"/>
        <v>0</v>
      </c>
      <c r="E353" s="265">
        <f t="shared" si="51"/>
        <v>0</v>
      </c>
      <c r="F353" s="265">
        <f t="shared" si="51"/>
        <v>0</v>
      </c>
      <c r="G353" s="265">
        <f t="shared" si="51"/>
        <v>0</v>
      </c>
      <c r="H353" s="265">
        <f t="shared" si="51"/>
        <v>0</v>
      </c>
      <c r="I353" s="265">
        <f t="shared" si="51"/>
        <v>0</v>
      </c>
      <c r="J353" s="265">
        <f t="shared" si="51"/>
        <v>0</v>
      </c>
      <c r="K353" s="265">
        <f t="shared" si="51"/>
        <v>0</v>
      </c>
      <c r="L353" s="265">
        <f t="shared" si="51"/>
        <v>0</v>
      </c>
      <c r="M353" s="265">
        <f t="shared" si="51"/>
        <v>0</v>
      </c>
      <c r="N353" s="265">
        <f t="shared" si="51"/>
        <v>0</v>
      </c>
      <c r="O353" s="265">
        <f t="shared" si="51"/>
        <v>0</v>
      </c>
      <c r="P353" s="265">
        <f t="shared" si="51"/>
        <v>0</v>
      </c>
      <c r="Q353" s="265">
        <f t="shared" si="51"/>
        <v>0</v>
      </c>
      <c r="R353" s="265">
        <f t="shared" si="51"/>
        <v>0</v>
      </c>
      <c r="T353" s="270">
        <f>STAT_TRA_Mileage!D44/1000</f>
        <v>0</v>
      </c>
      <c r="U353" s="273"/>
    </row>
    <row r="354" spans="1:21" x14ac:dyDescent="0.3">
      <c r="A354"/>
      <c r="B354" s="336" t="s">
        <v>222</v>
      </c>
      <c r="C354" s="186" t="s">
        <v>223</v>
      </c>
      <c r="D354" s="265">
        <f t="shared" si="52"/>
        <v>0</v>
      </c>
      <c r="E354" s="265">
        <f t="shared" si="51"/>
        <v>0</v>
      </c>
      <c r="F354" s="265">
        <f t="shared" si="51"/>
        <v>0</v>
      </c>
      <c r="G354" s="265">
        <f t="shared" si="51"/>
        <v>0</v>
      </c>
      <c r="H354" s="265">
        <f t="shared" si="51"/>
        <v>0</v>
      </c>
      <c r="I354" s="265">
        <f t="shared" si="51"/>
        <v>0</v>
      </c>
      <c r="J354" s="265">
        <f t="shared" si="51"/>
        <v>0</v>
      </c>
      <c r="K354" s="265">
        <f t="shared" si="51"/>
        <v>0</v>
      </c>
      <c r="L354" s="265">
        <f t="shared" si="51"/>
        <v>0</v>
      </c>
      <c r="M354" s="265">
        <f t="shared" si="51"/>
        <v>0</v>
      </c>
      <c r="N354" s="265">
        <f t="shared" si="51"/>
        <v>0</v>
      </c>
      <c r="O354" s="265">
        <f t="shared" si="51"/>
        <v>0</v>
      </c>
      <c r="P354" s="265">
        <f t="shared" si="51"/>
        <v>0</v>
      </c>
      <c r="Q354" s="265">
        <f t="shared" si="51"/>
        <v>0</v>
      </c>
      <c r="R354" s="265">
        <f t="shared" si="51"/>
        <v>0</v>
      </c>
      <c r="T354" s="270">
        <f>STAT_TRA_Mileage!D45/1000</f>
        <v>0</v>
      </c>
      <c r="U354" s="273"/>
    </row>
    <row r="355" spans="1:21" x14ac:dyDescent="0.3">
      <c r="A355"/>
      <c r="B355" s="169" t="s">
        <v>177</v>
      </c>
      <c r="C355" s="186" t="s">
        <v>224</v>
      </c>
      <c r="D355" s="265">
        <f t="shared" ref="D355:R355" si="53">$T355</f>
        <v>0</v>
      </c>
      <c r="E355" s="265">
        <f t="shared" si="53"/>
        <v>0</v>
      </c>
      <c r="F355" s="265">
        <f t="shared" si="53"/>
        <v>0</v>
      </c>
      <c r="G355" s="265">
        <f t="shared" si="53"/>
        <v>0</v>
      </c>
      <c r="H355" s="265">
        <f t="shared" si="53"/>
        <v>0</v>
      </c>
      <c r="I355" s="265">
        <f t="shared" si="53"/>
        <v>0</v>
      </c>
      <c r="J355" s="265">
        <f t="shared" si="53"/>
        <v>0</v>
      </c>
      <c r="K355" s="265">
        <f t="shared" si="53"/>
        <v>0</v>
      </c>
      <c r="L355" s="265">
        <f t="shared" si="53"/>
        <v>0</v>
      </c>
      <c r="M355" s="265">
        <f t="shared" si="53"/>
        <v>0</v>
      </c>
      <c r="N355" s="265">
        <f t="shared" si="53"/>
        <v>0</v>
      </c>
      <c r="O355" s="265">
        <f t="shared" si="53"/>
        <v>0</v>
      </c>
      <c r="P355" s="265">
        <f t="shared" si="53"/>
        <v>0</v>
      </c>
      <c r="Q355" s="265">
        <f t="shared" si="53"/>
        <v>0</v>
      </c>
      <c r="R355" s="265">
        <f t="shared" si="53"/>
        <v>0</v>
      </c>
      <c r="T355" s="270">
        <f>STAT_TRA_Mileage!D46/1000</f>
        <v>0</v>
      </c>
      <c r="U355" s="273"/>
    </row>
    <row r="357" spans="1:21" x14ac:dyDescent="0.3">
      <c r="B357" s="149"/>
      <c r="C357" s="149"/>
    </row>
    <row r="358" spans="1:21" x14ac:dyDescent="0.3">
      <c r="B358" s="441" t="s">
        <v>81</v>
      </c>
      <c r="C358" s="339"/>
    </row>
    <row r="359" spans="1:21" x14ac:dyDescent="0.3">
      <c r="B359" s="441" t="s">
        <v>103</v>
      </c>
      <c r="C359" s="264" t="s">
        <v>104</v>
      </c>
      <c r="D359" s="17" t="str">
        <f>D$4</f>
        <v>Z01</v>
      </c>
      <c r="E359" s="17" t="str">
        <f t="shared" ref="E359:R359" si="54">E$4</f>
        <v>Z02</v>
      </c>
      <c r="F359" s="17" t="str">
        <f t="shared" si="54"/>
        <v>Z03</v>
      </c>
      <c r="G359" s="17" t="str">
        <f t="shared" si="54"/>
        <v>Z04</v>
      </c>
      <c r="H359" s="17" t="str">
        <f t="shared" si="54"/>
        <v>Z05</v>
      </c>
      <c r="I359" s="17" t="str">
        <f t="shared" si="54"/>
        <v>Z06</v>
      </c>
      <c r="J359" s="17" t="str">
        <f t="shared" si="54"/>
        <v>Z07</v>
      </c>
      <c r="K359" s="17" t="str">
        <f t="shared" si="54"/>
        <v>Z08</v>
      </c>
      <c r="L359" s="17" t="str">
        <f t="shared" si="54"/>
        <v>Z09</v>
      </c>
      <c r="M359" s="17" t="str">
        <f t="shared" si="54"/>
        <v>Z10</v>
      </c>
      <c r="N359" s="17" t="str">
        <f t="shared" si="54"/>
        <v>Z11</v>
      </c>
      <c r="O359" s="17" t="str">
        <f t="shared" si="54"/>
        <v>Z12</v>
      </c>
      <c r="P359" s="17" t="str">
        <f t="shared" si="54"/>
        <v>Z13</v>
      </c>
      <c r="Q359" s="17" t="str">
        <f t="shared" si="54"/>
        <v>Z14</v>
      </c>
      <c r="R359" s="17" t="str">
        <f t="shared" si="54"/>
        <v>Z15</v>
      </c>
      <c r="T359" s="17" t="str">
        <f>T$4</f>
        <v>Average</v>
      </c>
    </row>
    <row r="360" spans="1:21" x14ac:dyDescent="0.3">
      <c r="B360" s="271" t="s">
        <v>571</v>
      </c>
      <c r="C360" s="271" t="s">
        <v>572</v>
      </c>
      <c r="D360" s="272">
        <f t="shared" ref="D360:R360" si="55">$T$360</f>
        <v>0</v>
      </c>
      <c r="E360" s="272">
        <f t="shared" si="55"/>
        <v>0</v>
      </c>
      <c r="F360" s="272">
        <f t="shared" si="55"/>
        <v>0</v>
      </c>
      <c r="G360" s="272">
        <f t="shared" si="55"/>
        <v>0</v>
      </c>
      <c r="H360" s="272">
        <f t="shared" si="55"/>
        <v>0</v>
      </c>
      <c r="I360" s="272">
        <f t="shared" si="55"/>
        <v>0</v>
      </c>
      <c r="J360" s="272">
        <f t="shared" si="55"/>
        <v>0</v>
      </c>
      <c r="K360" s="272">
        <f t="shared" si="55"/>
        <v>0</v>
      </c>
      <c r="L360" s="272">
        <f t="shared" si="55"/>
        <v>0</v>
      </c>
      <c r="M360" s="272">
        <f t="shared" si="55"/>
        <v>0</v>
      </c>
      <c r="N360" s="272">
        <f t="shared" si="55"/>
        <v>0</v>
      </c>
      <c r="O360" s="272">
        <f t="shared" si="55"/>
        <v>0</v>
      </c>
      <c r="P360" s="272">
        <f t="shared" si="55"/>
        <v>0</v>
      </c>
      <c r="Q360" s="272">
        <f t="shared" si="55"/>
        <v>0</v>
      </c>
      <c r="R360" s="272">
        <f t="shared" si="55"/>
        <v>0</v>
      </c>
      <c r="T360" s="270">
        <f>STAT_TRA_Mileage!D50/1000</f>
        <v>0</v>
      </c>
    </row>
    <row r="361" spans="1:21" x14ac:dyDescent="0.3">
      <c r="B361" s="169" t="s">
        <v>573</v>
      </c>
      <c r="C361" s="169" t="s">
        <v>186</v>
      </c>
      <c r="D361" s="272">
        <f t="shared" ref="D361:R361" si="56">$T$361</f>
        <v>0</v>
      </c>
      <c r="E361" s="272">
        <f t="shared" si="56"/>
        <v>0</v>
      </c>
      <c r="F361" s="272">
        <f t="shared" si="56"/>
        <v>0</v>
      </c>
      <c r="G361" s="272">
        <f t="shared" si="56"/>
        <v>0</v>
      </c>
      <c r="H361" s="272">
        <f t="shared" si="56"/>
        <v>0</v>
      </c>
      <c r="I361" s="272">
        <f t="shared" si="56"/>
        <v>0</v>
      </c>
      <c r="J361" s="272">
        <f t="shared" si="56"/>
        <v>0</v>
      </c>
      <c r="K361" s="272">
        <f t="shared" si="56"/>
        <v>0</v>
      </c>
      <c r="L361" s="272">
        <f t="shared" si="56"/>
        <v>0</v>
      </c>
      <c r="M361" s="272">
        <f t="shared" si="56"/>
        <v>0</v>
      </c>
      <c r="N361" s="272">
        <f t="shared" si="56"/>
        <v>0</v>
      </c>
      <c r="O361" s="272">
        <f t="shared" si="56"/>
        <v>0</v>
      </c>
      <c r="P361" s="272">
        <f t="shared" si="56"/>
        <v>0</v>
      </c>
      <c r="Q361" s="272">
        <f t="shared" si="56"/>
        <v>0</v>
      </c>
      <c r="R361" s="272">
        <f t="shared" si="56"/>
        <v>0</v>
      </c>
      <c r="T361" s="270">
        <f>STAT_TRA_Mileage!D51/1000</f>
        <v>0</v>
      </c>
    </row>
    <row r="362" spans="1:21" x14ac:dyDescent="0.3">
      <c r="B362" s="169" t="s">
        <v>574</v>
      </c>
      <c r="C362" s="169" t="s">
        <v>575</v>
      </c>
      <c r="D362" s="272">
        <f t="shared" ref="D362:R362" si="57">$T$362</f>
        <v>0</v>
      </c>
      <c r="E362" s="272">
        <f t="shared" si="57"/>
        <v>0</v>
      </c>
      <c r="F362" s="272">
        <f t="shared" si="57"/>
        <v>0</v>
      </c>
      <c r="G362" s="272">
        <f t="shared" si="57"/>
        <v>0</v>
      </c>
      <c r="H362" s="272">
        <f t="shared" si="57"/>
        <v>0</v>
      </c>
      <c r="I362" s="272">
        <f t="shared" si="57"/>
        <v>0</v>
      </c>
      <c r="J362" s="272">
        <f t="shared" si="57"/>
        <v>0</v>
      </c>
      <c r="K362" s="272">
        <f t="shared" si="57"/>
        <v>0</v>
      </c>
      <c r="L362" s="272">
        <f t="shared" si="57"/>
        <v>0</v>
      </c>
      <c r="M362" s="272">
        <f t="shared" si="57"/>
        <v>0</v>
      </c>
      <c r="N362" s="272">
        <f t="shared" si="57"/>
        <v>0</v>
      </c>
      <c r="O362" s="272">
        <f t="shared" si="57"/>
        <v>0</v>
      </c>
      <c r="P362" s="272">
        <f t="shared" si="57"/>
        <v>0</v>
      </c>
      <c r="Q362" s="272">
        <f t="shared" si="57"/>
        <v>0</v>
      </c>
      <c r="R362" s="272">
        <f t="shared" si="57"/>
        <v>0</v>
      </c>
      <c r="T362" s="270">
        <f>STAT_TRA_Mileage!D52/1000</f>
        <v>0</v>
      </c>
    </row>
    <row r="364" spans="1:21" x14ac:dyDescent="0.3">
      <c r="B364" s="149"/>
      <c r="C364" s="149"/>
    </row>
    <row r="365" spans="1:21" x14ac:dyDescent="0.3">
      <c r="B365" s="441" t="s">
        <v>82</v>
      </c>
      <c r="C365" s="339"/>
    </row>
    <row r="366" spans="1:21" x14ac:dyDescent="0.3">
      <c r="B366" s="441" t="s">
        <v>103</v>
      </c>
      <c r="C366" s="264" t="s">
        <v>104</v>
      </c>
      <c r="D366" s="17" t="str">
        <f>D$4</f>
        <v>Z01</v>
      </c>
      <c r="E366" s="17" t="str">
        <f t="shared" ref="E366:R366" si="58">E$4</f>
        <v>Z02</v>
      </c>
      <c r="F366" s="17" t="str">
        <f t="shared" si="58"/>
        <v>Z03</v>
      </c>
      <c r="G366" s="17" t="str">
        <f t="shared" si="58"/>
        <v>Z04</v>
      </c>
      <c r="H366" s="17" t="str">
        <f t="shared" si="58"/>
        <v>Z05</v>
      </c>
      <c r="I366" s="17" t="str">
        <f t="shared" si="58"/>
        <v>Z06</v>
      </c>
      <c r="J366" s="17" t="str">
        <f t="shared" si="58"/>
        <v>Z07</v>
      </c>
      <c r="K366" s="17" t="str">
        <f t="shared" si="58"/>
        <v>Z08</v>
      </c>
      <c r="L366" s="17" t="str">
        <f t="shared" si="58"/>
        <v>Z09</v>
      </c>
      <c r="M366" s="17" t="str">
        <f t="shared" si="58"/>
        <v>Z10</v>
      </c>
      <c r="N366" s="17" t="str">
        <f t="shared" si="58"/>
        <v>Z11</v>
      </c>
      <c r="O366" s="17" t="str">
        <f t="shared" si="58"/>
        <v>Z12</v>
      </c>
      <c r="P366" s="17" t="str">
        <f t="shared" si="58"/>
        <v>Z13</v>
      </c>
      <c r="Q366" s="17" t="str">
        <f t="shared" si="58"/>
        <v>Z14</v>
      </c>
      <c r="R366" s="17" t="str">
        <f t="shared" si="58"/>
        <v>Z15</v>
      </c>
      <c r="T366" s="17" t="str">
        <f>T$4</f>
        <v>Average</v>
      </c>
    </row>
    <row r="367" spans="1:21" x14ac:dyDescent="0.3">
      <c r="B367" s="271" t="s">
        <v>233</v>
      </c>
      <c r="C367" s="271" t="s">
        <v>82</v>
      </c>
      <c r="D367" s="265">
        <f t="shared" ref="D367:R367" si="59">$T$367</f>
        <v>0</v>
      </c>
      <c r="E367" s="265">
        <f t="shared" si="59"/>
        <v>0</v>
      </c>
      <c r="F367" s="265">
        <f t="shared" si="59"/>
        <v>0</v>
      </c>
      <c r="G367" s="265">
        <f t="shared" si="59"/>
        <v>0</v>
      </c>
      <c r="H367" s="265">
        <f t="shared" si="59"/>
        <v>0</v>
      </c>
      <c r="I367" s="265">
        <f t="shared" si="59"/>
        <v>0</v>
      </c>
      <c r="J367" s="265">
        <f t="shared" si="59"/>
        <v>0</v>
      </c>
      <c r="K367" s="265">
        <f t="shared" si="59"/>
        <v>0</v>
      </c>
      <c r="L367" s="265">
        <f t="shared" si="59"/>
        <v>0</v>
      </c>
      <c r="M367" s="265">
        <f t="shared" si="59"/>
        <v>0</v>
      </c>
      <c r="N367" s="265">
        <f t="shared" si="59"/>
        <v>0</v>
      </c>
      <c r="O367" s="265">
        <f t="shared" si="59"/>
        <v>0</v>
      </c>
      <c r="P367" s="265">
        <f t="shared" si="59"/>
        <v>0</v>
      </c>
      <c r="Q367" s="265">
        <f t="shared" si="59"/>
        <v>0</v>
      </c>
      <c r="R367" s="265">
        <f t="shared" si="59"/>
        <v>0</v>
      </c>
      <c r="T367" s="270">
        <f>STAT_TRA_Mileage!D53/1000</f>
        <v>0</v>
      </c>
    </row>
    <row r="368" spans="1:21" x14ac:dyDescent="0.3">
      <c r="B368" s="169" t="s">
        <v>235</v>
      </c>
      <c r="C368" s="169" t="s">
        <v>523</v>
      </c>
      <c r="D368" s="265">
        <f t="shared" ref="D368:R368" si="60">$T$368</f>
        <v>0</v>
      </c>
      <c r="E368" s="265">
        <f t="shared" si="60"/>
        <v>0</v>
      </c>
      <c r="F368" s="265">
        <f t="shared" si="60"/>
        <v>0</v>
      </c>
      <c r="G368" s="265">
        <f t="shared" si="60"/>
        <v>0</v>
      </c>
      <c r="H368" s="265">
        <f t="shared" si="60"/>
        <v>0</v>
      </c>
      <c r="I368" s="265">
        <f t="shared" si="60"/>
        <v>0</v>
      </c>
      <c r="J368" s="265">
        <f t="shared" si="60"/>
        <v>0</v>
      </c>
      <c r="K368" s="265">
        <f t="shared" si="60"/>
        <v>0</v>
      </c>
      <c r="L368" s="265">
        <f t="shared" si="60"/>
        <v>0</v>
      </c>
      <c r="M368" s="265">
        <f t="shared" si="60"/>
        <v>0</v>
      </c>
      <c r="N368" s="265">
        <f t="shared" si="60"/>
        <v>0</v>
      </c>
      <c r="O368" s="265">
        <f t="shared" si="60"/>
        <v>0</v>
      </c>
      <c r="P368" s="265">
        <f t="shared" si="60"/>
        <v>0</v>
      </c>
      <c r="Q368" s="265">
        <f t="shared" si="60"/>
        <v>0</v>
      </c>
      <c r="R368" s="265">
        <f t="shared" si="60"/>
        <v>0</v>
      </c>
      <c r="T368" s="270">
        <f>STAT_TRA_Mileage!D54/1000</f>
        <v>0</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zoomScale="75" zoomScaleNormal="75" workbookViewId="0">
      <selection activeCell="G14" sqref="G14"/>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576</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577</v>
      </c>
      <c r="C4" s="17" t="s">
        <v>578</v>
      </c>
      <c r="D4" s="17"/>
      <c r="E4" s="17"/>
      <c r="F4" s="17"/>
      <c r="G4" s="121"/>
      <c r="H4" s="121"/>
      <c r="I4" s="121"/>
      <c r="J4" s="121"/>
      <c r="K4" s="121"/>
      <c r="L4" s="121"/>
      <c r="M4" s="121"/>
      <c r="N4" s="121"/>
      <c r="O4" s="121"/>
      <c r="P4" s="121"/>
      <c r="Q4" s="121"/>
      <c r="R4" s="121"/>
      <c r="S4" s="121"/>
      <c r="T4" s="121"/>
      <c r="U4" s="121"/>
    </row>
    <row r="5" spans="2:25" x14ac:dyDescent="0.3">
      <c r="B5" s="306"/>
      <c r="C5" s="17" t="s">
        <v>579</v>
      </c>
      <c r="D5" s="17" t="s">
        <v>465</v>
      </c>
      <c r="E5" s="121" t="s">
        <v>421</v>
      </c>
      <c r="F5" s="17" t="s">
        <v>580</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581</v>
      </c>
    </row>
    <row r="6" spans="2:25" x14ac:dyDescent="0.3">
      <c r="B6" s="18" t="str">
        <f>IF(COUNTIF(TRA_Comm!$C$29:$C$90,DEMAND_Pkm_Tkm!C6)=1,"X","De-Active")</f>
        <v>X</v>
      </c>
      <c r="C6" s="169" t="s">
        <v>523</v>
      </c>
      <c r="D6" s="169" t="s">
        <v>582</v>
      </c>
      <c r="E6" s="698">
        <f>SUM(G6:U6)</f>
        <v>0</v>
      </c>
      <c r="F6" s="169" t="s">
        <v>583</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584</v>
      </c>
      <c r="D7" s="169" t="s">
        <v>585</v>
      </c>
      <c r="E7" s="698">
        <f t="shared" ref="E7:E43" si="1">SUM(G7:U7)</f>
        <v>0</v>
      </c>
      <c r="F7" s="169" t="s">
        <v>583</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586</v>
      </c>
      <c r="E8" s="698">
        <f t="shared" si="1"/>
        <v>0</v>
      </c>
      <c r="F8" s="169" t="s">
        <v>583</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587</v>
      </c>
      <c r="D9" s="169" t="s">
        <v>588</v>
      </c>
      <c r="E9" s="698">
        <f t="shared" si="1"/>
        <v>0</v>
      </c>
      <c r="F9" s="169" t="s">
        <v>583</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589</v>
      </c>
      <c r="E10" s="698">
        <f t="shared" si="1"/>
        <v>1920</v>
      </c>
      <c r="F10" s="169" t="s">
        <v>583</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590</v>
      </c>
      <c r="D11" s="169" t="s">
        <v>591</v>
      </c>
      <c r="E11" s="698">
        <f t="shared" si="1"/>
        <v>0</v>
      </c>
      <c r="F11" s="169" t="s">
        <v>583</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592</v>
      </c>
      <c r="E12" s="698">
        <f t="shared" si="1"/>
        <v>0</v>
      </c>
      <c r="F12" s="169" t="s">
        <v>583</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593</v>
      </c>
      <c r="D13" s="169" t="s">
        <v>594</v>
      </c>
      <c r="E13" s="698">
        <f t="shared" si="1"/>
        <v>0</v>
      </c>
      <c r="F13" s="169" t="s">
        <v>583</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595</v>
      </c>
      <c r="E14" s="698">
        <f t="shared" si="1"/>
        <v>4794.12</v>
      </c>
      <c r="F14" s="169" t="s">
        <v>583</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596</v>
      </c>
      <c r="E15" s="698">
        <f t="shared" si="1"/>
        <v>0</v>
      </c>
      <c r="F15" s="169" t="s">
        <v>583</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597</v>
      </c>
      <c r="E16" s="698">
        <f t="shared" si="1"/>
        <v>0</v>
      </c>
      <c r="F16" s="169" t="s">
        <v>583</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598</v>
      </c>
      <c r="E17" s="698">
        <f t="shared" si="1"/>
        <v>3196.08</v>
      </c>
      <c r="F17" s="169" t="s">
        <v>583</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599</v>
      </c>
      <c r="E18" s="698">
        <f>SUM(G18:U18)</f>
        <v>0</v>
      </c>
      <c r="F18" s="169" t="s">
        <v>583</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600</v>
      </c>
      <c r="E19" s="698">
        <f t="shared" si="1"/>
        <v>0</v>
      </c>
      <c r="F19" s="169" t="s">
        <v>583</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601</v>
      </c>
      <c r="E20" s="698">
        <f t="shared" si="1"/>
        <v>0</v>
      </c>
      <c r="F20" s="169" t="s">
        <v>583</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602</v>
      </c>
      <c r="E21" s="698">
        <f t="shared" si="1"/>
        <v>0</v>
      </c>
      <c r="F21" s="169" t="s">
        <v>583</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603</v>
      </c>
      <c r="E22" s="698">
        <f t="shared" si="1"/>
        <v>0</v>
      </c>
      <c r="F22" s="169" t="s">
        <v>583</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604</v>
      </c>
      <c r="E23" s="698">
        <f t="shared" si="1"/>
        <v>0</v>
      </c>
      <c r="F23" s="169" t="s">
        <v>583</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605</v>
      </c>
      <c r="E24" s="698">
        <f t="shared" si="1"/>
        <v>0</v>
      </c>
      <c r="F24" s="169" t="s">
        <v>583</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606</v>
      </c>
      <c r="D25" s="169" t="s">
        <v>607</v>
      </c>
      <c r="E25" s="698">
        <f t="shared" si="1"/>
        <v>0</v>
      </c>
      <c r="F25" s="169" t="s">
        <v>583</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521</v>
      </c>
      <c r="D26" s="169" t="s">
        <v>608</v>
      </c>
      <c r="E26" s="698">
        <f t="shared" si="1"/>
        <v>0</v>
      </c>
      <c r="F26" s="169" t="s">
        <v>583</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609</v>
      </c>
      <c r="D27" s="169" t="s">
        <v>610</v>
      </c>
      <c r="E27" s="698">
        <f t="shared" si="1"/>
        <v>0</v>
      </c>
      <c r="F27" s="169" t="s">
        <v>583</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611</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612</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613</v>
      </c>
      <c r="E30" s="698">
        <f t="shared" si="1"/>
        <v>0</v>
      </c>
      <c r="F30" s="169" t="s">
        <v>583</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614</v>
      </c>
      <c r="D31" s="169" t="s">
        <v>615</v>
      </c>
      <c r="E31" s="698">
        <f t="shared" si="1"/>
        <v>0</v>
      </c>
      <c r="F31" s="169" t="s">
        <v>583</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511</v>
      </c>
      <c r="D32" s="169" t="s">
        <v>616</v>
      </c>
      <c r="E32" s="698">
        <f t="shared" si="1"/>
        <v>0</v>
      </c>
      <c r="F32" s="169" t="s">
        <v>583</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617</v>
      </c>
      <c r="D33" s="169" t="s">
        <v>618</v>
      </c>
      <c r="E33" s="698">
        <f t="shared" si="1"/>
        <v>0</v>
      </c>
      <c r="F33" s="169" t="s">
        <v>583</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513</v>
      </c>
      <c r="D34" s="169" t="s">
        <v>619</v>
      </c>
      <c r="E34" s="698">
        <f t="shared" si="1"/>
        <v>0</v>
      </c>
      <c r="F34" s="169" t="s">
        <v>583</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620</v>
      </c>
      <c r="D35" s="169" t="s">
        <v>621</v>
      </c>
      <c r="E35" s="698">
        <f t="shared" si="1"/>
        <v>0</v>
      </c>
      <c r="F35" s="169" t="s">
        <v>583</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622</v>
      </c>
      <c r="E36" s="698">
        <f t="shared" si="1"/>
        <v>0</v>
      </c>
      <c r="F36" s="169" t="s">
        <v>583</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623</v>
      </c>
      <c r="D37" s="169" t="s">
        <v>624</v>
      </c>
      <c r="E37" s="698">
        <f t="shared" si="1"/>
        <v>0</v>
      </c>
      <c r="F37" s="169" t="s">
        <v>583</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625</v>
      </c>
      <c r="E38" s="698">
        <f t="shared" si="1"/>
        <v>0</v>
      </c>
      <c r="F38" s="169" t="s">
        <v>583</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626</v>
      </c>
      <c r="E39" s="698">
        <f t="shared" si="1"/>
        <v>0</v>
      </c>
      <c r="F39" s="169" t="s">
        <v>583</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627</v>
      </c>
      <c r="E40" s="698">
        <f t="shared" si="1"/>
        <v>0</v>
      </c>
      <c r="F40" s="169" t="s">
        <v>583</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628</v>
      </c>
      <c r="E41" s="698">
        <f t="shared" si="1"/>
        <v>0</v>
      </c>
      <c r="F41" s="169" t="s">
        <v>583</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629</v>
      </c>
      <c r="E42" s="698">
        <f t="shared" si="1"/>
        <v>0</v>
      </c>
      <c r="F42" s="169" t="s">
        <v>583</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630</v>
      </c>
      <c r="E43" s="698">
        <f t="shared" si="1"/>
        <v>0</v>
      </c>
      <c r="F43" s="169" t="s">
        <v>583</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631</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579</v>
      </c>
      <c r="D47" s="17" t="s">
        <v>465</v>
      </c>
      <c r="E47" s="121" t="s">
        <v>421</v>
      </c>
      <c r="F47" s="17" t="s">
        <v>580</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581</v>
      </c>
    </row>
    <row r="48" spans="2:22" customFormat="1" x14ac:dyDescent="0.3">
      <c r="B48" s="18" t="str">
        <f>IF(COUNTIF(TRA_Comm!$C$29:$C$90,DEMAND_Pkm_Tkm!C48)=1,"X","De-Active")</f>
        <v>X</v>
      </c>
      <c r="C48" s="169" t="s">
        <v>427</v>
      </c>
      <c r="D48" s="169" t="s">
        <v>632</v>
      </c>
      <c r="E48" s="698">
        <f t="shared" ref="E48:E71" si="2">SUM(G48:U48)</f>
        <v>0</v>
      </c>
      <c r="F48" s="169" t="s">
        <v>633</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634</v>
      </c>
      <c r="D49" s="169" t="s">
        <v>635</v>
      </c>
      <c r="E49" s="698">
        <f t="shared" si="2"/>
        <v>0</v>
      </c>
      <c r="F49" s="169" t="s">
        <v>633</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636</v>
      </c>
      <c r="E50" s="698">
        <f t="shared" si="2"/>
        <v>0</v>
      </c>
      <c r="F50" s="169" t="s">
        <v>633</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637</v>
      </c>
      <c r="D51" s="169" t="s">
        <v>638</v>
      </c>
      <c r="E51" s="698">
        <f t="shared" si="2"/>
        <v>0</v>
      </c>
      <c r="F51" s="169" t="s">
        <v>633</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639</v>
      </c>
      <c r="E52" s="698">
        <f t="shared" si="2"/>
        <v>1511</v>
      </c>
      <c r="F52" s="169" t="s">
        <v>633</v>
      </c>
      <c r="G52" s="814">
        <f>SUMIF(STAT_TRA_Survey_Tkm!$C$6:$C$16, DEMAND_Pkm_Tkm!$C52, STAT_TRA_Survey_Tkm!D$6:D$16)</f>
        <v>1511</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640</v>
      </c>
      <c r="D53" s="169" t="s">
        <v>641</v>
      </c>
      <c r="E53" s="698">
        <f t="shared" si="2"/>
        <v>0</v>
      </c>
      <c r="F53" s="169" t="s">
        <v>633</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642</v>
      </c>
      <c r="E54" s="698">
        <f t="shared" si="2"/>
        <v>0</v>
      </c>
      <c r="F54" s="336" t="s">
        <v>633</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643</v>
      </c>
      <c r="D55" s="336" t="s">
        <v>644</v>
      </c>
      <c r="E55" s="698">
        <f t="shared" si="2"/>
        <v>0</v>
      </c>
      <c r="F55" s="336" t="s">
        <v>633</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645</v>
      </c>
      <c r="E56" s="698">
        <f t="shared" si="2"/>
        <v>0</v>
      </c>
      <c r="F56" s="336" t="s">
        <v>633</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646</v>
      </c>
      <c r="D57" s="336" t="s">
        <v>647</v>
      </c>
      <c r="E57" s="698">
        <f t="shared" si="2"/>
        <v>0</v>
      </c>
      <c r="F57" s="336" t="s">
        <v>633</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648</v>
      </c>
      <c r="E58" s="698">
        <f t="shared" si="2"/>
        <v>0</v>
      </c>
      <c r="F58" s="169" t="s">
        <v>633</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649</v>
      </c>
      <c r="D59" s="169" t="s">
        <v>650</v>
      </c>
      <c r="E59" s="698">
        <f t="shared" si="2"/>
        <v>0</v>
      </c>
      <c r="F59" s="169" t="s">
        <v>633</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651</v>
      </c>
      <c r="E60" s="698">
        <f t="shared" si="2"/>
        <v>3321</v>
      </c>
      <c r="F60" s="169" t="s">
        <v>633</v>
      </c>
      <c r="G60" s="814">
        <f>SUMIF(STAT_TRA_Survey_Tkm!$C$6:$C$16, DEMAND_Pkm_Tkm!$C60, STAT_TRA_Survey_Tkm!D$6:D$16)</f>
        <v>3321</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652</v>
      </c>
      <c r="D61" s="169" t="s">
        <v>653</v>
      </c>
      <c r="E61" s="698">
        <f t="shared" si="2"/>
        <v>0</v>
      </c>
      <c r="F61" s="169" t="s">
        <v>633</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654</v>
      </c>
      <c r="E62" s="698">
        <f t="shared" si="2"/>
        <v>0</v>
      </c>
      <c r="F62" s="169" t="s">
        <v>633</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655</v>
      </c>
      <c r="D63" s="169" t="s">
        <v>656</v>
      </c>
      <c r="E63" s="698">
        <f t="shared" si="2"/>
        <v>0</v>
      </c>
      <c r="F63" s="169" t="s">
        <v>633</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657</v>
      </c>
      <c r="D64" s="169" t="s">
        <v>658</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659</v>
      </c>
      <c r="D65" s="169" t="s">
        <v>660</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661</v>
      </c>
      <c r="E66" s="698">
        <f t="shared" si="2"/>
        <v>0</v>
      </c>
      <c r="F66" s="169" t="s">
        <v>633</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662</v>
      </c>
      <c r="D67" s="169" t="s">
        <v>663</v>
      </c>
      <c r="E67" s="698">
        <f t="shared" si="2"/>
        <v>0</v>
      </c>
      <c r="F67" s="169" t="s">
        <v>633</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664</v>
      </c>
      <c r="E68" s="698">
        <f t="shared" si="2"/>
        <v>0</v>
      </c>
      <c r="F68" s="169" t="s">
        <v>633</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510</v>
      </c>
      <c r="D69" s="169" t="s">
        <v>665</v>
      </c>
      <c r="E69" s="698">
        <f t="shared" si="2"/>
        <v>0</v>
      </c>
      <c r="F69" s="169" t="s">
        <v>633</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666</v>
      </c>
      <c r="E70" s="698">
        <f t="shared" si="2"/>
        <v>0</v>
      </c>
      <c r="F70" s="169" t="s">
        <v>633</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509</v>
      </c>
      <c r="D71" s="169" t="s">
        <v>667</v>
      </c>
      <c r="E71" s="698">
        <f t="shared" si="2"/>
        <v>0</v>
      </c>
      <c r="F71" s="169" t="s">
        <v>633</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01" zoomScale="75" zoomScaleNormal="75" workbookViewId="0">
      <pane xSplit="6" topLeftCell="X1" activePane="topRight" state="frozen"/>
      <selection activeCell="G30" sqref="G30"/>
      <selection pane="topRight" activeCell="Y111" sqref="Y111"/>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668</v>
      </c>
      <c r="F2" s="122"/>
    </row>
    <row r="3" spans="2:28" x14ac:dyDescent="0.3">
      <c r="B3" s="106" t="s">
        <v>669</v>
      </c>
      <c r="F3" s="122"/>
      <c r="X3" s="106"/>
    </row>
    <row r="4" spans="2:28" x14ac:dyDescent="0.3">
      <c r="B4" s="106" t="s">
        <v>670</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671</v>
      </c>
      <c r="C7" s="42"/>
      <c r="D7" s="21"/>
      <c r="E7" s="21"/>
      <c r="X7" s="320"/>
    </row>
    <row r="8" spans="2:28" x14ac:dyDescent="0.3">
      <c r="G8" s="457"/>
      <c r="Y8" s="295"/>
    </row>
    <row r="9" spans="2:28" x14ac:dyDescent="0.3">
      <c r="B9" s="466" t="s">
        <v>672</v>
      </c>
      <c r="G9" s="457"/>
      <c r="Y9" s="295"/>
    </row>
    <row r="10" spans="2:28" x14ac:dyDescent="0.3">
      <c r="B10" s="259" t="s">
        <v>463</v>
      </c>
      <c r="C10" s="259" t="s">
        <v>104</v>
      </c>
      <c r="D10" s="259" t="s">
        <v>465</v>
      </c>
      <c r="E10" s="259" t="s">
        <v>673</v>
      </c>
      <c r="F10" s="259" t="s">
        <v>674</v>
      </c>
      <c r="G10" s="160" t="s">
        <v>675</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676</v>
      </c>
      <c r="Y10" s="109" t="s">
        <v>677</v>
      </c>
    </row>
    <row r="11" spans="2:28" s="12" customFormat="1" x14ac:dyDescent="0.3">
      <c r="B11" s="300"/>
      <c r="C11" s="300"/>
      <c r="D11" s="300"/>
      <c r="E11" s="300"/>
      <c r="F11" s="300"/>
      <c r="G11" s="160" t="s">
        <v>678</v>
      </c>
      <c r="H11" s="160" t="s">
        <v>678</v>
      </c>
      <c r="I11" s="160" t="s">
        <v>678</v>
      </c>
      <c r="J11" s="160" t="s">
        <v>678</v>
      </c>
      <c r="K11" s="160" t="s">
        <v>678</v>
      </c>
      <c r="L11" s="160" t="s">
        <v>678</v>
      </c>
      <c r="M11" s="160" t="s">
        <v>678</v>
      </c>
      <c r="N11" s="160" t="s">
        <v>678</v>
      </c>
      <c r="O11" s="160" t="s">
        <v>678</v>
      </c>
      <c r="P11" s="160" t="s">
        <v>678</v>
      </c>
      <c r="Q11" s="160" t="s">
        <v>678</v>
      </c>
      <c r="R11" s="160" t="s">
        <v>678</v>
      </c>
      <c r="S11" s="160" t="s">
        <v>678</v>
      </c>
      <c r="T11" s="160" t="s">
        <v>678</v>
      </c>
      <c r="U11" s="160" t="s">
        <v>678</v>
      </c>
      <c r="V11" s="160" t="s">
        <v>678</v>
      </c>
      <c r="W11"/>
      <c r="X11" s="109"/>
      <c r="Y11" s="109" t="s">
        <v>679</v>
      </c>
    </row>
    <row r="12" spans="2:28" x14ac:dyDescent="0.3">
      <c r="B12" s="191" t="s">
        <v>72</v>
      </c>
      <c r="C12" s="191" t="s">
        <v>562</v>
      </c>
      <c r="D12" s="191" t="s">
        <v>680</v>
      </c>
      <c r="E12" s="191" t="s">
        <v>681</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682</v>
      </c>
      <c r="Y12" s="549">
        <v>1</v>
      </c>
      <c r="AA12" s="107"/>
      <c r="AB12" s="108"/>
    </row>
    <row r="13" spans="2:28" x14ac:dyDescent="0.3">
      <c r="B13" s="191" t="s">
        <v>72</v>
      </c>
      <c r="C13" s="191" t="s">
        <v>562</v>
      </c>
      <c r="D13" s="191" t="s">
        <v>680</v>
      </c>
      <c r="E13" s="191" t="s">
        <v>683</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682</v>
      </c>
      <c r="Y13" s="359">
        <v>22</v>
      </c>
      <c r="AA13" s="107"/>
      <c r="AB13" s="108"/>
    </row>
    <row r="14" spans="2:28" x14ac:dyDescent="0.3">
      <c r="B14" s="191" t="s">
        <v>72</v>
      </c>
      <c r="C14" s="191" t="s">
        <v>563</v>
      </c>
      <c r="D14" s="191" t="s">
        <v>477</v>
      </c>
      <c r="E14" s="191" t="s">
        <v>681</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682</v>
      </c>
      <c r="Y14" s="549">
        <v>1</v>
      </c>
      <c r="AA14" s="107"/>
      <c r="AB14" s="108"/>
    </row>
    <row r="15" spans="2:28" x14ac:dyDescent="0.3">
      <c r="B15" s="191" t="s">
        <v>72</v>
      </c>
      <c r="C15" s="191" t="s">
        <v>171</v>
      </c>
      <c r="D15" s="191" t="s">
        <v>471</v>
      </c>
      <c r="E15" s="191" t="s">
        <v>681</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682</v>
      </c>
      <c r="Y15" s="549">
        <v>1</v>
      </c>
      <c r="AA15" s="107"/>
      <c r="AB15" s="108"/>
    </row>
    <row r="16" spans="2:28" x14ac:dyDescent="0.3">
      <c r="B16" s="191" t="s">
        <v>72</v>
      </c>
      <c r="C16" s="191" t="s">
        <v>380</v>
      </c>
      <c r="D16" s="191" t="s">
        <v>684</v>
      </c>
      <c r="E16" s="191" t="s">
        <v>681</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682</v>
      </c>
      <c r="Y16" s="549">
        <v>1</v>
      </c>
      <c r="AA16" s="107"/>
      <c r="AB16" s="108"/>
    </row>
    <row r="17" spans="2:36" x14ac:dyDescent="0.3">
      <c r="B17" s="191" t="s">
        <v>72</v>
      </c>
      <c r="C17" s="191" t="s">
        <v>380</v>
      </c>
      <c r="D17" s="191" t="s">
        <v>684</v>
      </c>
      <c r="E17" s="191" t="s">
        <v>683</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682</v>
      </c>
      <c r="Y17" s="359">
        <v>22</v>
      </c>
      <c r="AA17" s="107"/>
      <c r="AB17" s="108"/>
    </row>
    <row r="18" spans="2:36" x14ac:dyDescent="0.3">
      <c r="B18" s="191" t="s">
        <v>72</v>
      </c>
      <c r="C18" s="191" t="s">
        <v>381</v>
      </c>
      <c r="D18" s="191" t="s">
        <v>685</v>
      </c>
      <c r="E18" s="191" t="s">
        <v>681</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682</v>
      </c>
      <c r="Y18" s="549">
        <v>1</v>
      </c>
      <c r="AA18" s="107"/>
      <c r="AB18" s="108"/>
    </row>
    <row r="19" spans="2:36" x14ac:dyDescent="0.3">
      <c r="B19" s="191" t="s">
        <v>72</v>
      </c>
      <c r="C19" s="191" t="s">
        <v>382</v>
      </c>
      <c r="D19" s="191" t="s">
        <v>686</v>
      </c>
      <c r="E19" s="191" t="s">
        <v>681</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682</v>
      </c>
      <c r="Y19" s="549">
        <v>1</v>
      </c>
      <c r="AA19" s="107"/>
      <c r="AB19" s="108"/>
    </row>
    <row r="20" spans="2:36" x14ac:dyDescent="0.3">
      <c r="B20" s="191" t="s">
        <v>72</v>
      </c>
      <c r="C20" s="191" t="s">
        <v>553</v>
      </c>
      <c r="D20" s="191" t="s">
        <v>168</v>
      </c>
      <c r="E20" s="191" t="s">
        <v>683</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682</v>
      </c>
      <c r="Y20" s="549">
        <v>33</v>
      </c>
      <c r="AA20" s="107"/>
      <c r="AB20" s="108"/>
    </row>
    <row r="21" spans="2:36" x14ac:dyDescent="0.3">
      <c r="B21" s="191" t="s">
        <v>72</v>
      </c>
      <c r="C21" s="191" t="s">
        <v>555</v>
      </c>
      <c r="D21" s="191" t="s">
        <v>168</v>
      </c>
      <c r="E21" s="191" t="s">
        <v>683</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682</v>
      </c>
      <c r="Y21" s="549">
        <v>33</v>
      </c>
      <c r="AA21" s="107"/>
      <c r="AB21" s="108"/>
    </row>
    <row r="23" spans="2:36" x14ac:dyDescent="0.3">
      <c r="G23" s="457"/>
      <c r="Y23" s="295"/>
    </row>
    <row r="24" spans="2:36" x14ac:dyDescent="0.3">
      <c r="B24" s="466" t="s">
        <v>481</v>
      </c>
      <c r="G24" s="457"/>
      <c r="Y24" s="295"/>
    </row>
    <row r="25" spans="2:36" x14ac:dyDescent="0.3">
      <c r="B25" s="259" t="s">
        <v>463</v>
      </c>
      <c r="C25" s="259" t="s">
        <v>104</v>
      </c>
      <c r="D25" s="259" t="s">
        <v>465</v>
      </c>
      <c r="E25" s="259" t="s">
        <v>673</v>
      </c>
      <c r="F25" s="259" t="s">
        <v>674</v>
      </c>
      <c r="G25" s="160" t="s">
        <v>675</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676</v>
      </c>
      <c r="Y25" s="109" t="s">
        <v>677</v>
      </c>
    </row>
    <row r="26" spans="2:36" s="12" customFormat="1" ht="28.8" x14ac:dyDescent="0.3">
      <c r="B26" s="300"/>
      <c r="C26" s="300"/>
      <c r="D26" s="300"/>
      <c r="E26" s="300"/>
      <c r="F26" s="300"/>
      <c r="G26" s="458" t="s">
        <v>687</v>
      </c>
      <c r="H26" s="458" t="s">
        <v>688</v>
      </c>
      <c r="I26" s="458" t="s">
        <v>688</v>
      </c>
      <c r="J26" s="458" t="s">
        <v>688</v>
      </c>
      <c r="K26" s="458" t="s">
        <v>688</v>
      </c>
      <c r="L26" s="458" t="s">
        <v>688</v>
      </c>
      <c r="M26" s="458" t="s">
        <v>688</v>
      </c>
      <c r="N26" s="458" t="s">
        <v>688</v>
      </c>
      <c r="O26" s="458" t="s">
        <v>688</v>
      </c>
      <c r="P26" s="458" t="s">
        <v>688</v>
      </c>
      <c r="Q26" s="458" t="s">
        <v>688</v>
      </c>
      <c r="R26" s="458" t="s">
        <v>688</v>
      </c>
      <c r="S26" s="458" t="s">
        <v>688</v>
      </c>
      <c r="T26" s="458" t="s">
        <v>688</v>
      </c>
      <c r="U26" s="458" t="s">
        <v>688</v>
      </c>
      <c r="V26" s="458" t="s">
        <v>688</v>
      </c>
      <c r="W26"/>
      <c r="X26" s="109"/>
      <c r="Y26" s="109" t="s">
        <v>688</v>
      </c>
    </row>
    <row r="27" spans="2:36" x14ac:dyDescent="0.3">
      <c r="B27" s="191" t="s">
        <v>420</v>
      </c>
      <c r="C27" s="191" t="s">
        <v>689</v>
      </c>
      <c r="D27" s="191" t="s">
        <v>481</v>
      </c>
      <c r="E27" s="191" t="s">
        <v>683</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x14ac:dyDescent="0.3">
      <c r="B28" s="191" t="s">
        <v>420</v>
      </c>
      <c r="C28" s="191" t="s">
        <v>690</v>
      </c>
      <c r="D28" s="191" t="s">
        <v>691</v>
      </c>
      <c r="E28" s="191" t="s">
        <v>683</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692</v>
      </c>
      <c r="G31" s="822">
        <v>1.25</v>
      </c>
      <c r="X31" s="106" t="s">
        <v>693</v>
      </c>
      <c r="AA31" s="106" t="s">
        <v>694</v>
      </c>
    </row>
    <row r="32" spans="2:36" x14ac:dyDescent="0.3">
      <c r="B32" s="259" t="s">
        <v>463</v>
      </c>
      <c r="C32" s="259" t="s">
        <v>104</v>
      </c>
      <c r="D32" s="259" t="s">
        <v>465</v>
      </c>
      <c r="E32" s="259" t="s">
        <v>673</v>
      </c>
      <c r="F32" s="259" t="s">
        <v>674</v>
      </c>
      <c r="G32" s="160" t="s">
        <v>675</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676</v>
      </c>
      <c r="Y32" s="109" t="s">
        <v>677</v>
      </c>
      <c r="AA32" s="460" t="s">
        <v>676</v>
      </c>
      <c r="AB32" s="109" t="s">
        <v>677</v>
      </c>
      <c r="AD32" s="460"/>
      <c r="AE32" s="109"/>
      <c r="AF32" s="460"/>
      <c r="AG32" s="109"/>
      <c r="AH32" s="460"/>
      <c r="AI32" s="109"/>
      <c r="AJ32" s="460"/>
    </row>
    <row r="33" spans="2:36" x14ac:dyDescent="0.3">
      <c r="B33" s="259"/>
      <c r="C33" s="259"/>
      <c r="D33" s="259"/>
      <c r="E33" s="259"/>
      <c r="F33" s="259"/>
      <c r="G33" s="160" t="s">
        <v>678</v>
      </c>
      <c r="H33" s="160" t="s">
        <v>678</v>
      </c>
      <c r="I33" s="160" t="s">
        <v>678</v>
      </c>
      <c r="J33" s="160" t="s">
        <v>678</v>
      </c>
      <c r="K33" s="160" t="s">
        <v>678</v>
      </c>
      <c r="L33" s="160" t="s">
        <v>678</v>
      </c>
      <c r="M33" s="160" t="s">
        <v>678</v>
      </c>
      <c r="N33" s="160" t="s">
        <v>678</v>
      </c>
      <c r="O33" s="160" t="s">
        <v>678</v>
      </c>
      <c r="P33" s="160" t="s">
        <v>678</v>
      </c>
      <c r="Q33" s="160" t="s">
        <v>678</v>
      </c>
      <c r="R33" s="160" t="s">
        <v>678</v>
      </c>
      <c r="S33" s="160" t="s">
        <v>678</v>
      </c>
      <c r="T33" s="160" t="s">
        <v>678</v>
      </c>
      <c r="U33" s="160" t="s">
        <v>678</v>
      </c>
      <c r="V33" s="160" t="s">
        <v>678</v>
      </c>
      <c r="W33" s="110"/>
      <c r="X33" s="109"/>
      <c r="Y33" s="109" t="s">
        <v>679</v>
      </c>
      <c r="AA33" s="109"/>
      <c r="AB33" s="109" t="s">
        <v>679</v>
      </c>
      <c r="AD33" s="109"/>
      <c r="AE33" s="109"/>
      <c r="AF33" s="109" t="s">
        <v>679</v>
      </c>
      <c r="AG33" s="109" t="s">
        <v>695</v>
      </c>
      <c r="AH33" s="109" t="s">
        <v>696</v>
      </c>
      <c r="AI33" s="109" t="s">
        <v>697</v>
      </c>
      <c r="AJ33" s="109" t="s">
        <v>698</v>
      </c>
    </row>
    <row r="34" spans="2:36" x14ac:dyDescent="0.3">
      <c r="B34" s="186" t="s">
        <v>75</v>
      </c>
      <c r="C34" s="186" t="s">
        <v>529</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699</v>
      </c>
      <c r="Y34" s="302">
        <v>187</v>
      </c>
      <c r="AA34" s="107" t="s">
        <v>700</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529</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699</v>
      </c>
      <c r="Y35" s="302">
        <v>213</v>
      </c>
      <c r="AA35" s="107" t="s">
        <v>700</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530</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699</v>
      </c>
      <c r="Y36" s="302">
        <v>77</v>
      </c>
      <c r="AA36" s="107" t="s">
        <v>700</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530</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699</v>
      </c>
      <c r="Y37" s="302">
        <v>62</v>
      </c>
      <c r="AA37" s="107" t="s">
        <v>700</v>
      </c>
      <c r="AB37" s="108">
        <v>77</v>
      </c>
      <c r="AD37" t="str">
        <f t="shared" si="14"/>
        <v>TCARELC</v>
      </c>
      <c r="AE37" t="str">
        <f t="shared" si="9"/>
        <v>TCS</v>
      </c>
      <c r="AF37">
        <f t="shared" si="15"/>
        <v>62</v>
      </c>
      <c r="AG37" s="105">
        <f t="shared" si="10"/>
        <v>1.7222222222222223</v>
      </c>
      <c r="AJ37" s="105"/>
    </row>
    <row r="38" spans="2:36" x14ac:dyDescent="0.3">
      <c r="B38" s="186" t="s">
        <v>75</v>
      </c>
      <c r="C38" s="186" t="s">
        <v>531</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701</v>
      </c>
      <c r="Y38" s="302">
        <v>207</v>
      </c>
      <c r="AA38" s="107" t="s">
        <v>700</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531</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701</v>
      </c>
      <c r="Y39" s="302">
        <v>251</v>
      </c>
      <c r="AA39" s="107" t="s">
        <v>700</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532</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701</v>
      </c>
      <c r="Y40" s="302">
        <v>207</v>
      </c>
      <c r="AA40" s="107" t="s">
        <v>700</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532</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701</v>
      </c>
      <c r="Y41" s="302">
        <v>251</v>
      </c>
      <c r="AA41" s="107" t="s">
        <v>700</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533</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699</v>
      </c>
      <c r="Y42" s="302">
        <v>215</v>
      </c>
      <c r="AA42" s="107" t="s">
        <v>700</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533</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699</v>
      </c>
      <c r="Y43" s="302">
        <v>265</v>
      </c>
      <c r="AA43" s="107" t="s">
        <v>700</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534</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699</v>
      </c>
      <c r="Y44" s="302">
        <v>150</v>
      </c>
      <c r="AA44" s="107" t="s">
        <v>700</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534</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699</v>
      </c>
      <c r="Y45" s="302">
        <v>170</v>
      </c>
      <c r="AA45" s="107" t="s">
        <v>700</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535</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699</v>
      </c>
      <c r="Y46" s="302">
        <v>167</v>
      </c>
      <c r="AA46" s="107" t="s">
        <v>700</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535</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699</v>
      </c>
      <c r="Y47" s="302">
        <v>202</v>
      </c>
      <c r="AA47" s="107" t="s">
        <v>700</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536</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701</v>
      </c>
      <c r="Y48" s="302">
        <v>207</v>
      </c>
      <c r="AA48" s="107" t="s">
        <v>700</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536</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701</v>
      </c>
      <c r="Y49" s="302">
        <v>251</v>
      </c>
      <c r="AA49" s="107" t="s">
        <v>700</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537</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699</v>
      </c>
      <c r="Y50" s="302">
        <v>117</v>
      </c>
      <c r="AA50" s="107" t="s">
        <v>700</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537</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699</v>
      </c>
      <c r="Y51" s="302">
        <v>91</v>
      </c>
      <c r="AA51" s="107" t="s">
        <v>700</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538</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699</v>
      </c>
      <c r="Y52" s="302">
        <v>110</v>
      </c>
      <c r="AA52" s="107" t="s">
        <v>700</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538</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699</v>
      </c>
      <c r="Y53" s="548">
        <v>97</v>
      </c>
      <c r="AA53" s="107" t="s">
        <v>700</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699</v>
      </c>
      <c r="Y54" s="302">
        <v>200</v>
      </c>
      <c r="AA54" s="107" t="s">
        <v>700</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699</v>
      </c>
      <c r="Y55" s="302">
        <v>225</v>
      </c>
      <c r="AA55" s="107" t="s">
        <v>700</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699</v>
      </c>
      <c r="Y56" s="302">
        <v>77</v>
      </c>
      <c r="AA56" s="107" t="s">
        <v>700</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699</v>
      </c>
      <c r="Y57" s="302">
        <v>62</v>
      </c>
      <c r="AA57" s="107" t="s">
        <v>700</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701</v>
      </c>
      <c r="Y58" s="302">
        <v>207</v>
      </c>
      <c r="AA58" s="107" t="s">
        <v>700</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701</v>
      </c>
      <c r="Y59" s="302">
        <v>251</v>
      </c>
      <c r="AA59" s="107" t="s">
        <v>700</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701</v>
      </c>
      <c r="Y60" s="302">
        <v>207</v>
      </c>
      <c r="AA60" s="107" t="s">
        <v>700</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701</v>
      </c>
      <c r="Y61" s="302">
        <v>251</v>
      </c>
      <c r="AA61" s="107" t="s">
        <v>700</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699</v>
      </c>
      <c r="Y62" s="302">
        <v>215</v>
      </c>
      <c r="AA62" s="107" t="s">
        <v>700</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699</v>
      </c>
      <c r="Y63" s="302">
        <v>265</v>
      </c>
      <c r="AA63" s="107" t="s">
        <v>700</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699</v>
      </c>
      <c r="Y64" s="302">
        <v>150</v>
      </c>
      <c r="AA64" s="107" t="s">
        <v>700</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699</v>
      </c>
      <c r="Y65" s="302">
        <v>170</v>
      </c>
      <c r="AA65" s="107" t="s">
        <v>700</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699</v>
      </c>
      <c r="Y66" s="302">
        <v>167</v>
      </c>
      <c r="AA66" s="107" t="s">
        <v>700</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699</v>
      </c>
      <c r="Y67" s="302">
        <v>202</v>
      </c>
      <c r="AA67" s="107" t="s">
        <v>700</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701</v>
      </c>
      <c r="Y68" s="302">
        <v>207</v>
      </c>
      <c r="AA68" s="107" t="s">
        <v>700</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701</v>
      </c>
      <c r="Y69" s="302">
        <v>251</v>
      </c>
      <c r="AA69" s="107" t="s">
        <v>700</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699</v>
      </c>
      <c r="Y70" s="302">
        <v>117</v>
      </c>
      <c r="AA70" s="107" t="s">
        <v>700</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699</v>
      </c>
      <c r="Y71" s="302">
        <v>91</v>
      </c>
      <c r="AA71" s="107" t="s">
        <v>700</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699</v>
      </c>
      <c r="Y72" s="302">
        <v>110</v>
      </c>
      <c r="AA72" s="107" t="s">
        <v>700</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699</v>
      </c>
      <c r="Y73" s="548">
        <v>97</v>
      </c>
      <c r="AA73" s="107" t="s">
        <v>700</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699</v>
      </c>
      <c r="Y74" s="302">
        <v>187</v>
      </c>
      <c r="AA74" s="107" t="s">
        <v>700</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699</v>
      </c>
      <c r="Y75" s="302">
        <v>213</v>
      </c>
      <c r="AA75" s="107" t="s">
        <v>700</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699</v>
      </c>
      <c r="Y76" s="302">
        <v>77</v>
      </c>
      <c r="AA76" s="107" t="s">
        <v>700</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699</v>
      </c>
      <c r="Y77" s="302">
        <v>62</v>
      </c>
      <c r="AA77" s="107" t="s">
        <v>700</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701</v>
      </c>
      <c r="Y78" s="302">
        <v>207</v>
      </c>
      <c r="AA78" s="107" t="s">
        <v>700</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701</v>
      </c>
      <c r="Y79" s="302">
        <v>251</v>
      </c>
      <c r="AA79" s="107" t="s">
        <v>700</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701</v>
      </c>
      <c r="Y80" s="302">
        <v>207</v>
      </c>
      <c r="AA80" s="107" t="s">
        <v>700</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701</v>
      </c>
      <c r="Y81" s="302">
        <v>251</v>
      </c>
      <c r="AA81" s="107" t="s">
        <v>700</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699</v>
      </c>
      <c r="Y82" s="302">
        <v>207</v>
      </c>
      <c r="AA82" s="107" t="s">
        <v>700</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699</v>
      </c>
      <c r="Y83" s="302">
        <v>251</v>
      </c>
      <c r="AA83" s="107" t="s">
        <v>700</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699</v>
      </c>
      <c r="Y84" s="302">
        <v>150</v>
      </c>
      <c r="AA84" s="107" t="s">
        <v>700</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699</v>
      </c>
      <c r="Y85" s="302">
        <v>170</v>
      </c>
      <c r="AA85" s="107" t="s">
        <v>700</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699</v>
      </c>
      <c r="Y86" s="302">
        <v>167</v>
      </c>
      <c r="AA86" s="107" t="s">
        <v>700</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699</v>
      </c>
      <c r="Y87" s="302">
        <v>202</v>
      </c>
      <c r="AA87" s="107" t="s">
        <v>700</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701</v>
      </c>
      <c r="Y88" s="302">
        <v>207</v>
      </c>
      <c r="AA88" s="107" t="s">
        <v>700</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701</v>
      </c>
      <c r="Y89" s="302">
        <v>251</v>
      </c>
      <c r="AA89" s="107" t="s">
        <v>700</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699</v>
      </c>
      <c r="Y90" s="302">
        <v>117</v>
      </c>
      <c r="AA90" s="107" t="s">
        <v>700</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699</v>
      </c>
      <c r="Y91" s="302">
        <v>91</v>
      </c>
      <c r="AA91" s="107" t="s">
        <v>700</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699</v>
      </c>
      <c r="Y92" s="302">
        <v>110</v>
      </c>
      <c r="AA92" s="107" t="s">
        <v>700</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699</v>
      </c>
      <c r="Y93" s="302">
        <v>97</v>
      </c>
      <c r="AA93" s="107" t="s">
        <v>700</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x14ac:dyDescent="0.3">
      <c r="B96" s="466" t="s">
        <v>702</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x14ac:dyDescent="0.3">
      <c r="B97" s="259" t="s">
        <v>463</v>
      </c>
      <c r="C97" s="259" t="s">
        <v>104</v>
      </c>
      <c r="D97" s="259" t="s">
        <v>465</v>
      </c>
      <c r="E97" s="259" t="s">
        <v>673</v>
      </c>
      <c r="F97" s="259" t="s">
        <v>674</v>
      </c>
      <c r="G97" s="160" t="s">
        <v>675</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676</v>
      </c>
      <c r="Y97" s="109" t="s">
        <v>677</v>
      </c>
      <c r="AA97" s="460" t="s">
        <v>676</v>
      </c>
      <c r="AB97" s="109" t="s">
        <v>677</v>
      </c>
    </row>
    <row r="98" spans="2:36" x14ac:dyDescent="0.3">
      <c r="B98" s="259"/>
      <c r="C98" s="259"/>
      <c r="D98" s="259"/>
      <c r="E98" s="259"/>
      <c r="F98" s="259"/>
      <c r="G98" s="160" t="s">
        <v>678</v>
      </c>
      <c r="H98" s="160" t="s">
        <v>678</v>
      </c>
      <c r="I98" s="160" t="s">
        <v>678</v>
      </c>
      <c r="J98" s="160" t="s">
        <v>678</v>
      </c>
      <c r="K98" s="160" t="s">
        <v>678</v>
      </c>
      <c r="L98" s="160" t="s">
        <v>678</v>
      </c>
      <c r="M98" s="160" t="s">
        <v>678</v>
      </c>
      <c r="N98" s="160" t="s">
        <v>678</v>
      </c>
      <c r="O98" s="160" t="s">
        <v>678</v>
      </c>
      <c r="P98" s="160" t="s">
        <v>678</v>
      </c>
      <c r="Q98" s="160" t="s">
        <v>678</v>
      </c>
      <c r="R98" s="160" t="s">
        <v>678</v>
      </c>
      <c r="S98" s="160" t="s">
        <v>678</v>
      </c>
      <c r="T98" s="160" t="s">
        <v>678</v>
      </c>
      <c r="U98" s="160" t="s">
        <v>678</v>
      </c>
      <c r="V98" s="160" t="s">
        <v>678</v>
      </c>
      <c r="W98" s="110"/>
      <c r="X98" s="109"/>
      <c r="Y98" s="109" t="s">
        <v>679</v>
      </c>
      <c r="AA98" s="109"/>
      <c r="AB98" s="109" t="s">
        <v>679</v>
      </c>
    </row>
    <row r="99" spans="2:36"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703</v>
      </c>
      <c r="Y99" s="412">
        <f>Y100*Y76/Y82</f>
        <v>53.193236714975846</v>
      </c>
      <c r="AA99" s="107" t="s">
        <v>704</v>
      </c>
      <c r="AB99" s="108">
        <v>143</v>
      </c>
    </row>
    <row r="100" spans="2:36"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704</v>
      </c>
      <c r="Y100" s="302">
        <v>143</v>
      </c>
      <c r="AA100" s="107" t="s">
        <v>704</v>
      </c>
      <c r="AB100" s="108">
        <v>143</v>
      </c>
    </row>
    <row r="101" spans="2:36" x14ac:dyDescent="0.3">
      <c r="B101" s="186" t="s">
        <v>76</v>
      </c>
      <c r="C101" s="186" t="s">
        <v>542</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703</v>
      </c>
      <c r="Y101" s="412">
        <f>Y102*Y76/Y82</f>
        <v>53.193236714975846</v>
      </c>
      <c r="AA101" s="107" t="s">
        <v>704</v>
      </c>
      <c r="AB101" s="108">
        <v>143</v>
      </c>
    </row>
    <row r="102" spans="2:36" x14ac:dyDescent="0.3">
      <c r="B102" s="186" t="s">
        <v>76</v>
      </c>
      <c r="C102" s="186" t="s">
        <v>543</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704</v>
      </c>
      <c r="Y102" s="302">
        <v>143</v>
      </c>
      <c r="AA102" s="107" t="s">
        <v>704</v>
      </c>
      <c r="AB102" s="108">
        <v>143</v>
      </c>
    </row>
    <row r="103" spans="2:36"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705</v>
      </c>
      <c r="G105" s="822">
        <v>1</v>
      </c>
      <c r="X105" s="106" t="s">
        <v>693</v>
      </c>
      <c r="AA105" s="106" t="s">
        <v>694</v>
      </c>
    </row>
    <row r="106" spans="2:36" x14ac:dyDescent="0.3">
      <c r="B106" s="259" t="s">
        <v>463</v>
      </c>
      <c r="C106" s="259" t="s">
        <v>104</v>
      </c>
      <c r="D106" s="259" t="s">
        <v>465</v>
      </c>
      <c r="E106" s="259" t="s">
        <v>673</v>
      </c>
      <c r="F106" s="259" t="s">
        <v>674</v>
      </c>
      <c r="G106" s="160" t="s">
        <v>675</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676</v>
      </c>
      <c r="Y106" s="109" t="s">
        <v>677</v>
      </c>
      <c r="AA106" s="460" t="s">
        <v>676</v>
      </c>
      <c r="AB106" s="109" t="s">
        <v>677</v>
      </c>
      <c r="AD106" s="460"/>
      <c r="AE106" s="109"/>
      <c r="AF106" s="460"/>
      <c r="AG106" s="109"/>
      <c r="AH106" s="460"/>
      <c r="AI106" s="109"/>
      <c r="AJ106" s="460"/>
    </row>
    <row r="107" spans="2:36" x14ac:dyDescent="0.3">
      <c r="B107" s="259"/>
      <c r="C107" s="259"/>
      <c r="D107" s="259"/>
      <c r="E107" s="259"/>
      <c r="F107" s="259"/>
      <c r="G107" s="160" t="s">
        <v>678</v>
      </c>
      <c r="H107" s="160" t="s">
        <v>678</v>
      </c>
      <c r="I107" s="160" t="s">
        <v>678</v>
      </c>
      <c r="J107" s="160" t="s">
        <v>678</v>
      </c>
      <c r="K107" s="160" t="s">
        <v>678</v>
      </c>
      <c r="L107" s="160" t="s">
        <v>678</v>
      </c>
      <c r="M107" s="160" t="s">
        <v>678</v>
      </c>
      <c r="N107" s="160" t="s">
        <v>678</v>
      </c>
      <c r="O107" s="160" t="s">
        <v>678</v>
      </c>
      <c r="P107" s="160" t="s">
        <v>678</v>
      </c>
      <c r="Q107" s="160" t="s">
        <v>678</v>
      </c>
      <c r="R107" s="160" t="s">
        <v>678</v>
      </c>
      <c r="S107" s="160" t="s">
        <v>678</v>
      </c>
      <c r="T107" s="160" t="s">
        <v>678</v>
      </c>
      <c r="U107" s="160" t="s">
        <v>678</v>
      </c>
      <c r="V107" s="160" t="s">
        <v>678</v>
      </c>
      <c r="W107" s="110"/>
      <c r="X107" s="109"/>
      <c r="Y107" s="109" t="s">
        <v>679</v>
      </c>
      <c r="AA107" s="109"/>
      <c r="AB107" s="109" t="s">
        <v>679</v>
      </c>
      <c r="AD107" s="109"/>
      <c r="AE107" s="109"/>
      <c r="AF107" s="109" t="s">
        <v>679</v>
      </c>
      <c r="AG107" s="109" t="s">
        <v>695</v>
      </c>
      <c r="AH107" s="109" t="s">
        <v>696</v>
      </c>
      <c r="AI107" s="109" t="s">
        <v>697</v>
      </c>
      <c r="AJ107" s="109" t="s">
        <v>698</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706</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707</v>
      </c>
      <c r="D109" s="186"/>
      <c r="E109" s="186"/>
      <c r="F109" s="186" t="s">
        <v>593</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706</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708</v>
      </c>
      <c r="Y110" s="302">
        <v>1500</v>
      </c>
      <c r="AA110" s="107" t="s">
        <v>708</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593</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708</v>
      </c>
      <c r="Y111" s="302">
        <v>1500</v>
      </c>
      <c r="AA111" s="107" t="s">
        <v>708</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593</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708</v>
      </c>
      <c r="Y114" s="412">
        <f>Y110*1.05</f>
        <v>1575</v>
      </c>
      <c r="AA114" s="107" t="s">
        <v>708</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593</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708</v>
      </c>
      <c r="Y115" s="412">
        <f>Y111*1.05</f>
        <v>1575</v>
      </c>
      <c r="AA115" s="107" t="s">
        <v>708</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708</v>
      </c>
      <c r="Y116" s="302">
        <v>2080</v>
      </c>
      <c r="AA116" s="107" t="s">
        <v>708</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593</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708</v>
      </c>
      <c r="Y117" s="302">
        <v>2080</v>
      </c>
      <c r="AA117" s="107" t="s">
        <v>708</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708</v>
      </c>
      <c r="Y118" s="302">
        <v>2080</v>
      </c>
      <c r="AA118" s="107" t="s">
        <v>708</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593</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708</v>
      </c>
      <c r="Y119" s="302">
        <v>2080</v>
      </c>
      <c r="AA119" s="107" t="s">
        <v>708</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709</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593</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709</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710</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593</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710</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593</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711</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593</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711</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712</v>
      </c>
      <c r="AB128" s="108"/>
    </row>
    <row r="129" spans="2:28" x14ac:dyDescent="0.3">
      <c r="B129" s="546" t="s">
        <v>77</v>
      </c>
      <c r="C129" s="546" t="s">
        <v>335</v>
      </c>
      <c r="D129" s="546"/>
      <c r="E129" s="546"/>
      <c r="F129" s="546" t="s">
        <v>593</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712</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590</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713</v>
      </c>
      <c r="Y132" s="412">
        <v>1200</v>
      </c>
      <c r="AA132" s="107" t="s">
        <v>714</v>
      </c>
      <c r="AB132" s="108">
        <v>1200</v>
      </c>
    </row>
    <row r="133" spans="2:28" x14ac:dyDescent="0.3">
      <c r="B133" s="186" t="s">
        <v>77</v>
      </c>
      <c r="C133" s="186" t="s">
        <v>337</v>
      </c>
      <c r="D133" s="186"/>
      <c r="E133" s="186"/>
      <c r="F133" s="186" t="s">
        <v>590</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713</v>
      </c>
      <c r="Y133" s="412">
        <v>1200</v>
      </c>
      <c r="AA133" s="107" t="s">
        <v>714</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715</v>
      </c>
      <c r="AB134" s="648"/>
    </row>
    <row r="135" spans="2:28" s="23" customFormat="1" x14ac:dyDescent="0.3">
      <c r="B135" s="649" t="s">
        <v>77</v>
      </c>
      <c r="C135" s="649" t="s">
        <v>338</v>
      </c>
      <c r="D135" s="649"/>
      <c r="E135" s="649"/>
      <c r="F135" s="649" t="s">
        <v>590</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715</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716</v>
      </c>
      <c r="Y136" s="412">
        <v>2310</v>
      </c>
      <c r="AA136" s="107" t="s">
        <v>714</v>
      </c>
      <c r="AB136" s="108">
        <v>2310</v>
      </c>
    </row>
    <row r="137" spans="2:28" x14ac:dyDescent="0.3">
      <c r="B137" s="186" t="s">
        <v>77</v>
      </c>
      <c r="C137" s="186" t="s">
        <v>339</v>
      </c>
      <c r="D137" s="186"/>
      <c r="E137" s="186"/>
      <c r="F137" s="186" t="s">
        <v>590</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716</v>
      </c>
      <c r="Y137" s="412">
        <v>2310</v>
      </c>
      <c r="AA137" s="107" t="s">
        <v>714</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717</v>
      </c>
      <c r="Y138" s="302">
        <v>1135</v>
      </c>
      <c r="AA138" s="107" t="s">
        <v>714</v>
      </c>
      <c r="AB138" s="108">
        <v>1135</v>
      </c>
    </row>
    <row r="139" spans="2:28" x14ac:dyDescent="0.3">
      <c r="B139" s="186" t="s">
        <v>77</v>
      </c>
      <c r="C139" s="186" t="s">
        <v>340</v>
      </c>
      <c r="D139" s="186"/>
      <c r="E139" s="186"/>
      <c r="F139" s="186" t="s">
        <v>590</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717</v>
      </c>
      <c r="Y139" s="302">
        <v>1135</v>
      </c>
      <c r="AA139" s="107" t="s">
        <v>714</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718</v>
      </c>
      <c r="Y140" s="302">
        <f t="shared" ref="Y140:Y141" si="38">Y118*0.95</f>
        <v>1976</v>
      </c>
      <c r="AA140" s="107" t="s">
        <v>682</v>
      </c>
      <c r="AB140" s="108">
        <f t="shared" ref="AB140:AB141" si="39">AB118*0.95</f>
        <v>1976</v>
      </c>
    </row>
    <row r="141" spans="2:28" x14ac:dyDescent="0.3">
      <c r="B141" s="186" t="s">
        <v>77</v>
      </c>
      <c r="C141" s="186" t="s">
        <v>341</v>
      </c>
      <c r="D141" s="186"/>
      <c r="E141" s="186"/>
      <c r="F141" s="186" t="s">
        <v>590</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718</v>
      </c>
      <c r="Y141" s="302">
        <f t="shared" si="38"/>
        <v>1976</v>
      </c>
      <c r="AA141" s="107" t="s">
        <v>682</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590</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590</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590</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590</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590</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719</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673</v>
      </c>
      <c r="F155" s="259" t="s">
        <v>674</v>
      </c>
      <c r="G155" s="160" t="s">
        <v>675</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676</v>
      </c>
      <c r="Y155" s="109" t="s">
        <v>677</v>
      </c>
      <c r="AA155" s="460" t="s">
        <v>676</v>
      </c>
      <c r="AB155" s="109" t="s">
        <v>677</v>
      </c>
    </row>
    <row r="156" spans="2:36" x14ac:dyDescent="0.3">
      <c r="B156" s="259"/>
      <c r="C156" s="259"/>
      <c r="D156" s="259"/>
      <c r="E156" s="259"/>
      <c r="F156" s="259"/>
      <c r="G156" s="160" t="s">
        <v>678</v>
      </c>
      <c r="H156" s="160" t="s">
        <v>678</v>
      </c>
      <c r="I156" s="160" t="s">
        <v>678</v>
      </c>
      <c r="J156" s="160" t="s">
        <v>678</v>
      </c>
      <c r="K156" s="160" t="s">
        <v>678</v>
      </c>
      <c r="L156" s="160" t="s">
        <v>678</v>
      </c>
      <c r="M156" s="160" t="s">
        <v>678</v>
      </c>
      <c r="N156" s="160" t="s">
        <v>678</v>
      </c>
      <c r="O156" s="160" t="s">
        <v>678</v>
      </c>
      <c r="P156" s="160" t="s">
        <v>678</v>
      </c>
      <c r="Q156" s="160" t="s">
        <v>678</v>
      </c>
      <c r="R156" s="160" t="s">
        <v>678</v>
      </c>
      <c r="S156" s="160" t="s">
        <v>678</v>
      </c>
      <c r="T156" s="160" t="s">
        <v>678</v>
      </c>
      <c r="U156" s="160" t="s">
        <v>678</v>
      </c>
      <c r="V156" s="160" t="s">
        <v>678</v>
      </c>
      <c r="W156" s="110"/>
      <c r="X156" s="109"/>
      <c r="Y156" s="109" t="s">
        <v>679</v>
      </c>
      <c r="AA156" s="109"/>
      <c r="AB156" s="109" t="s">
        <v>679</v>
      </c>
    </row>
    <row r="157" spans="2:36" x14ac:dyDescent="0.3">
      <c r="B157" s="573" t="s">
        <v>78</v>
      </c>
      <c r="C157" s="574" t="s">
        <v>557</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679</v>
      </c>
      <c r="AG157" t="s">
        <v>695</v>
      </c>
      <c r="AH157" t="s">
        <v>696</v>
      </c>
      <c r="AI157" t="s">
        <v>697</v>
      </c>
      <c r="AJ157" t="s">
        <v>698</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699</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699</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699</v>
      </c>
      <c r="Y160" s="302">
        <v>187</v>
      </c>
      <c r="AA160" s="107" t="s">
        <v>700</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699</v>
      </c>
      <c r="Y161" s="302">
        <v>213</v>
      </c>
      <c r="AA161" s="107" t="s">
        <v>700</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699</v>
      </c>
      <c r="Y162" s="302">
        <v>77</v>
      </c>
      <c r="AA162" s="107" t="s">
        <v>700</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699</v>
      </c>
      <c r="Y163" s="302">
        <v>62</v>
      </c>
      <c r="AA163" s="107" t="s">
        <v>700</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701</v>
      </c>
      <c r="Y164" s="302">
        <v>207</v>
      </c>
      <c r="AA164" s="107" t="s">
        <v>700</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701</v>
      </c>
      <c r="Y165" s="302">
        <v>251</v>
      </c>
      <c r="AA165" s="107" t="s">
        <v>700</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701</v>
      </c>
      <c r="Y166" s="302">
        <v>207</v>
      </c>
      <c r="AA166" s="107" t="s">
        <v>700</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701</v>
      </c>
      <c r="Y167" s="302">
        <v>251</v>
      </c>
      <c r="AA167" s="107" t="s">
        <v>700</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699</v>
      </c>
      <c r="Y168" s="302">
        <v>207</v>
      </c>
      <c r="AA168" s="107" t="s">
        <v>700</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699</v>
      </c>
      <c r="Y169" s="302">
        <v>251</v>
      </c>
      <c r="AA169" s="107" t="s">
        <v>700</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699</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699</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699</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699</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701</v>
      </c>
      <c r="Y174" s="302">
        <v>207</v>
      </c>
      <c r="AA174" s="107" t="s">
        <v>700</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701</v>
      </c>
      <c r="Y175" s="302">
        <v>251</v>
      </c>
      <c r="AA175" s="107" t="s">
        <v>700</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699</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699</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699</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699</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720</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720</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720</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720</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721</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722</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720</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720</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720</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720</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720</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720</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720</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720</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720</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720</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720</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720</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723</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723</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724</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724</v>
      </c>
      <c r="Y201" s="575">
        <v>1.1000000000000001</v>
      </c>
      <c r="AD201"/>
      <c r="AE201"/>
      <c r="AF201" t="s">
        <v>679</v>
      </c>
      <c r="AG201" t="s">
        <v>695</v>
      </c>
      <c r="AH201" t="s">
        <v>696</v>
      </c>
      <c r="AI201" t="s">
        <v>697</v>
      </c>
      <c r="AJ201" t="s">
        <v>698</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699</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725</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699</v>
      </c>
      <c r="Y204" s="359">
        <v>1250</v>
      </c>
      <c r="AA204" s="107" t="s">
        <v>700</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725</v>
      </c>
      <c r="Y205" s="359">
        <f>Y204*1.25</f>
        <v>1562.5</v>
      </c>
      <c r="AA205" s="107" t="s">
        <v>700</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715</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715</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726</v>
      </c>
      <c r="Y208" s="359">
        <f>Y204</f>
        <v>1250</v>
      </c>
      <c r="AA208" s="107" t="s">
        <v>700</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725</v>
      </c>
      <c r="Y209" s="359">
        <f>Y205</f>
        <v>1562.5</v>
      </c>
      <c r="AA209" s="107" t="s">
        <v>700</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699</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725</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699</v>
      </c>
      <c r="Y212" s="359">
        <v>1190</v>
      </c>
      <c r="AA212" s="107" t="s">
        <v>700</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725</v>
      </c>
      <c r="Y213" s="359">
        <f>Y212*1.25</f>
        <v>1487.5</v>
      </c>
      <c r="AA213" s="107" t="s">
        <v>700</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699</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725</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699</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725</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727</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727</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723</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723</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724</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724</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565</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566</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507</v>
      </c>
      <c r="C226" s="579" t="s">
        <v>559</v>
      </c>
      <c r="D226" s="578"/>
      <c r="E226" s="578"/>
      <c r="F226" s="578" t="s">
        <v>634</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507</v>
      </c>
      <c r="C227" s="186" t="s">
        <v>127</v>
      </c>
      <c r="D227" s="186"/>
      <c r="E227" s="186"/>
      <c r="F227" s="191" t="s">
        <v>637</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507</v>
      </c>
      <c r="C228" s="186" t="s">
        <v>127</v>
      </c>
      <c r="D228" s="186"/>
      <c r="E228" s="186"/>
      <c r="F228" s="191" t="s">
        <v>640</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507</v>
      </c>
      <c r="C229" s="191" t="s">
        <v>128</v>
      </c>
      <c r="D229" s="191"/>
      <c r="E229" s="191"/>
      <c r="F229" s="191" t="s">
        <v>637</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700</v>
      </c>
      <c r="AB229" s="108">
        <v>174</v>
      </c>
    </row>
    <row r="230" spans="2:28" x14ac:dyDescent="0.3">
      <c r="B230" s="191" t="s">
        <v>507</v>
      </c>
      <c r="C230" s="191" t="s">
        <v>128</v>
      </c>
      <c r="D230" s="191"/>
      <c r="E230" s="191"/>
      <c r="F230" s="191" t="s">
        <v>640</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700</v>
      </c>
      <c r="AB230" s="108">
        <v>199</v>
      </c>
    </row>
    <row r="231" spans="2:28" x14ac:dyDescent="0.3">
      <c r="B231" s="191" t="s">
        <v>507</v>
      </c>
      <c r="C231" s="191" t="s">
        <v>129</v>
      </c>
      <c r="D231" s="191"/>
      <c r="E231" s="191"/>
      <c r="F231" s="191" t="s">
        <v>637</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700</v>
      </c>
      <c r="AB231" s="108">
        <v>77</v>
      </c>
    </row>
    <row r="232" spans="2:28" x14ac:dyDescent="0.3">
      <c r="B232" s="191" t="s">
        <v>507</v>
      </c>
      <c r="C232" s="191" t="s">
        <v>129</v>
      </c>
      <c r="D232" s="191"/>
      <c r="E232" s="191"/>
      <c r="F232" s="191" t="s">
        <v>640</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700</v>
      </c>
      <c r="AB232" s="108">
        <v>62</v>
      </c>
    </row>
    <row r="233" spans="2:28" x14ac:dyDescent="0.3">
      <c r="B233" s="191" t="s">
        <v>507</v>
      </c>
      <c r="C233" s="191" t="s">
        <v>130</v>
      </c>
      <c r="D233" s="191"/>
      <c r="E233" s="191"/>
      <c r="F233" s="191" t="s">
        <v>637</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700</v>
      </c>
      <c r="AB233" s="108">
        <v>193</v>
      </c>
    </row>
    <row r="234" spans="2:28" x14ac:dyDescent="0.3">
      <c r="B234" s="191" t="s">
        <v>507</v>
      </c>
      <c r="C234" s="191" t="s">
        <v>130</v>
      </c>
      <c r="D234" s="191"/>
      <c r="E234" s="191"/>
      <c r="F234" s="191" t="s">
        <v>640</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700</v>
      </c>
      <c r="AB234" s="108">
        <v>235</v>
      </c>
    </row>
    <row r="235" spans="2:28" x14ac:dyDescent="0.3">
      <c r="B235" s="191" t="s">
        <v>507</v>
      </c>
      <c r="C235" s="191" t="s">
        <v>131</v>
      </c>
      <c r="D235" s="191"/>
      <c r="E235" s="191"/>
      <c r="F235" s="191" t="s">
        <v>637</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700</v>
      </c>
      <c r="AB235" s="108">
        <v>193</v>
      </c>
    </row>
    <row r="236" spans="2:28" x14ac:dyDescent="0.3">
      <c r="B236" s="191" t="s">
        <v>507</v>
      </c>
      <c r="C236" s="191" t="s">
        <v>131</v>
      </c>
      <c r="D236" s="191"/>
      <c r="E236" s="191"/>
      <c r="F236" s="191" t="s">
        <v>640</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700</v>
      </c>
      <c r="AB236" s="108">
        <v>235</v>
      </c>
    </row>
    <row r="237" spans="2:28" x14ac:dyDescent="0.3">
      <c r="B237" s="191" t="s">
        <v>507</v>
      </c>
      <c r="C237" s="191" t="s">
        <v>132</v>
      </c>
      <c r="D237" s="191"/>
      <c r="E237" s="191"/>
      <c r="F237" s="191" t="s">
        <v>637</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700</v>
      </c>
      <c r="AB237" s="108">
        <v>193</v>
      </c>
    </row>
    <row r="238" spans="2:28" x14ac:dyDescent="0.3">
      <c r="B238" s="191" t="s">
        <v>507</v>
      </c>
      <c r="C238" s="191" t="s">
        <v>132</v>
      </c>
      <c r="D238" s="191"/>
      <c r="E238" s="191"/>
      <c r="F238" s="191" t="s">
        <v>640</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700</v>
      </c>
      <c r="AB238" s="108">
        <v>235</v>
      </c>
    </row>
    <row r="239" spans="2:28" x14ac:dyDescent="0.3">
      <c r="B239" s="191" t="s">
        <v>507</v>
      </c>
      <c r="C239" s="191" t="s">
        <v>133</v>
      </c>
      <c r="D239" s="191"/>
      <c r="E239" s="191"/>
      <c r="F239" s="191" t="s">
        <v>637</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507</v>
      </c>
      <c r="C240" s="191" t="s">
        <v>133</v>
      </c>
      <c r="D240" s="191"/>
      <c r="E240" s="191"/>
      <c r="F240" s="191" t="s">
        <v>640</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507</v>
      </c>
      <c r="C241" s="191" t="s">
        <v>134</v>
      </c>
      <c r="D241" s="191"/>
      <c r="E241" s="191"/>
      <c r="F241" s="191" t="s">
        <v>637</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507</v>
      </c>
      <c r="C242" s="191" t="s">
        <v>134</v>
      </c>
      <c r="D242" s="191"/>
      <c r="E242" s="191"/>
      <c r="F242" s="191" t="s">
        <v>640</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507</v>
      </c>
      <c r="C243" s="191" t="s">
        <v>135</v>
      </c>
      <c r="D243" s="191"/>
      <c r="E243" s="191"/>
      <c r="F243" s="191" t="s">
        <v>637</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700</v>
      </c>
      <c r="AB243" s="108">
        <v>193</v>
      </c>
    </row>
    <row r="244" spans="1:28" x14ac:dyDescent="0.3">
      <c r="B244" s="191" t="s">
        <v>507</v>
      </c>
      <c r="C244" s="191" t="s">
        <v>135</v>
      </c>
      <c r="D244" s="191"/>
      <c r="E244" s="191"/>
      <c r="F244" s="191" t="s">
        <v>640</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700</v>
      </c>
      <c r="AB244" s="108">
        <v>235</v>
      </c>
    </row>
    <row r="245" spans="1:28" x14ac:dyDescent="0.3">
      <c r="B245" s="191" t="s">
        <v>507</v>
      </c>
      <c r="C245" s="191" t="s">
        <v>136</v>
      </c>
      <c r="D245" s="191"/>
      <c r="E245" s="191"/>
      <c r="F245" s="191" t="s">
        <v>637</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507</v>
      </c>
      <c r="C246" s="191" t="s">
        <v>136</v>
      </c>
      <c r="D246" s="191"/>
      <c r="E246" s="191"/>
      <c r="F246" s="191" t="s">
        <v>640</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507</v>
      </c>
      <c r="C247" s="191" t="s">
        <v>137</v>
      </c>
      <c r="D247" s="191"/>
      <c r="E247" s="191"/>
      <c r="F247" s="191" t="s">
        <v>637</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507</v>
      </c>
      <c r="C248" s="546" t="s">
        <v>137</v>
      </c>
      <c r="D248" s="546"/>
      <c r="E248" s="546"/>
      <c r="F248" s="546" t="s">
        <v>640</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507</v>
      </c>
      <c r="C249" s="191" t="s">
        <v>139</v>
      </c>
      <c r="D249" s="191"/>
      <c r="E249" s="191"/>
      <c r="F249" s="191" t="s">
        <v>643</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507</v>
      </c>
      <c r="C250" s="191" t="s">
        <v>139</v>
      </c>
      <c r="D250" s="191"/>
      <c r="E250" s="191"/>
      <c r="F250" s="191" t="s">
        <v>646</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507</v>
      </c>
      <c r="C251" s="191" t="s">
        <v>140</v>
      </c>
      <c r="D251" s="191"/>
      <c r="E251" s="191"/>
      <c r="F251" s="191" t="s">
        <v>643</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507</v>
      </c>
      <c r="C252" s="191" t="s">
        <v>140</v>
      </c>
      <c r="D252" s="191"/>
      <c r="E252" s="191"/>
      <c r="F252" s="191" t="s">
        <v>646</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507</v>
      </c>
      <c r="C253" s="191" t="s">
        <v>141</v>
      </c>
      <c r="D253" s="191"/>
      <c r="E253" s="191"/>
      <c r="F253" s="191" t="s">
        <v>643</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507</v>
      </c>
      <c r="C254" s="191" t="s">
        <v>141</v>
      </c>
      <c r="D254" s="191"/>
      <c r="E254" s="191"/>
      <c r="F254" s="191" t="s">
        <v>646</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507</v>
      </c>
      <c r="C255" s="191" t="s">
        <v>142</v>
      </c>
      <c r="D255" s="191"/>
      <c r="E255" s="191"/>
      <c r="F255" s="191" t="s">
        <v>643</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507</v>
      </c>
      <c r="C256" s="191" t="s">
        <v>142</v>
      </c>
      <c r="D256" s="191"/>
      <c r="E256" s="191"/>
      <c r="F256" s="191" t="s">
        <v>646</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507</v>
      </c>
      <c r="C257" s="191" t="s">
        <v>143</v>
      </c>
      <c r="D257" s="191"/>
      <c r="E257" s="191"/>
      <c r="F257" s="191" t="s">
        <v>643</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507</v>
      </c>
      <c r="C258" s="191" t="s">
        <v>143</v>
      </c>
      <c r="D258" s="191"/>
      <c r="E258" s="191"/>
      <c r="F258" s="191" t="s">
        <v>646</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507</v>
      </c>
      <c r="C259" s="191" t="s">
        <v>144</v>
      </c>
      <c r="D259" s="191"/>
      <c r="E259" s="191"/>
      <c r="F259" s="191" t="s">
        <v>643</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507</v>
      </c>
      <c r="C260" s="191" t="s">
        <v>144</v>
      </c>
      <c r="D260" s="191"/>
      <c r="E260" s="191"/>
      <c r="F260" s="191" t="s">
        <v>646</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507</v>
      </c>
      <c r="C261" s="191" t="s">
        <v>145</v>
      </c>
      <c r="D261" s="191"/>
      <c r="E261" s="191"/>
      <c r="F261" s="191" t="s">
        <v>643</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507</v>
      </c>
      <c r="C262" s="191" t="s">
        <v>145</v>
      </c>
      <c r="D262" s="191"/>
      <c r="E262" s="191"/>
      <c r="F262" s="191" t="s">
        <v>646</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507</v>
      </c>
      <c r="C263" s="191" t="s">
        <v>146</v>
      </c>
      <c r="D263" s="191"/>
      <c r="E263" s="191"/>
      <c r="F263" s="191" t="s">
        <v>643</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507</v>
      </c>
      <c r="C264" s="191" t="s">
        <v>146</v>
      </c>
      <c r="D264" s="191"/>
      <c r="E264" s="191"/>
      <c r="F264" s="191" t="s">
        <v>646</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507</v>
      </c>
      <c r="C265" s="191" t="s">
        <v>147</v>
      </c>
      <c r="D265" s="191"/>
      <c r="E265" s="191"/>
      <c r="F265" s="191" t="s">
        <v>643</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507</v>
      </c>
      <c r="C266" s="191" t="s">
        <v>147</v>
      </c>
      <c r="D266" s="191"/>
      <c r="E266" s="191"/>
      <c r="F266" s="191" t="s">
        <v>646</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507</v>
      </c>
      <c r="C267" s="191" t="s">
        <v>148</v>
      </c>
      <c r="D267" s="191"/>
      <c r="E267" s="191"/>
      <c r="F267" s="191" t="s">
        <v>643</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723</v>
      </c>
      <c r="Y267" s="416">
        <f>Y261*0.95</f>
        <v>837.72727272727263</v>
      </c>
    </row>
    <row r="268" spans="1:25" s="19" customFormat="1" x14ac:dyDescent="0.3">
      <c r="B268" s="191" t="s">
        <v>507</v>
      </c>
      <c r="C268" s="191" t="s">
        <v>148</v>
      </c>
      <c r="D268" s="191"/>
      <c r="E268" s="191"/>
      <c r="F268" s="191" t="s">
        <v>646</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723</v>
      </c>
      <c r="Y268" s="416">
        <f>Y262*0.95</f>
        <v>1047.1590909090908</v>
      </c>
    </row>
    <row r="269" spans="1:25" s="23" customFormat="1" x14ac:dyDescent="0.3">
      <c r="B269" s="420" t="s">
        <v>507</v>
      </c>
      <c r="C269" s="420" t="s">
        <v>149</v>
      </c>
      <c r="D269" s="420"/>
      <c r="E269" s="420"/>
      <c r="F269" s="420" t="s">
        <v>643</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507</v>
      </c>
      <c r="C270" s="645" t="s">
        <v>149</v>
      </c>
      <c r="D270" s="645"/>
      <c r="E270" s="645"/>
      <c r="F270" s="645" t="s">
        <v>646</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507</v>
      </c>
      <c r="C271" s="191" t="s">
        <v>151</v>
      </c>
      <c r="D271" s="191"/>
      <c r="E271" s="191"/>
      <c r="F271" s="191" t="s">
        <v>649</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507</v>
      </c>
      <c r="C272" s="191" t="s">
        <v>151</v>
      </c>
      <c r="D272" s="191"/>
      <c r="E272" s="191"/>
      <c r="F272" s="191" t="s">
        <v>652</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507</v>
      </c>
      <c r="C273" s="191" t="s">
        <v>152</v>
      </c>
      <c r="D273" s="191"/>
      <c r="E273" s="191"/>
      <c r="F273" s="191" t="s">
        <v>649</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700</v>
      </c>
      <c r="AB273" s="108">
        <v>1080</v>
      </c>
    </row>
    <row r="274" spans="2:28" x14ac:dyDescent="0.3">
      <c r="B274" s="191" t="s">
        <v>507</v>
      </c>
      <c r="C274" s="191" t="s">
        <v>152</v>
      </c>
      <c r="D274" s="191"/>
      <c r="E274" s="191"/>
      <c r="F274" s="191" t="s">
        <v>652</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700</v>
      </c>
      <c r="AB274" s="108">
        <v>1080</v>
      </c>
    </row>
    <row r="275" spans="2:28" x14ac:dyDescent="0.3">
      <c r="B275" s="191" t="s">
        <v>507</v>
      </c>
      <c r="C275" s="191" t="s">
        <v>153</v>
      </c>
      <c r="D275" s="191"/>
      <c r="E275" s="191"/>
      <c r="F275" s="191" t="s">
        <v>649</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507</v>
      </c>
      <c r="C276" s="191" t="s">
        <v>153</v>
      </c>
      <c r="D276" s="191"/>
      <c r="E276" s="191"/>
      <c r="F276" s="191" t="s">
        <v>652</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507</v>
      </c>
      <c r="C277" s="191" t="s">
        <v>154</v>
      </c>
      <c r="D277" s="191"/>
      <c r="E277" s="191"/>
      <c r="F277" s="191" t="s">
        <v>649</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700</v>
      </c>
      <c r="AB277" s="108">
        <v>1190</v>
      </c>
    </row>
    <row r="278" spans="2:28" x14ac:dyDescent="0.3">
      <c r="B278" s="191" t="s">
        <v>507</v>
      </c>
      <c r="C278" s="191" t="s">
        <v>154</v>
      </c>
      <c r="D278" s="191"/>
      <c r="E278" s="191"/>
      <c r="F278" s="191" t="s">
        <v>652</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700</v>
      </c>
      <c r="AB278" s="108">
        <v>1190</v>
      </c>
    </row>
    <row r="279" spans="2:28" x14ac:dyDescent="0.3">
      <c r="B279" s="191" t="s">
        <v>507</v>
      </c>
      <c r="C279" s="191" t="s">
        <v>155</v>
      </c>
      <c r="D279" s="191"/>
      <c r="E279" s="191"/>
      <c r="F279" s="191" t="s">
        <v>649</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700</v>
      </c>
      <c r="AB279" s="108">
        <v>1300</v>
      </c>
    </row>
    <row r="280" spans="2:28" x14ac:dyDescent="0.3">
      <c r="B280" s="191" t="s">
        <v>507</v>
      </c>
      <c r="C280" s="191" t="s">
        <v>155</v>
      </c>
      <c r="D280" s="191"/>
      <c r="E280" s="191"/>
      <c r="F280" s="191" t="s">
        <v>652</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700</v>
      </c>
      <c r="AB280" s="108">
        <v>1300</v>
      </c>
    </row>
    <row r="281" spans="2:28" x14ac:dyDescent="0.3">
      <c r="B281" s="191" t="s">
        <v>507</v>
      </c>
      <c r="C281" s="191" t="s">
        <v>156</v>
      </c>
      <c r="D281" s="191"/>
      <c r="E281" s="191"/>
      <c r="F281" s="191" t="s">
        <v>649</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700</v>
      </c>
      <c r="AB281" s="108">
        <v>1190</v>
      </c>
    </row>
    <row r="282" spans="2:28" x14ac:dyDescent="0.3">
      <c r="B282" s="191" t="s">
        <v>507</v>
      </c>
      <c r="C282" s="191" t="s">
        <v>156</v>
      </c>
      <c r="D282" s="191"/>
      <c r="E282" s="191"/>
      <c r="F282" s="191" t="s">
        <v>652</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700</v>
      </c>
      <c r="AB282" s="108">
        <v>1190</v>
      </c>
    </row>
    <row r="283" spans="2:28" s="360" customFormat="1" x14ac:dyDescent="0.3">
      <c r="B283" s="191" t="s">
        <v>507</v>
      </c>
      <c r="C283" s="191" t="s">
        <v>157</v>
      </c>
      <c r="D283" s="191"/>
      <c r="E283" s="191"/>
      <c r="F283" s="191" t="s">
        <v>649</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507</v>
      </c>
      <c r="C284" s="191" t="s">
        <v>157</v>
      </c>
      <c r="D284" s="191"/>
      <c r="E284" s="191"/>
      <c r="F284" s="191" t="s">
        <v>652</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507</v>
      </c>
      <c r="C285" s="191" t="s">
        <v>158</v>
      </c>
      <c r="D285" s="191"/>
      <c r="E285" s="191"/>
      <c r="F285" s="191" t="s">
        <v>649</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507</v>
      </c>
      <c r="C286" s="191" t="s">
        <v>158</v>
      </c>
      <c r="D286" s="191"/>
      <c r="E286" s="191"/>
      <c r="F286" s="191" t="s">
        <v>652</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507</v>
      </c>
      <c r="C287" s="191" t="s">
        <v>159</v>
      </c>
      <c r="D287" s="191"/>
      <c r="E287" s="191"/>
      <c r="F287" s="191" t="s">
        <v>649</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507</v>
      </c>
      <c r="C288" s="191" t="s">
        <v>159</v>
      </c>
      <c r="D288" s="191"/>
      <c r="E288" s="191"/>
      <c r="F288" s="191" t="s">
        <v>652</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507</v>
      </c>
      <c r="C289" s="191" t="s">
        <v>160</v>
      </c>
      <c r="D289" s="191"/>
      <c r="E289" s="191"/>
      <c r="F289" s="191" t="s">
        <v>649</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723</v>
      </c>
      <c r="Y289" s="417">
        <f>Y283*0.95</f>
        <v>921.5</v>
      </c>
    </row>
    <row r="290" spans="2:25" s="360" customFormat="1" x14ac:dyDescent="0.3">
      <c r="B290" s="191" t="s">
        <v>507</v>
      </c>
      <c r="C290" s="191" t="s">
        <v>160</v>
      </c>
      <c r="D290" s="191"/>
      <c r="E290" s="191"/>
      <c r="F290" s="191" t="s">
        <v>652</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723</v>
      </c>
      <c r="Y290" s="417">
        <f>Y284*0.95</f>
        <v>1151.875</v>
      </c>
    </row>
    <row r="291" spans="2:25" s="643" customFormat="1" x14ac:dyDescent="0.3">
      <c r="B291" s="420" t="s">
        <v>507</v>
      </c>
      <c r="C291" s="420" t="s">
        <v>161</v>
      </c>
      <c r="D291" s="420"/>
      <c r="E291" s="420"/>
      <c r="F291" s="420" t="s">
        <v>649</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507</v>
      </c>
      <c r="C292" s="645" t="s">
        <v>161</v>
      </c>
      <c r="D292" s="645"/>
      <c r="E292" s="645"/>
      <c r="F292" s="645" t="s">
        <v>652</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507</v>
      </c>
      <c r="C293" s="191" t="s">
        <v>166</v>
      </c>
      <c r="D293" s="191"/>
      <c r="E293" s="191"/>
      <c r="F293" s="191" t="s">
        <v>510</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507</v>
      </c>
      <c r="C294" s="191" t="s">
        <v>167</v>
      </c>
      <c r="D294" s="191"/>
      <c r="E294" s="191"/>
      <c r="F294" s="191" t="s">
        <v>509</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7" spans="2:25" x14ac:dyDescent="0.3">
      <c r="B297" s="466" t="s">
        <v>728</v>
      </c>
      <c r="G297" s="457"/>
    </row>
    <row r="298" spans="2:25" s="3" customFormat="1" x14ac:dyDescent="0.3">
      <c r="B298" s="125" t="s">
        <v>463</v>
      </c>
      <c r="C298" s="125" t="s">
        <v>104</v>
      </c>
      <c r="D298" s="259" t="s">
        <v>465</v>
      </c>
      <c r="E298" s="125" t="s">
        <v>673</v>
      </c>
      <c r="F298" s="125" t="s">
        <v>674</v>
      </c>
      <c r="G298" s="160" t="s">
        <v>677</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676</v>
      </c>
      <c r="Y298" s="109" t="s">
        <v>677</v>
      </c>
    </row>
    <row r="299" spans="2:25" s="3" customFormat="1" x14ac:dyDescent="0.3">
      <c r="B299" s="125"/>
      <c r="C299" s="125"/>
      <c r="D299" s="125"/>
      <c r="E299" s="125"/>
      <c r="F299" s="125"/>
      <c r="G299" s="160" t="s">
        <v>678</v>
      </c>
      <c r="H299" s="160" t="s">
        <v>678</v>
      </c>
      <c r="I299" s="160" t="s">
        <v>678</v>
      </c>
      <c r="J299" s="160" t="s">
        <v>678</v>
      </c>
      <c r="K299" s="160" t="s">
        <v>678</v>
      </c>
      <c r="L299" s="160" t="s">
        <v>678</v>
      </c>
      <c r="M299" s="160" t="s">
        <v>678</v>
      </c>
      <c r="N299" s="160" t="s">
        <v>678</v>
      </c>
      <c r="O299" s="160" t="s">
        <v>678</v>
      </c>
      <c r="P299" s="160" t="s">
        <v>678</v>
      </c>
      <c r="Q299" s="160" t="s">
        <v>678</v>
      </c>
      <c r="R299" s="160" t="s">
        <v>678</v>
      </c>
      <c r="S299" s="160" t="s">
        <v>678</v>
      </c>
      <c r="T299" s="160" t="s">
        <v>678</v>
      </c>
      <c r="U299" s="160" t="s">
        <v>678</v>
      </c>
      <c r="V299" s="160" t="s">
        <v>678</v>
      </c>
      <c r="X299" s="109"/>
      <c r="Y299" s="109" t="s">
        <v>679</v>
      </c>
    </row>
    <row r="300" spans="2:25"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729</v>
      </c>
      <c r="Y300" s="462">
        <f>3.6*118172064/22334.6506570564</f>
        <v>19047.507701473412</v>
      </c>
    </row>
    <row r="301" spans="2:25"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729</v>
      </c>
      <c r="Y301" s="462">
        <f>3.6*812787000/332247.996132791</f>
        <v>8806.7745601407314</v>
      </c>
    </row>
    <row r="302" spans="2:25" x14ac:dyDescent="0.3">
      <c r="B302" s="186" t="s">
        <v>80</v>
      </c>
      <c r="C302" s="186" t="s">
        <v>218</v>
      </c>
      <c r="D302" s="271" t="s">
        <v>173</v>
      </c>
      <c r="E302" s="186"/>
      <c r="F302" s="186" t="s">
        <v>511</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729</v>
      </c>
      <c r="Y302" s="462">
        <f>3.6*74697000/176652.59</f>
        <v>1522.2488388084205</v>
      </c>
    </row>
    <row r="303" spans="2:25" x14ac:dyDescent="0.3">
      <c r="B303" s="186" t="s">
        <v>80</v>
      </c>
      <c r="C303" s="186" t="s">
        <v>219</v>
      </c>
      <c r="D303" s="169" t="s">
        <v>174</v>
      </c>
      <c r="E303" s="186"/>
      <c r="F303" s="186" t="s">
        <v>513</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729</v>
      </c>
      <c r="Y303" s="462">
        <f>3.6*206929000/131218.71</f>
        <v>5677.1202826182334</v>
      </c>
    </row>
    <row r="304" spans="2:25"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730</v>
      </c>
      <c r="Y304" s="416">
        <v>1000</v>
      </c>
    </row>
    <row r="305" spans="2:27"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730</v>
      </c>
      <c r="Y305" s="416">
        <v>500</v>
      </c>
    </row>
    <row r="306" spans="2:27"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729</v>
      </c>
      <c r="Y306" s="462">
        <f>3.6*1481502000/1114315.34857937</f>
        <v>4786.2637868171787</v>
      </c>
    </row>
    <row r="307" spans="2:27"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x14ac:dyDescent="0.3">
      <c r="B309" s="466" t="s">
        <v>731</v>
      </c>
      <c r="G309" s="457"/>
    </row>
    <row r="310" spans="2:27" x14ac:dyDescent="0.3">
      <c r="B310" s="259" t="s">
        <v>463</v>
      </c>
      <c r="C310" s="259" t="s">
        <v>104</v>
      </c>
      <c r="D310" s="259" t="s">
        <v>465</v>
      </c>
      <c r="E310" s="259" t="s">
        <v>673</v>
      </c>
      <c r="F310" s="259" t="s">
        <v>674</v>
      </c>
      <c r="G310" s="160" t="s">
        <v>675</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676</v>
      </c>
      <c r="Y310" s="109" t="s">
        <v>677</v>
      </c>
    </row>
    <row r="311" spans="2:27" x14ac:dyDescent="0.3">
      <c r="B311" s="259"/>
      <c r="C311" s="259"/>
      <c r="D311" s="259"/>
      <c r="E311" s="259"/>
      <c r="F311" s="259"/>
      <c r="G311" s="160" t="s">
        <v>678</v>
      </c>
      <c r="H311" s="160" t="s">
        <v>678</v>
      </c>
      <c r="I311" s="160" t="s">
        <v>678</v>
      </c>
      <c r="J311" s="160" t="s">
        <v>678</v>
      </c>
      <c r="K311" s="160" t="s">
        <v>678</v>
      </c>
      <c r="L311" s="160" t="s">
        <v>678</v>
      </c>
      <c r="M311" s="160" t="s">
        <v>678</v>
      </c>
      <c r="N311" s="160" t="s">
        <v>678</v>
      </c>
      <c r="O311" s="160" t="s">
        <v>678</v>
      </c>
      <c r="P311" s="160" t="s">
        <v>678</v>
      </c>
      <c r="Q311" s="160" t="s">
        <v>678</v>
      </c>
      <c r="R311" s="160" t="s">
        <v>678</v>
      </c>
      <c r="S311" s="160" t="s">
        <v>678</v>
      </c>
      <c r="T311" s="160" t="s">
        <v>678</v>
      </c>
      <c r="U311" s="160" t="s">
        <v>678</v>
      </c>
      <c r="V311" s="160" t="s">
        <v>678</v>
      </c>
      <c r="X311" s="301"/>
      <c r="Y311" s="109" t="s">
        <v>732</v>
      </c>
    </row>
    <row r="312" spans="2:27" x14ac:dyDescent="0.3">
      <c r="B312" s="191" t="s">
        <v>81</v>
      </c>
      <c r="C312" s="191" t="s">
        <v>572</v>
      </c>
      <c r="D312" s="191" t="s">
        <v>519</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x14ac:dyDescent="0.3">
      <c r="B313" s="191" t="s">
        <v>81</v>
      </c>
      <c r="C313" s="191" t="s">
        <v>186</v>
      </c>
      <c r="D313" s="191" t="s">
        <v>733</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x14ac:dyDescent="0.3">
      <c r="B314" s="191" t="s">
        <v>81</v>
      </c>
      <c r="C314" s="191" t="s">
        <v>575</v>
      </c>
      <c r="D314" s="191" t="s">
        <v>520</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x14ac:dyDescent="0.3">
      <c r="B317" s="466" t="s">
        <v>734</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x14ac:dyDescent="0.3">
      <c r="B318" s="125" t="s">
        <v>463</v>
      </c>
      <c r="C318" s="125" t="s">
        <v>104</v>
      </c>
      <c r="D318" s="259" t="s">
        <v>465</v>
      </c>
      <c r="E318" s="125" t="s">
        <v>673</v>
      </c>
      <c r="F318" s="125" t="s">
        <v>674</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676</v>
      </c>
      <c r="Y318" s="109" t="s">
        <v>677</v>
      </c>
    </row>
    <row r="319" spans="2:27" s="3" customFormat="1" x14ac:dyDescent="0.3">
      <c r="B319" s="125"/>
      <c r="C319" s="125"/>
      <c r="D319" s="125"/>
      <c r="E319" s="125"/>
      <c r="F319" s="125"/>
      <c r="G319" s="160" t="s">
        <v>678</v>
      </c>
      <c r="H319" s="160" t="s">
        <v>678</v>
      </c>
      <c r="I319" s="160" t="s">
        <v>678</v>
      </c>
      <c r="J319" s="160" t="s">
        <v>678</v>
      </c>
      <c r="K319" s="160" t="s">
        <v>678</v>
      </c>
      <c r="L319" s="160" t="s">
        <v>678</v>
      </c>
      <c r="M319" s="160" t="s">
        <v>678</v>
      </c>
      <c r="N319" s="160" t="s">
        <v>678</v>
      </c>
      <c r="O319" s="160" t="s">
        <v>678</v>
      </c>
      <c r="P319" s="160" t="s">
        <v>678</v>
      </c>
      <c r="Q319" s="160" t="s">
        <v>678</v>
      </c>
      <c r="R319" s="160" t="s">
        <v>678</v>
      </c>
      <c r="S319" s="160" t="s">
        <v>678</v>
      </c>
      <c r="T319" s="160" t="s">
        <v>678</v>
      </c>
      <c r="U319" s="160" t="s">
        <v>678</v>
      </c>
      <c r="V319" s="160" t="s">
        <v>678</v>
      </c>
      <c r="X319" s="109"/>
      <c r="Y319" s="109" t="s">
        <v>679</v>
      </c>
    </row>
    <row r="320" spans="2:27" x14ac:dyDescent="0.3">
      <c r="B320" s="191" t="s">
        <v>82</v>
      </c>
      <c r="C320" s="191" t="s">
        <v>234</v>
      </c>
      <c r="D320" s="191" t="s">
        <v>525</v>
      </c>
      <c r="E320" s="420"/>
      <c r="F320" s="191" t="s">
        <v>735</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736</v>
      </c>
    </row>
    <row r="321" spans="2:33" x14ac:dyDescent="0.3">
      <c r="B321" s="191" t="s">
        <v>523</v>
      </c>
      <c r="C321" s="191" t="s">
        <v>236</v>
      </c>
      <c r="D321" s="191" t="s">
        <v>524</v>
      </c>
      <c r="E321" s="420"/>
      <c r="F321" s="191" t="s">
        <v>737</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736</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A151" zoomScale="80" zoomScaleNormal="80" workbookViewId="0">
      <selection activeCell="C172" sqref="C172"/>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738</v>
      </c>
      <c r="C3" s="25"/>
      <c r="D3" s="25"/>
      <c r="E3" s="25"/>
      <c r="F3" s="25"/>
      <c r="G3" s="25"/>
      <c r="H3" s="25"/>
      <c r="I3" s="25"/>
    </row>
    <row r="4" spans="2:9" s="14" customFormat="1" ht="21" customHeight="1" thickBot="1" x14ac:dyDescent="0.35">
      <c r="B4" s="261" t="s">
        <v>739</v>
      </c>
      <c r="C4" s="261" t="s">
        <v>104</v>
      </c>
      <c r="D4" s="261" t="s">
        <v>740</v>
      </c>
      <c r="E4" s="261" t="s">
        <v>741</v>
      </c>
      <c r="F4" s="262" t="s">
        <v>742</v>
      </c>
      <c r="G4" s="262" t="s">
        <v>743</v>
      </c>
      <c r="H4" s="262" t="s">
        <v>744</v>
      </c>
      <c r="I4" s="262" t="s">
        <v>745</v>
      </c>
    </row>
    <row r="5" spans="2:9" s="14" customFormat="1" ht="15" customHeight="1" x14ac:dyDescent="0.3">
      <c r="B5" s="254" t="str">
        <f>IF(TAV!K42="not in use","\I:","DMD")</f>
        <v>\I:</v>
      </c>
      <c r="C5" s="144" t="s">
        <v>236</v>
      </c>
      <c r="D5" s="144" t="s">
        <v>746</v>
      </c>
      <c r="E5" s="254" t="s">
        <v>747</v>
      </c>
      <c r="F5" s="254" t="s">
        <v>748</v>
      </c>
      <c r="G5" s="253"/>
      <c r="H5" s="252" t="s">
        <v>749</v>
      </c>
      <c r="I5" s="252" t="s">
        <v>750</v>
      </c>
    </row>
    <row r="6" spans="2:9" s="14" customFormat="1" ht="15" customHeight="1" x14ac:dyDescent="0.3">
      <c r="B6" s="254" t="str">
        <f>IF(TAV!K22="not in use","\I:","DMD")</f>
        <v>\I:</v>
      </c>
      <c r="C6" s="144" t="s">
        <v>234</v>
      </c>
      <c r="D6" s="144" t="s">
        <v>751</v>
      </c>
      <c r="E6" s="254" t="s">
        <v>747</v>
      </c>
      <c r="F6" s="254" t="s">
        <v>748</v>
      </c>
      <c r="G6" s="253"/>
      <c r="H6" s="252" t="s">
        <v>749</v>
      </c>
      <c r="I6" s="252" t="s">
        <v>750</v>
      </c>
    </row>
    <row r="7" spans="2:9" s="14" customFormat="1" ht="15" customHeight="1" x14ac:dyDescent="0.3">
      <c r="B7" s="254" t="str">
        <f>IF(TB!$L$182="not in use","\I:","DMD")</f>
        <v>DMD</v>
      </c>
      <c r="C7" s="144" t="s">
        <v>336</v>
      </c>
      <c r="D7" s="145" t="s">
        <v>752</v>
      </c>
      <c r="E7" s="254" t="s">
        <v>747</v>
      </c>
      <c r="F7" s="254" t="s">
        <v>748</v>
      </c>
      <c r="G7" s="254"/>
      <c r="H7" s="254" t="s">
        <v>749</v>
      </c>
      <c r="I7" s="255" t="s">
        <v>750</v>
      </c>
    </row>
    <row r="8" spans="2:9" s="14" customFormat="1" ht="15" customHeight="1" x14ac:dyDescent="0.3">
      <c r="B8" s="254" t="str">
        <f>IF(TB!$L$182="not in use","\I:","DMD")</f>
        <v>DMD</v>
      </c>
      <c r="C8" s="145" t="s">
        <v>337</v>
      </c>
      <c r="D8" s="145" t="s">
        <v>753</v>
      </c>
      <c r="E8" s="254" t="s">
        <v>747</v>
      </c>
      <c r="F8" s="254" t="s">
        <v>748</v>
      </c>
      <c r="G8" s="254"/>
      <c r="H8" s="254" t="s">
        <v>749</v>
      </c>
      <c r="I8" s="255" t="s">
        <v>750</v>
      </c>
    </row>
    <row r="9" spans="2:9" s="14" customFormat="1" ht="15" customHeight="1" x14ac:dyDescent="0.3">
      <c r="B9" s="254" t="str">
        <f>IF(TB!$L$182="not in use","\I:","DMD")</f>
        <v>DMD</v>
      </c>
      <c r="C9" s="145" t="s">
        <v>338</v>
      </c>
      <c r="D9" s="146" t="s">
        <v>754</v>
      </c>
      <c r="E9" s="254" t="s">
        <v>747</v>
      </c>
      <c r="F9" s="254" t="s">
        <v>748</v>
      </c>
      <c r="G9" s="254"/>
      <c r="H9" s="254" t="s">
        <v>749</v>
      </c>
      <c r="I9" s="255" t="s">
        <v>750</v>
      </c>
    </row>
    <row r="10" spans="2:9" s="14" customFormat="1" ht="15" customHeight="1" x14ac:dyDescent="0.3">
      <c r="B10" s="254" t="str">
        <f>IF(TB!$L$182="not in use","\I:","DMD")</f>
        <v>DMD</v>
      </c>
      <c r="C10" s="145" t="s">
        <v>339</v>
      </c>
      <c r="D10" s="146" t="s">
        <v>755</v>
      </c>
      <c r="E10" s="254" t="s">
        <v>747</v>
      </c>
      <c r="F10" s="254" t="s">
        <v>748</v>
      </c>
      <c r="G10" s="254"/>
      <c r="H10" s="254" t="s">
        <v>749</v>
      </c>
      <c r="I10" s="255" t="s">
        <v>750</v>
      </c>
    </row>
    <row r="11" spans="2:9" s="14" customFormat="1" ht="15" customHeight="1" x14ac:dyDescent="0.3">
      <c r="B11" s="254" t="str">
        <f>IF(TB!$L$182="not in use","\I:","DMD")</f>
        <v>DMD</v>
      </c>
      <c r="C11" s="145" t="s">
        <v>340</v>
      </c>
      <c r="D11" s="146" t="s">
        <v>756</v>
      </c>
      <c r="E11" s="254" t="s">
        <v>747</v>
      </c>
      <c r="F11" s="254" t="s">
        <v>748</v>
      </c>
      <c r="G11" s="254"/>
      <c r="H11" s="254" t="s">
        <v>749</v>
      </c>
      <c r="I11" s="255" t="s">
        <v>750</v>
      </c>
    </row>
    <row r="12" spans="2:9" s="14" customFormat="1" ht="15" customHeight="1" x14ac:dyDescent="0.3">
      <c r="B12" s="254" t="str">
        <f>IF(TB!$L$182="not in use","\I:","DMD")</f>
        <v>DMD</v>
      </c>
      <c r="C12" s="145" t="s">
        <v>341</v>
      </c>
      <c r="D12" s="145" t="s">
        <v>757</v>
      </c>
      <c r="E12" s="254" t="s">
        <v>747</v>
      </c>
      <c r="F12" s="254" t="s">
        <v>748</v>
      </c>
      <c r="G12" s="254"/>
      <c r="H12" s="254" t="s">
        <v>749</v>
      </c>
      <c r="I12" s="255" t="s">
        <v>750</v>
      </c>
    </row>
    <row r="13" spans="2:9" s="14" customFormat="1" ht="15" customHeight="1" x14ac:dyDescent="0.3">
      <c r="B13" s="254" t="str">
        <f>IF(TB!$L$182="not in use","\I:","DMD")</f>
        <v>DMD</v>
      </c>
      <c r="C13" s="145" t="s">
        <v>342</v>
      </c>
      <c r="D13" s="145" t="s">
        <v>758</v>
      </c>
      <c r="E13" s="254" t="s">
        <v>747</v>
      </c>
      <c r="F13" s="254" t="s">
        <v>748</v>
      </c>
      <c r="G13" s="254"/>
      <c r="H13" s="254" t="s">
        <v>749</v>
      </c>
      <c r="I13" s="255" t="s">
        <v>750</v>
      </c>
    </row>
    <row r="14" spans="2:9" s="14" customFormat="1" ht="15" customHeight="1" x14ac:dyDescent="0.3">
      <c r="B14" s="254" t="str">
        <f>IF(TB!$L$182="not in use","\I:","DMD")</f>
        <v>DMD</v>
      </c>
      <c r="C14" s="145" t="s">
        <v>343</v>
      </c>
      <c r="D14" s="145" t="s">
        <v>759</v>
      </c>
      <c r="E14" s="254" t="s">
        <v>747</v>
      </c>
      <c r="F14" s="254" t="s">
        <v>748</v>
      </c>
      <c r="G14" s="254"/>
      <c r="H14" s="254" t="s">
        <v>749</v>
      </c>
      <c r="I14" s="255" t="s">
        <v>750</v>
      </c>
    </row>
    <row r="15" spans="2:9" s="14" customFormat="1" ht="15" customHeight="1" x14ac:dyDescent="0.3">
      <c r="B15" s="254" t="str">
        <f>IF(TB!$L$182="not in use","\I:","DMD")</f>
        <v>DMD</v>
      </c>
      <c r="C15" s="145" t="s">
        <v>344</v>
      </c>
      <c r="D15" s="145" t="s">
        <v>760</v>
      </c>
      <c r="E15" s="254" t="s">
        <v>747</v>
      </c>
      <c r="F15" s="254" t="s">
        <v>748</v>
      </c>
      <c r="G15" s="254"/>
      <c r="H15" s="254" t="s">
        <v>749</v>
      </c>
      <c r="I15" s="255" t="s">
        <v>750</v>
      </c>
    </row>
    <row r="16" spans="2:9" s="14" customFormat="1" ht="15" customHeight="1" x14ac:dyDescent="0.3">
      <c r="B16" s="254" t="str">
        <f>IF(TB!$L$182="not in use","\I:","DMD")</f>
        <v>DMD</v>
      </c>
      <c r="C16" s="145" t="s">
        <v>345</v>
      </c>
      <c r="D16" s="145" t="s">
        <v>761</v>
      </c>
      <c r="E16" s="254" t="s">
        <v>747</v>
      </c>
      <c r="F16" s="254" t="s">
        <v>748</v>
      </c>
      <c r="G16" s="254"/>
      <c r="H16" s="254" t="s">
        <v>749</v>
      </c>
      <c r="I16" s="255" t="s">
        <v>750</v>
      </c>
    </row>
    <row r="17" spans="1:13" s="14" customFormat="1" ht="15" customHeight="1" x14ac:dyDescent="0.3">
      <c r="B17" s="254" t="str">
        <f>IF(TB!$L$182="not in use","\I:","DMD")</f>
        <v>DMD</v>
      </c>
      <c r="C17" s="145" t="s">
        <v>346</v>
      </c>
      <c r="D17" s="145" t="s">
        <v>762</v>
      </c>
      <c r="E17" s="254" t="s">
        <v>747</v>
      </c>
      <c r="F17" s="254" t="s">
        <v>748</v>
      </c>
      <c r="G17" s="254"/>
      <c r="H17" s="254" t="s">
        <v>749</v>
      </c>
      <c r="I17" s="255" t="s">
        <v>750</v>
      </c>
    </row>
    <row r="18" spans="1:13" s="14" customFormat="1" ht="15" customHeight="1" x14ac:dyDescent="0.3">
      <c r="A18" s="102"/>
      <c r="B18" s="254" t="str">
        <f>IF(TB!$L$32="not in use","\I:","DMD")</f>
        <v>\I:</v>
      </c>
      <c r="C18" s="145" t="s">
        <v>325</v>
      </c>
      <c r="D18" s="145" t="s">
        <v>763</v>
      </c>
      <c r="E18" s="254" t="s">
        <v>747</v>
      </c>
      <c r="F18" s="254" t="s">
        <v>748</v>
      </c>
      <c r="G18" s="254"/>
      <c r="H18" s="254" t="s">
        <v>749</v>
      </c>
      <c r="I18" s="255" t="s">
        <v>750</v>
      </c>
    </row>
    <row r="19" spans="1:13" s="14" customFormat="1" ht="15" customHeight="1" x14ac:dyDescent="0.3">
      <c r="B19" s="254" t="str">
        <f>IF(TB!$L$32="not in use","\I:","DMD")</f>
        <v>\I:</v>
      </c>
      <c r="C19" s="145" t="s">
        <v>326</v>
      </c>
      <c r="D19" s="145" t="s">
        <v>764</v>
      </c>
      <c r="E19" s="254" t="s">
        <v>747</v>
      </c>
      <c r="F19" s="254" t="s">
        <v>748</v>
      </c>
      <c r="G19" s="254"/>
      <c r="H19" s="254" t="s">
        <v>749</v>
      </c>
      <c r="I19" s="255" t="s">
        <v>750</v>
      </c>
    </row>
    <row r="20" spans="1:13" x14ac:dyDescent="0.3">
      <c r="B20" s="254" t="str">
        <f>IF(TB!$L$32="not in use","\I:","DMD")</f>
        <v>\I:</v>
      </c>
      <c r="C20" s="145" t="s">
        <v>327</v>
      </c>
      <c r="D20" s="146" t="s">
        <v>765</v>
      </c>
      <c r="E20" s="254" t="s">
        <v>747</v>
      </c>
      <c r="F20" s="254" t="s">
        <v>748</v>
      </c>
      <c r="G20" s="254"/>
      <c r="H20" s="254" t="s">
        <v>749</v>
      </c>
      <c r="I20" s="255" t="s">
        <v>750</v>
      </c>
      <c r="L20" s="14"/>
      <c r="M20" s="14"/>
    </row>
    <row r="21" spans="1:13" s="14" customFormat="1" ht="15" customHeight="1" x14ac:dyDescent="0.3">
      <c r="B21" s="254" t="str">
        <f>IF(TB!$L$32="not in use","\I:","DMD")</f>
        <v>\I:</v>
      </c>
      <c r="C21" s="146" t="s">
        <v>328</v>
      </c>
      <c r="D21" s="146" t="s">
        <v>766</v>
      </c>
      <c r="E21" s="254" t="s">
        <v>747</v>
      </c>
      <c r="F21" s="254" t="s">
        <v>748</v>
      </c>
      <c r="G21" s="254"/>
      <c r="H21" s="254" t="s">
        <v>749</v>
      </c>
      <c r="I21" s="255" t="s">
        <v>750</v>
      </c>
    </row>
    <row r="22" spans="1:13" x14ac:dyDescent="0.3">
      <c r="B22" s="254" t="str">
        <f>IF(TB!$L$32="not in use","\I:","DMD")</f>
        <v>\I:</v>
      </c>
      <c r="C22" s="146" t="s">
        <v>329</v>
      </c>
      <c r="D22" s="146" t="s">
        <v>767</v>
      </c>
      <c r="E22" s="254" t="s">
        <v>747</v>
      </c>
      <c r="F22" s="254" t="s">
        <v>748</v>
      </c>
      <c r="G22" s="254"/>
      <c r="H22" s="254" t="s">
        <v>749</v>
      </c>
      <c r="I22" s="255" t="s">
        <v>750</v>
      </c>
      <c r="L22" s="14"/>
      <c r="M22" s="14"/>
    </row>
    <row r="23" spans="1:13" s="14" customFormat="1" ht="15" customHeight="1" x14ac:dyDescent="0.3">
      <c r="B23" s="254" t="str">
        <f>IF(TB!$L$32="not in use","\I:","DMD")</f>
        <v>\I:</v>
      </c>
      <c r="C23" s="145" t="s">
        <v>330</v>
      </c>
      <c r="D23" s="145" t="s">
        <v>768</v>
      </c>
      <c r="E23" s="254" t="s">
        <v>747</v>
      </c>
      <c r="F23" s="254" t="s">
        <v>748</v>
      </c>
      <c r="G23" s="254"/>
      <c r="H23" s="254" t="s">
        <v>749</v>
      </c>
      <c r="I23" s="255" t="s">
        <v>750</v>
      </c>
    </row>
    <row r="24" spans="1:13" s="14" customFormat="1" x14ac:dyDescent="0.3">
      <c r="B24" s="254" t="str">
        <f>IF(TB!$L$32="not in use","\I:","DMD")</f>
        <v>\I:</v>
      </c>
      <c r="C24" s="145" t="s">
        <v>331</v>
      </c>
      <c r="D24" s="145" t="s">
        <v>769</v>
      </c>
      <c r="E24" s="254" t="s">
        <v>747</v>
      </c>
      <c r="F24" s="254" t="s">
        <v>748</v>
      </c>
      <c r="G24" s="254"/>
      <c r="H24" s="254" t="s">
        <v>749</v>
      </c>
      <c r="I24" s="255" t="s">
        <v>750</v>
      </c>
    </row>
    <row r="25" spans="1:13" s="14" customFormat="1" ht="15" customHeight="1" x14ac:dyDescent="0.3">
      <c r="B25" s="254" t="str">
        <f>IF(TB!$L$32="not in use","\I:","DMD")</f>
        <v>\I:</v>
      </c>
      <c r="C25" s="145" t="s">
        <v>332</v>
      </c>
      <c r="D25" s="145" t="s">
        <v>770</v>
      </c>
      <c r="E25" s="254" t="s">
        <v>747</v>
      </c>
      <c r="F25" s="254" t="s">
        <v>748</v>
      </c>
      <c r="G25" s="254"/>
      <c r="H25" s="254" t="s">
        <v>749</v>
      </c>
      <c r="I25" s="255" t="s">
        <v>750</v>
      </c>
    </row>
    <row r="26" spans="1:13" s="14" customFormat="1" ht="15" customHeight="1" x14ac:dyDescent="0.3">
      <c r="B26" s="254" t="str">
        <f>IF(TB!$L$32="not in use","\I:","DMD")</f>
        <v>\I:</v>
      </c>
      <c r="C26" s="145" t="s">
        <v>333</v>
      </c>
      <c r="D26" s="145" t="s">
        <v>771</v>
      </c>
      <c r="E26" s="254" t="s">
        <v>747</v>
      </c>
      <c r="F26" s="254" t="s">
        <v>748</v>
      </c>
      <c r="G26" s="254"/>
      <c r="H26" s="254" t="s">
        <v>749</v>
      </c>
      <c r="I26" s="255" t="s">
        <v>750</v>
      </c>
    </row>
    <row r="27" spans="1:13" s="14" customFormat="1" ht="15" customHeight="1" x14ac:dyDescent="0.3">
      <c r="B27" s="254" t="str">
        <f>IF(TB!$L$32="not in use","\I:","DMD")</f>
        <v>\I:</v>
      </c>
      <c r="C27" s="145" t="s">
        <v>334</v>
      </c>
      <c r="D27" s="145" t="s">
        <v>772</v>
      </c>
      <c r="E27" s="254" t="s">
        <v>747</v>
      </c>
      <c r="F27" s="254" t="s">
        <v>748</v>
      </c>
      <c r="G27" s="254"/>
      <c r="H27" s="254" t="s">
        <v>749</v>
      </c>
      <c r="I27" s="255" t="s">
        <v>750</v>
      </c>
      <c r="L27"/>
      <c r="M27"/>
    </row>
    <row r="28" spans="1:13" s="14" customFormat="1" ht="15" customHeight="1" x14ac:dyDescent="0.3">
      <c r="B28" s="254" t="str">
        <f>IF(TB!$L$32="not in use","\I:","DMD")</f>
        <v>\I:</v>
      </c>
      <c r="C28" s="145" t="s">
        <v>335</v>
      </c>
      <c r="D28" s="145" t="s">
        <v>773</v>
      </c>
      <c r="E28" s="254" t="s">
        <v>747</v>
      </c>
      <c r="F28" s="254" t="s">
        <v>748</v>
      </c>
      <c r="G28" s="254"/>
      <c r="H28" s="254" t="s">
        <v>749</v>
      </c>
      <c r="I28" s="255" t="s">
        <v>750</v>
      </c>
    </row>
    <row r="29" spans="1:13" s="14" customFormat="1" ht="15" customHeight="1" x14ac:dyDescent="0.3">
      <c r="B29" s="254" t="str">
        <f>IF(TC_Private!$L$29="not in use","\I:","DMD")</f>
        <v>DMD</v>
      </c>
      <c r="C29" s="145" t="s">
        <v>302</v>
      </c>
      <c r="D29" s="145" t="s">
        <v>774</v>
      </c>
      <c r="E29" s="254" t="s">
        <v>747</v>
      </c>
      <c r="F29" s="254" t="s">
        <v>748</v>
      </c>
      <c r="G29" s="254"/>
      <c r="H29" s="254" t="s">
        <v>749</v>
      </c>
      <c r="I29" s="255" t="s">
        <v>750</v>
      </c>
      <c r="L29"/>
      <c r="M29"/>
    </row>
    <row r="30" spans="1:13" s="14" customFormat="1" ht="15" customHeight="1" x14ac:dyDescent="0.3">
      <c r="B30" s="254" t="str">
        <f>IF(TC_Pool!$L$27="not in use","\I:","DMD")</f>
        <v>\I:</v>
      </c>
      <c r="C30" s="145" t="s">
        <v>313</v>
      </c>
      <c r="D30" s="145" t="s">
        <v>775</v>
      </c>
      <c r="E30" s="254" t="s">
        <v>747</v>
      </c>
      <c r="F30" s="254" t="s">
        <v>748</v>
      </c>
      <c r="G30" s="254"/>
      <c r="H30" s="254" t="s">
        <v>749</v>
      </c>
      <c r="I30" s="255" t="s">
        <v>750</v>
      </c>
    </row>
    <row r="31" spans="1:13" s="14" customFormat="1" ht="15" customHeight="1" x14ac:dyDescent="0.3">
      <c r="B31" s="254" t="str">
        <f>IF(TC_City!$L$29="not in use","\I:","DMD")</f>
        <v>\I:</v>
      </c>
      <c r="C31" s="145" t="s">
        <v>529</v>
      </c>
      <c r="D31" s="145" t="s">
        <v>776</v>
      </c>
      <c r="E31" s="254" t="s">
        <v>747</v>
      </c>
      <c r="F31" s="254" t="s">
        <v>748</v>
      </c>
      <c r="G31" s="254"/>
      <c r="H31" s="254" t="s">
        <v>749</v>
      </c>
      <c r="I31" s="255" t="s">
        <v>750</v>
      </c>
    </row>
    <row r="32" spans="1:13" s="14" customFormat="1" ht="15" customHeight="1" x14ac:dyDescent="0.3">
      <c r="B32" s="254" t="str">
        <f>IF(TC_Private!$L$29="not in use","\I:","DMD")</f>
        <v>DMD</v>
      </c>
      <c r="C32" s="146" t="s">
        <v>303</v>
      </c>
      <c r="D32" s="146" t="s">
        <v>777</v>
      </c>
      <c r="E32" s="254" t="s">
        <v>747</v>
      </c>
      <c r="F32" s="254" t="s">
        <v>748</v>
      </c>
      <c r="G32" s="254"/>
      <c r="H32" s="254" t="s">
        <v>749</v>
      </c>
      <c r="I32" s="255" t="s">
        <v>750</v>
      </c>
    </row>
    <row r="33" spans="2:13" s="14" customFormat="1" ht="15" customHeight="1" x14ac:dyDescent="0.3">
      <c r="B33" s="254" t="str">
        <f>IF(TC_Pool!$L$27="not in use","\I:","DMD")</f>
        <v>\I:</v>
      </c>
      <c r="C33" s="146" t="s">
        <v>314</v>
      </c>
      <c r="D33" s="146" t="s">
        <v>778</v>
      </c>
      <c r="E33" s="254" t="s">
        <v>747</v>
      </c>
      <c r="F33" s="254" t="s">
        <v>748</v>
      </c>
      <c r="G33" s="254"/>
      <c r="H33" s="254" t="s">
        <v>749</v>
      </c>
      <c r="I33" s="255" t="s">
        <v>750</v>
      </c>
    </row>
    <row r="34" spans="2:13" s="14" customFormat="1" ht="15" customHeight="1" x14ac:dyDescent="0.3">
      <c r="B34" s="254" t="str">
        <f>IF(TC_City!$L$29="not in use","\I:","DMD")</f>
        <v>\I:</v>
      </c>
      <c r="C34" s="146" t="s">
        <v>530</v>
      </c>
      <c r="D34" s="146" t="s">
        <v>779</v>
      </c>
      <c r="E34" s="254" t="s">
        <v>747</v>
      </c>
      <c r="F34" s="254" t="s">
        <v>748</v>
      </c>
      <c r="G34" s="254"/>
      <c r="H34" s="254" t="s">
        <v>749</v>
      </c>
      <c r="I34" s="255" t="s">
        <v>750</v>
      </c>
    </row>
    <row r="35" spans="2:13" s="14" customFormat="1" ht="15" customHeight="1" x14ac:dyDescent="0.3">
      <c r="B35" s="254" t="str">
        <f>IF(TC_Private!$L$29="not in use","\I:","DMD")</f>
        <v>DMD</v>
      </c>
      <c r="C35" s="146" t="s">
        <v>304</v>
      </c>
      <c r="D35" s="146" t="s">
        <v>780</v>
      </c>
      <c r="E35" s="254" t="s">
        <v>747</v>
      </c>
      <c r="F35" s="254" t="s">
        <v>748</v>
      </c>
      <c r="G35" s="254"/>
      <c r="H35" s="254" t="s">
        <v>749</v>
      </c>
      <c r="I35" s="255" t="s">
        <v>750</v>
      </c>
    </row>
    <row r="36" spans="2:13" s="14" customFormat="1" ht="15" customHeight="1" x14ac:dyDescent="0.3">
      <c r="B36" s="254" t="str">
        <f>IF(TC_Pool!$L$27="not in use","\I:","DMD")</f>
        <v>\I:</v>
      </c>
      <c r="C36" s="146" t="s">
        <v>315</v>
      </c>
      <c r="D36" s="146" t="s">
        <v>781</v>
      </c>
      <c r="E36" s="254" t="s">
        <v>747</v>
      </c>
      <c r="F36" s="254" t="s">
        <v>748</v>
      </c>
      <c r="G36" s="254"/>
      <c r="H36" s="254" t="s">
        <v>749</v>
      </c>
      <c r="I36" s="255" t="s">
        <v>750</v>
      </c>
    </row>
    <row r="37" spans="2:13" s="14" customFormat="1" ht="15" customHeight="1" x14ac:dyDescent="0.3">
      <c r="B37" s="254" t="str">
        <f>IF(TC_City!$L$29="not in use","\I:","DMD")</f>
        <v>\I:</v>
      </c>
      <c r="C37" s="146" t="s">
        <v>531</v>
      </c>
      <c r="D37" s="146" t="s">
        <v>782</v>
      </c>
      <c r="E37" s="254" t="s">
        <v>747</v>
      </c>
      <c r="F37" s="254" t="s">
        <v>748</v>
      </c>
      <c r="G37" s="254"/>
      <c r="H37" s="254" t="s">
        <v>749</v>
      </c>
      <c r="I37" s="255" t="s">
        <v>750</v>
      </c>
    </row>
    <row r="38" spans="2:13" s="14" customFormat="1" ht="15" customHeight="1" x14ac:dyDescent="0.3">
      <c r="B38" s="254" t="str">
        <f>IF(TC_Private!$L$29="not in use","\I:","DMD")</f>
        <v>DMD</v>
      </c>
      <c r="C38" s="146" t="s">
        <v>305</v>
      </c>
      <c r="D38" s="146" t="s">
        <v>783</v>
      </c>
      <c r="E38" s="254" t="s">
        <v>747</v>
      </c>
      <c r="F38" s="254" t="s">
        <v>748</v>
      </c>
      <c r="G38" s="254"/>
      <c r="H38" s="254" t="s">
        <v>749</v>
      </c>
      <c r="I38" s="255" t="s">
        <v>750</v>
      </c>
    </row>
    <row r="39" spans="2:13" s="14" customFormat="1" ht="15" customHeight="1" x14ac:dyDescent="0.3">
      <c r="B39" s="254" t="str">
        <f>IF(TC_Pool!$L$27="not in use","\I:","DMD")</f>
        <v>\I:</v>
      </c>
      <c r="C39" s="146" t="s">
        <v>316</v>
      </c>
      <c r="D39" s="146" t="s">
        <v>784</v>
      </c>
      <c r="E39" s="254" t="s">
        <v>747</v>
      </c>
      <c r="F39" s="254" t="s">
        <v>748</v>
      </c>
      <c r="G39" s="254"/>
      <c r="H39" s="254" t="s">
        <v>749</v>
      </c>
      <c r="I39" s="255" t="s">
        <v>750</v>
      </c>
    </row>
    <row r="40" spans="2:13" s="14" customFormat="1" ht="15" customHeight="1" x14ac:dyDescent="0.3">
      <c r="B40" s="254" t="str">
        <f>IF(TC_City!$L$29="not in use","\I:","DMD")</f>
        <v>\I:</v>
      </c>
      <c r="C40" s="146" t="s">
        <v>532</v>
      </c>
      <c r="D40" s="146" t="s">
        <v>785</v>
      </c>
      <c r="E40" s="254" t="s">
        <v>747</v>
      </c>
      <c r="F40" s="254" t="s">
        <v>748</v>
      </c>
      <c r="G40" s="254"/>
      <c r="H40" s="254" t="s">
        <v>749</v>
      </c>
      <c r="I40" s="255" t="s">
        <v>750</v>
      </c>
    </row>
    <row r="41" spans="2:13" s="14" customFormat="1" ht="15" customHeight="1" x14ac:dyDescent="0.3">
      <c r="B41" s="254" t="str">
        <f>IF(TC_Private!$L$29="not in use","\I:","DMD")</f>
        <v>DMD</v>
      </c>
      <c r="C41" s="145" t="s">
        <v>306</v>
      </c>
      <c r="D41" s="145" t="s">
        <v>786</v>
      </c>
      <c r="E41" s="254" t="s">
        <v>747</v>
      </c>
      <c r="F41" s="254" t="s">
        <v>748</v>
      </c>
      <c r="G41" s="254"/>
      <c r="H41" s="254" t="s">
        <v>749</v>
      </c>
      <c r="I41" s="255" t="s">
        <v>750</v>
      </c>
    </row>
    <row r="42" spans="2:13" s="14" customFormat="1" ht="15" customHeight="1" x14ac:dyDescent="0.3">
      <c r="B42" s="254" t="str">
        <f>IF(TC_Pool!$L$27="not in use","\I:","DMD")</f>
        <v>\I:</v>
      </c>
      <c r="C42" s="145" t="s">
        <v>317</v>
      </c>
      <c r="D42" s="145" t="s">
        <v>787</v>
      </c>
      <c r="E42" s="254" t="s">
        <v>747</v>
      </c>
      <c r="F42" s="254" t="s">
        <v>748</v>
      </c>
      <c r="G42" s="254"/>
      <c r="H42" s="254" t="s">
        <v>749</v>
      </c>
      <c r="I42" s="255" t="s">
        <v>750</v>
      </c>
    </row>
    <row r="43" spans="2:13" s="14" customFormat="1" ht="15" customHeight="1" x14ac:dyDescent="0.3">
      <c r="B43" s="254" t="str">
        <f>IF(TC_City!$L$29="not in use","\I:","DMD")</f>
        <v>\I:</v>
      </c>
      <c r="C43" s="145" t="s">
        <v>533</v>
      </c>
      <c r="D43" s="145" t="s">
        <v>788</v>
      </c>
      <c r="E43" s="254" t="s">
        <v>747</v>
      </c>
      <c r="F43" s="254" t="s">
        <v>748</v>
      </c>
      <c r="G43" s="254"/>
      <c r="H43" s="254" t="s">
        <v>749</v>
      </c>
      <c r="I43" s="255" t="s">
        <v>750</v>
      </c>
    </row>
    <row r="44" spans="2:13" s="14" customFormat="1" ht="15" customHeight="1" x14ac:dyDescent="0.3">
      <c r="B44" s="254" t="str">
        <f>IF(TC_Private!$L$29="not in use","\I:","DMD")</f>
        <v>DMD</v>
      </c>
      <c r="C44" s="145" t="s">
        <v>307</v>
      </c>
      <c r="D44" s="145" t="s">
        <v>789</v>
      </c>
      <c r="E44" s="254" t="s">
        <v>747</v>
      </c>
      <c r="F44" s="254" t="s">
        <v>748</v>
      </c>
      <c r="G44" s="254"/>
      <c r="H44" s="254" t="s">
        <v>749</v>
      </c>
      <c r="I44" s="255" t="s">
        <v>750</v>
      </c>
    </row>
    <row r="45" spans="2:13" s="14" customFormat="1" ht="15" customHeight="1" x14ac:dyDescent="0.3">
      <c r="B45" s="254" t="str">
        <f>IF(TC_Pool!$L$27="not in use","\I:","DMD")</f>
        <v>\I:</v>
      </c>
      <c r="C45" s="145" t="s">
        <v>318</v>
      </c>
      <c r="D45" s="145" t="s">
        <v>790</v>
      </c>
      <c r="E45" s="254" t="s">
        <v>747</v>
      </c>
      <c r="F45" s="254" t="s">
        <v>748</v>
      </c>
      <c r="G45" s="254"/>
      <c r="H45" s="254" t="s">
        <v>749</v>
      </c>
      <c r="I45" s="255" t="s">
        <v>750</v>
      </c>
    </row>
    <row r="46" spans="2:13" x14ac:dyDescent="0.3">
      <c r="B46" s="254" t="str">
        <f>IF(TC_City!$L$29="not in use","\I:","DMD")</f>
        <v>\I:</v>
      </c>
      <c r="C46" s="145" t="s">
        <v>534</v>
      </c>
      <c r="D46" s="145" t="s">
        <v>791</v>
      </c>
      <c r="E46" s="254" t="s">
        <v>747</v>
      </c>
      <c r="F46" s="254" t="s">
        <v>748</v>
      </c>
      <c r="G46" s="254"/>
      <c r="H46" s="254" t="s">
        <v>749</v>
      </c>
      <c r="I46" s="255" t="s">
        <v>750</v>
      </c>
      <c r="L46" s="14"/>
      <c r="M46" s="14"/>
    </row>
    <row r="47" spans="2:13" s="14" customFormat="1" ht="15" customHeight="1" x14ac:dyDescent="0.3">
      <c r="B47" s="254" t="str">
        <f>IF(TC_Private!$L$29="not in use","\I:","DMD")</f>
        <v>DMD</v>
      </c>
      <c r="C47" s="145" t="s">
        <v>308</v>
      </c>
      <c r="D47" s="145" t="s">
        <v>792</v>
      </c>
      <c r="E47" s="254" t="s">
        <v>747</v>
      </c>
      <c r="F47" s="254" t="s">
        <v>748</v>
      </c>
      <c r="G47" s="254"/>
      <c r="H47" s="254" t="s">
        <v>749</v>
      </c>
      <c r="I47" s="255" t="s">
        <v>750</v>
      </c>
    </row>
    <row r="48" spans="2:13" s="14" customFormat="1" ht="15" customHeight="1" x14ac:dyDescent="0.3">
      <c r="B48" s="254" t="str">
        <f>IF(TC_Pool!$L$27="not in use","\I:","DMD")</f>
        <v>\I:</v>
      </c>
      <c r="C48" s="145" t="s">
        <v>319</v>
      </c>
      <c r="D48" s="145" t="s">
        <v>793</v>
      </c>
      <c r="E48" s="254" t="s">
        <v>747</v>
      </c>
      <c r="F48" s="254" t="s">
        <v>748</v>
      </c>
      <c r="G48" s="254"/>
      <c r="H48" s="254" t="s">
        <v>749</v>
      </c>
      <c r="I48" s="255" t="s">
        <v>750</v>
      </c>
    </row>
    <row r="49" spans="2:13" s="14" customFormat="1" ht="15" customHeight="1" x14ac:dyDescent="0.3">
      <c r="B49" s="254" t="str">
        <f>IF(TC_City!$L$29="not in use","\I:","DMD")</f>
        <v>\I:</v>
      </c>
      <c r="C49" s="145" t="s">
        <v>535</v>
      </c>
      <c r="D49" s="145" t="s">
        <v>794</v>
      </c>
      <c r="E49" s="254" t="s">
        <v>747</v>
      </c>
      <c r="F49" s="254" t="s">
        <v>748</v>
      </c>
      <c r="G49" s="254"/>
      <c r="H49" s="254" t="s">
        <v>749</v>
      </c>
      <c r="I49" s="255" t="s">
        <v>750</v>
      </c>
    </row>
    <row r="50" spans="2:13" s="14" customFormat="1" ht="15" customHeight="1" x14ac:dyDescent="0.3">
      <c r="B50" s="254" t="str">
        <f>IF(TC_Private!$L$29="not in use","\I:","DMD")</f>
        <v>DMD</v>
      </c>
      <c r="C50" s="146" t="s">
        <v>309</v>
      </c>
      <c r="D50" s="146" t="s">
        <v>795</v>
      </c>
      <c r="E50" s="254" t="s">
        <v>747</v>
      </c>
      <c r="F50" s="254" t="s">
        <v>748</v>
      </c>
      <c r="G50" s="254"/>
      <c r="H50" s="254" t="s">
        <v>749</v>
      </c>
      <c r="I50" s="255" t="s">
        <v>750</v>
      </c>
    </row>
    <row r="51" spans="2:13" s="14" customFormat="1" ht="15" customHeight="1" x14ac:dyDescent="0.3">
      <c r="B51" s="254" t="str">
        <f>IF(TC_Pool!$L$27="not in use","\I:","DMD")</f>
        <v>\I:</v>
      </c>
      <c r="C51" s="146" t="s">
        <v>320</v>
      </c>
      <c r="D51" s="146" t="s">
        <v>796</v>
      </c>
      <c r="E51" s="254" t="s">
        <v>747</v>
      </c>
      <c r="F51" s="254" t="s">
        <v>748</v>
      </c>
      <c r="G51" s="254"/>
      <c r="H51" s="254" t="s">
        <v>749</v>
      </c>
      <c r="I51" s="255" t="s">
        <v>750</v>
      </c>
      <c r="L51"/>
      <c r="M51"/>
    </row>
    <row r="52" spans="2:13" s="14" customFormat="1" ht="15" customHeight="1" x14ac:dyDescent="0.3">
      <c r="B52" s="254" t="str">
        <f>IF(TC_City!$L$29="not in use","\I:","DMD")</f>
        <v>\I:</v>
      </c>
      <c r="C52" s="146" t="s">
        <v>536</v>
      </c>
      <c r="D52" s="146" t="s">
        <v>797</v>
      </c>
      <c r="E52" s="254" t="s">
        <v>747</v>
      </c>
      <c r="F52" s="254" t="s">
        <v>748</v>
      </c>
      <c r="G52" s="254"/>
      <c r="H52" s="254" t="s">
        <v>749</v>
      </c>
      <c r="I52" s="255" t="s">
        <v>750</v>
      </c>
    </row>
    <row r="53" spans="2:13" s="14" customFormat="1" ht="15" customHeight="1" x14ac:dyDescent="0.3">
      <c r="B53" s="254" t="str">
        <f>IF(TC_Private!$L$29="not in use","\I:","DMD")</f>
        <v>DMD</v>
      </c>
      <c r="C53" s="146" t="s">
        <v>310</v>
      </c>
      <c r="D53" s="145" t="s">
        <v>798</v>
      </c>
      <c r="E53" s="254" t="s">
        <v>747</v>
      </c>
      <c r="F53" s="254" t="s">
        <v>748</v>
      </c>
      <c r="G53" s="254"/>
      <c r="H53" s="254" t="s">
        <v>749</v>
      </c>
      <c r="I53" s="255" t="s">
        <v>750</v>
      </c>
    </row>
    <row r="54" spans="2:13" s="14" customFormat="1" ht="15" customHeight="1" x14ac:dyDescent="0.3">
      <c r="B54" s="254" t="str">
        <f>IF(TC_Pool!$L$27="not in use","\I:","DMD")</f>
        <v>\I:</v>
      </c>
      <c r="C54" s="146" t="s">
        <v>321</v>
      </c>
      <c r="D54" s="145" t="s">
        <v>799</v>
      </c>
      <c r="E54" s="254" t="s">
        <v>747</v>
      </c>
      <c r="F54" s="254" t="s">
        <v>748</v>
      </c>
      <c r="G54" s="254"/>
      <c r="H54" s="254" t="s">
        <v>749</v>
      </c>
      <c r="I54" s="255" t="s">
        <v>750</v>
      </c>
    </row>
    <row r="55" spans="2:13" s="14" customFormat="1" ht="15" customHeight="1" x14ac:dyDescent="0.3">
      <c r="B55" s="254" t="str">
        <f>IF(TC_City!$L$29="not in use","\I:","DMD")</f>
        <v>\I:</v>
      </c>
      <c r="C55" s="146" t="s">
        <v>537</v>
      </c>
      <c r="D55" s="145" t="s">
        <v>800</v>
      </c>
      <c r="E55" s="254" t="s">
        <v>747</v>
      </c>
      <c r="F55" s="254" t="s">
        <v>748</v>
      </c>
      <c r="G55" s="254"/>
      <c r="H55" s="254" t="s">
        <v>749</v>
      </c>
      <c r="I55" s="255" t="s">
        <v>750</v>
      </c>
    </row>
    <row r="56" spans="2:13" s="14" customFormat="1" ht="15" customHeight="1" x14ac:dyDescent="0.3">
      <c r="B56" s="254" t="str">
        <f>IF(TC_Private!$L$29="not in use","\I:","DMD")</f>
        <v>DMD</v>
      </c>
      <c r="C56" s="146" t="s">
        <v>311</v>
      </c>
      <c r="D56" s="145" t="s">
        <v>801</v>
      </c>
      <c r="E56" s="254" t="s">
        <v>747</v>
      </c>
      <c r="F56" s="254" t="s">
        <v>748</v>
      </c>
      <c r="G56" s="254"/>
      <c r="H56" s="254" t="s">
        <v>749</v>
      </c>
      <c r="I56" s="255" t="s">
        <v>750</v>
      </c>
    </row>
    <row r="57" spans="2:13" s="14" customFormat="1" ht="15" customHeight="1" x14ac:dyDescent="0.3">
      <c r="B57" s="254" t="str">
        <f>IF(TC_Pool!$L$27="not in use","\I:","DMD")</f>
        <v>\I:</v>
      </c>
      <c r="C57" s="146" t="s">
        <v>322</v>
      </c>
      <c r="D57" s="145" t="s">
        <v>802</v>
      </c>
      <c r="E57" s="254" t="s">
        <v>747</v>
      </c>
      <c r="F57" s="254" t="s">
        <v>748</v>
      </c>
      <c r="G57" s="254"/>
      <c r="H57" s="254" t="s">
        <v>749</v>
      </c>
      <c r="I57" s="255" t="s">
        <v>750</v>
      </c>
    </row>
    <row r="58" spans="2:13" s="14" customFormat="1" ht="15" customHeight="1" x14ac:dyDescent="0.3">
      <c r="B58" s="254" t="str">
        <f>IF(TC_City!$L$29="not in use","\I:","DMD")</f>
        <v>\I:</v>
      </c>
      <c r="C58" s="146" t="s">
        <v>538</v>
      </c>
      <c r="D58" s="145" t="s">
        <v>803</v>
      </c>
      <c r="E58" s="254" t="s">
        <v>747</v>
      </c>
      <c r="F58" s="254" t="s">
        <v>748</v>
      </c>
      <c r="G58" s="254"/>
      <c r="H58" s="254" t="s">
        <v>749</v>
      </c>
      <c r="I58" s="255" t="s">
        <v>750</v>
      </c>
    </row>
    <row r="59" spans="2:13" s="14" customFormat="1" ht="15" customHeight="1" x14ac:dyDescent="0.3">
      <c r="B59" s="254" t="str">
        <f>IF(TF_Private!$L$43="not in use","\I:","DMD")</f>
        <v>DMD</v>
      </c>
      <c r="C59" s="146" t="s">
        <v>347</v>
      </c>
      <c r="D59" s="146" t="s">
        <v>804</v>
      </c>
      <c r="E59" s="254" t="s">
        <v>747</v>
      </c>
      <c r="F59" s="254" t="s">
        <v>748</v>
      </c>
      <c r="G59" s="254"/>
      <c r="H59" s="254" t="s">
        <v>749</v>
      </c>
      <c r="I59" s="255" t="s">
        <v>750</v>
      </c>
    </row>
    <row r="60" spans="2:13" s="14" customFormat="1" ht="15" customHeight="1" x14ac:dyDescent="0.3">
      <c r="B60" s="254" t="str">
        <f>IF(TF_City!$L$82="not in use","\I:","DMD")</f>
        <v>\I:</v>
      </c>
      <c r="C60" s="146" t="s">
        <v>127</v>
      </c>
      <c r="D60" s="146" t="s">
        <v>805</v>
      </c>
      <c r="E60" s="254" t="s">
        <v>747</v>
      </c>
      <c r="F60" s="254" t="s">
        <v>748</v>
      </c>
      <c r="G60" s="254"/>
      <c r="H60" s="254" t="s">
        <v>749</v>
      </c>
      <c r="I60" s="255" t="s">
        <v>750</v>
      </c>
    </row>
    <row r="61" spans="2:13" s="14" customFormat="1" ht="15" customHeight="1" x14ac:dyDescent="0.3">
      <c r="B61" s="254" t="str">
        <f>IF(TF_Private!$L$43="not in use","\I:","DMD")</f>
        <v>DMD</v>
      </c>
      <c r="C61" s="146" t="s">
        <v>348</v>
      </c>
      <c r="D61" s="146" t="s">
        <v>806</v>
      </c>
      <c r="E61" s="254" t="s">
        <v>747</v>
      </c>
      <c r="F61" s="254" t="s">
        <v>748</v>
      </c>
      <c r="G61" s="254"/>
      <c r="H61" s="254" t="s">
        <v>749</v>
      </c>
      <c r="I61" s="255" t="s">
        <v>750</v>
      </c>
    </row>
    <row r="62" spans="2:13" s="14" customFormat="1" ht="15" customHeight="1" x14ac:dyDescent="0.3">
      <c r="B62" s="254" t="str">
        <f>IF(TF_City!$L$82="not in use","\I:","DMD")</f>
        <v>\I:</v>
      </c>
      <c r="C62" s="146" t="s">
        <v>128</v>
      </c>
      <c r="D62" s="146" t="s">
        <v>807</v>
      </c>
      <c r="E62" s="254" t="s">
        <v>747</v>
      </c>
      <c r="F62" s="254" t="s">
        <v>748</v>
      </c>
      <c r="G62" s="254"/>
      <c r="H62" s="254" t="s">
        <v>749</v>
      </c>
      <c r="I62" s="255" t="s">
        <v>750</v>
      </c>
    </row>
    <row r="63" spans="2:13" s="14" customFormat="1" ht="15" customHeight="1" x14ac:dyDescent="0.3">
      <c r="B63" s="254" t="str">
        <f>IF(TF_Private!$L$43="not in use","\I:","DMD")</f>
        <v>DMD</v>
      </c>
      <c r="C63" s="146" t="s">
        <v>349</v>
      </c>
      <c r="D63" s="146" t="s">
        <v>808</v>
      </c>
      <c r="E63" s="254" t="s">
        <v>747</v>
      </c>
      <c r="F63" s="254" t="s">
        <v>748</v>
      </c>
      <c r="G63" s="254"/>
      <c r="H63" s="254" t="s">
        <v>749</v>
      </c>
      <c r="I63" s="255" t="s">
        <v>750</v>
      </c>
    </row>
    <row r="64" spans="2:13" s="14" customFormat="1" ht="15" customHeight="1" x14ac:dyDescent="0.3">
      <c r="B64" s="254" t="str">
        <f>IF(TF_City!$L$82="not in use","\I:","DMD")</f>
        <v>\I:</v>
      </c>
      <c r="C64" s="146" t="s">
        <v>129</v>
      </c>
      <c r="D64" s="146" t="s">
        <v>809</v>
      </c>
      <c r="E64" s="254" t="s">
        <v>747</v>
      </c>
      <c r="F64" s="254" t="s">
        <v>748</v>
      </c>
      <c r="G64" s="254"/>
      <c r="H64" s="254" t="s">
        <v>749</v>
      </c>
      <c r="I64" s="255" t="s">
        <v>750</v>
      </c>
    </row>
    <row r="65" spans="2:9" s="14" customFormat="1" ht="15" customHeight="1" x14ac:dyDescent="0.3">
      <c r="B65" s="254" t="str">
        <f>IF(TF_Private!$L$43="not in use","\I:","DMD")</f>
        <v>DMD</v>
      </c>
      <c r="C65" s="146" t="s">
        <v>350</v>
      </c>
      <c r="D65" s="146" t="s">
        <v>810</v>
      </c>
      <c r="E65" s="254" t="s">
        <v>747</v>
      </c>
      <c r="F65" s="254" t="s">
        <v>748</v>
      </c>
      <c r="G65" s="254"/>
      <c r="H65" s="254" t="s">
        <v>749</v>
      </c>
      <c r="I65" s="255" t="s">
        <v>750</v>
      </c>
    </row>
    <row r="66" spans="2:9" s="14" customFormat="1" ht="15" customHeight="1" x14ac:dyDescent="0.3">
      <c r="B66" s="254" t="str">
        <f>IF(TF_City!$L$82="not in use","\I:","DMD")</f>
        <v>\I:</v>
      </c>
      <c r="C66" s="146" t="s">
        <v>130</v>
      </c>
      <c r="D66" s="146" t="s">
        <v>811</v>
      </c>
      <c r="E66" s="254" t="s">
        <v>747</v>
      </c>
      <c r="F66" s="254" t="s">
        <v>748</v>
      </c>
      <c r="G66" s="254"/>
      <c r="H66" s="254" t="s">
        <v>749</v>
      </c>
      <c r="I66" s="255" t="s">
        <v>750</v>
      </c>
    </row>
    <row r="67" spans="2:9" s="14" customFormat="1" ht="15" customHeight="1" x14ac:dyDescent="0.3">
      <c r="B67" s="254" t="str">
        <f>IF(TF_Private!$L$43="not in use","\I:","DMD")</f>
        <v>DMD</v>
      </c>
      <c r="C67" s="146" t="s">
        <v>351</v>
      </c>
      <c r="D67" s="146" t="s">
        <v>812</v>
      </c>
      <c r="E67" s="254" t="s">
        <v>747</v>
      </c>
      <c r="F67" s="254" t="s">
        <v>748</v>
      </c>
      <c r="G67" s="254"/>
      <c r="H67" s="254" t="s">
        <v>749</v>
      </c>
      <c r="I67" s="255" t="s">
        <v>750</v>
      </c>
    </row>
    <row r="68" spans="2:9" s="14" customFormat="1" ht="15" customHeight="1" x14ac:dyDescent="0.3">
      <c r="B68" s="254" t="str">
        <f>IF(TF_City!$L$82="not in use","\I:","DMD")</f>
        <v>\I:</v>
      </c>
      <c r="C68" s="146" t="s">
        <v>131</v>
      </c>
      <c r="D68" s="146" t="s">
        <v>813</v>
      </c>
      <c r="E68" s="254" t="s">
        <v>747</v>
      </c>
      <c r="F68" s="254" t="s">
        <v>748</v>
      </c>
      <c r="G68" s="254"/>
      <c r="H68" s="254" t="s">
        <v>749</v>
      </c>
      <c r="I68" s="255" t="s">
        <v>750</v>
      </c>
    </row>
    <row r="69" spans="2:9" s="14" customFormat="1" ht="15" customHeight="1" x14ac:dyDescent="0.3">
      <c r="B69" s="254" t="str">
        <f>IF(TF_Private!$L$43="not in use","\I:","DMD")</f>
        <v>DMD</v>
      </c>
      <c r="C69" s="146" t="s">
        <v>352</v>
      </c>
      <c r="D69" s="146" t="s">
        <v>814</v>
      </c>
      <c r="E69" s="254" t="s">
        <v>747</v>
      </c>
      <c r="F69" s="254" t="s">
        <v>748</v>
      </c>
      <c r="G69" s="254"/>
      <c r="H69" s="254" t="s">
        <v>749</v>
      </c>
      <c r="I69" s="255" t="s">
        <v>750</v>
      </c>
    </row>
    <row r="70" spans="2:9" s="14" customFormat="1" ht="15" customHeight="1" x14ac:dyDescent="0.3">
      <c r="B70" s="254" t="str">
        <f>IF(TF_City!$L$82="not in use","\I:","DMD")</f>
        <v>\I:</v>
      </c>
      <c r="C70" s="146" t="s">
        <v>132</v>
      </c>
      <c r="D70" s="146" t="s">
        <v>815</v>
      </c>
      <c r="E70" s="254" t="s">
        <v>747</v>
      </c>
      <c r="F70" s="254" t="s">
        <v>748</v>
      </c>
      <c r="G70" s="254"/>
      <c r="H70" s="254" t="s">
        <v>749</v>
      </c>
      <c r="I70" s="255" t="s">
        <v>750</v>
      </c>
    </row>
    <row r="71" spans="2:9" s="14" customFormat="1" ht="15" customHeight="1" x14ac:dyDescent="0.3">
      <c r="B71" s="254" t="str">
        <f>IF(TF_Private!$L$43="not in use","\I:","DMD")</f>
        <v>DMD</v>
      </c>
      <c r="C71" s="146" t="s">
        <v>353</v>
      </c>
      <c r="D71" s="146" t="s">
        <v>816</v>
      </c>
      <c r="E71" s="254" t="s">
        <v>747</v>
      </c>
      <c r="F71" s="254" t="s">
        <v>748</v>
      </c>
      <c r="G71" s="254"/>
      <c r="H71" s="254" t="s">
        <v>749</v>
      </c>
      <c r="I71" s="255" t="s">
        <v>750</v>
      </c>
    </row>
    <row r="72" spans="2:9" s="14" customFormat="1" ht="15" customHeight="1" x14ac:dyDescent="0.3">
      <c r="B72" s="254" t="str">
        <f>IF(TF_City!$L$82="not in use","\I:","DMD")</f>
        <v>\I:</v>
      </c>
      <c r="C72" s="146" t="s">
        <v>133</v>
      </c>
      <c r="D72" s="146" t="s">
        <v>817</v>
      </c>
      <c r="E72" s="254" t="s">
        <v>747</v>
      </c>
      <c r="F72" s="254" t="s">
        <v>748</v>
      </c>
      <c r="G72" s="254"/>
      <c r="H72" s="254" t="s">
        <v>749</v>
      </c>
      <c r="I72" s="255" t="s">
        <v>750</v>
      </c>
    </row>
    <row r="73" spans="2:9" s="14" customFormat="1" ht="15" customHeight="1" x14ac:dyDescent="0.3">
      <c r="B73" s="254" t="str">
        <f>IF(TF_Private!$L$43="not in use","\I:","DMD")</f>
        <v>DMD</v>
      </c>
      <c r="C73" s="146" t="s">
        <v>354</v>
      </c>
      <c r="D73" s="146" t="s">
        <v>818</v>
      </c>
      <c r="E73" s="254" t="s">
        <v>747</v>
      </c>
      <c r="F73" s="254" t="s">
        <v>748</v>
      </c>
      <c r="G73" s="254"/>
      <c r="H73" s="254" t="s">
        <v>749</v>
      </c>
      <c r="I73" s="255" t="s">
        <v>750</v>
      </c>
    </row>
    <row r="74" spans="2:9" s="14" customFormat="1" ht="15" customHeight="1" x14ac:dyDescent="0.3">
      <c r="B74" s="254" t="str">
        <f>IF(TF_City!$L$82="not in use","\I:","DMD")</f>
        <v>\I:</v>
      </c>
      <c r="C74" s="146" t="s">
        <v>134</v>
      </c>
      <c r="D74" s="146" t="s">
        <v>819</v>
      </c>
      <c r="E74" s="254" t="s">
        <v>747</v>
      </c>
      <c r="F74" s="254" t="s">
        <v>748</v>
      </c>
      <c r="G74" s="254"/>
      <c r="H74" s="254" t="s">
        <v>749</v>
      </c>
      <c r="I74" s="255" t="s">
        <v>750</v>
      </c>
    </row>
    <row r="75" spans="2:9" s="14" customFormat="1" ht="15" customHeight="1" x14ac:dyDescent="0.3">
      <c r="B75" s="254" t="str">
        <f>IF(TF_Private!$L$43="not in use","\I:","DMD")</f>
        <v>DMD</v>
      </c>
      <c r="C75" s="146" t="s">
        <v>355</v>
      </c>
      <c r="D75" s="146" t="s">
        <v>820</v>
      </c>
      <c r="E75" s="254" t="s">
        <v>747</v>
      </c>
      <c r="F75" s="254" t="s">
        <v>748</v>
      </c>
      <c r="G75" s="254"/>
      <c r="H75" s="254" t="s">
        <v>749</v>
      </c>
      <c r="I75" s="255" t="s">
        <v>750</v>
      </c>
    </row>
    <row r="76" spans="2:9" s="14" customFormat="1" ht="15" customHeight="1" x14ac:dyDescent="0.3">
      <c r="B76" s="254" t="str">
        <f>IF(TF_City!$L$82="not in use","\I:","DMD")</f>
        <v>\I:</v>
      </c>
      <c r="C76" s="146" t="s">
        <v>135</v>
      </c>
      <c r="D76" s="146" t="s">
        <v>821</v>
      </c>
      <c r="E76" s="254" t="s">
        <v>747</v>
      </c>
      <c r="F76" s="254" t="s">
        <v>748</v>
      </c>
      <c r="G76" s="254"/>
      <c r="H76" s="254" t="s">
        <v>749</v>
      </c>
      <c r="I76" s="255" t="s">
        <v>750</v>
      </c>
    </row>
    <row r="77" spans="2:9" s="14" customFormat="1" ht="15" customHeight="1" x14ac:dyDescent="0.3">
      <c r="B77" s="254" t="str">
        <f>IF(TF_Private!$L$43="not in use","\I:","DMD")</f>
        <v>DMD</v>
      </c>
      <c r="C77" s="146" t="s">
        <v>356</v>
      </c>
      <c r="D77" s="146" t="s">
        <v>822</v>
      </c>
      <c r="E77" s="254" t="s">
        <v>747</v>
      </c>
      <c r="F77" s="254" t="s">
        <v>748</v>
      </c>
      <c r="G77" s="254"/>
      <c r="H77" s="254" t="s">
        <v>749</v>
      </c>
      <c r="I77" s="255" t="s">
        <v>750</v>
      </c>
    </row>
    <row r="78" spans="2:9" s="14" customFormat="1" ht="15" customHeight="1" x14ac:dyDescent="0.3">
      <c r="B78" s="254" t="str">
        <f>IF(TF_City!$L$82="not in use","\I:","DMD")</f>
        <v>\I:</v>
      </c>
      <c r="C78" s="146" t="s">
        <v>136</v>
      </c>
      <c r="D78" s="146" t="s">
        <v>823</v>
      </c>
      <c r="E78" s="254" t="s">
        <v>747</v>
      </c>
      <c r="F78" s="254" t="s">
        <v>748</v>
      </c>
      <c r="G78" s="254"/>
      <c r="H78" s="254" t="s">
        <v>749</v>
      </c>
      <c r="I78" s="255" t="s">
        <v>750</v>
      </c>
    </row>
    <row r="79" spans="2:9" s="14" customFormat="1" ht="15" customHeight="1" x14ac:dyDescent="0.3">
      <c r="B79" s="254" t="str">
        <f>IF(TF_Private!$L$43="not in use","\I:","DMD")</f>
        <v>DMD</v>
      </c>
      <c r="C79" s="146" t="s">
        <v>357</v>
      </c>
      <c r="D79" s="146" t="s">
        <v>824</v>
      </c>
      <c r="E79" s="254" t="s">
        <v>747</v>
      </c>
      <c r="F79" s="254" t="s">
        <v>748</v>
      </c>
      <c r="G79" s="254"/>
      <c r="H79" s="254" t="s">
        <v>749</v>
      </c>
      <c r="I79" s="255" t="s">
        <v>750</v>
      </c>
    </row>
    <row r="80" spans="2:9" s="14" customFormat="1" ht="15" customHeight="1" x14ac:dyDescent="0.3">
      <c r="B80" s="254" t="str">
        <f>IF(TF_City!$L$82="not in use","\I:","DMD")</f>
        <v>\I:</v>
      </c>
      <c r="C80" s="146" t="s">
        <v>137</v>
      </c>
      <c r="D80" s="146" t="s">
        <v>825</v>
      </c>
      <c r="E80" s="254" t="s">
        <v>747</v>
      </c>
      <c r="F80" s="254" t="s">
        <v>748</v>
      </c>
      <c r="G80" s="254"/>
      <c r="H80" s="254" t="s">
        <v>749</v>
      </c>
      <c r="I80" s="255" t="s">
        <v>750</v>
      </c>
    </row>
    <row r="81" spans="1:15" s="14" customFormat="1" ht="15" customHeight="1" x14ac:dyDescent="0.3">
      <c r="B81" s="254" t="str">
        <f>IF(TF_Private!$L$198="not in use","\I:","DMD")</f>
        <v>\I:</v>
      </c>
      <c r="C81" s="146" t="s">
        <v>358</v>
      </c>
      <c r="D81" s="146" t="s">
        <v>826</v>
      </c>
      <c r="E81" s="254" t="s">
        <v>747</v>
      </c>
      <c r="F81" s="254" t="s">
        <v>748</v>
      </c>
      <c r="G81" s="254"/>
      <c r="H81" s="254" t="s">
        <v>749</v>
      </c>
      <c r="I81" s="255" t="s">
        <v>750</v>
      </c>
    </row>
    <row r="82" spans="1:15" s="14" customFormat="1" ht="15" customHeight="1" x14ac:dyDescent="0.3">
      <c r="B82" s="254" t="str">
        <f>IF(TF_City!$L$231="not in use","\I:","DMD")</f>
        <v>\I:</v>
      </c>
      <c r="C82" s="146" t="s">
        <v>139</v>
      </c>
      <c r="D82" s="146" t="s">
        <v>827</v>
      </c>
      <c r="E82" s="254" t="s">
        <v>747</v>
      </c>
      <c r="F82" s="254" t="s">
        <v>748</v>
      </c>
      <c r="G82" s="254"/>
      <c r="H82" s="254" t="s">
        <v>749</v>
      </c>
      <c r="I82" s="255" t="s">
        <v>750</v>
      </c>
    </row>
    <row r="83" spans="1:15" s="14" customFormat="1" ht="15" customHeight="1" x14ac:dyDescent="0.3">
      <c r="B83" s="254" t="str">
        <f>IF(TF_Private!$L$198="not in use","\I:","DMD")</f>
        <v>\I:</v>
      </c>
      <c r="C83" s="146" t="s">
        <v>359</v>
      </c>
      <c r="D83" s="146" t="s">
        <v>828</v>
      </c>
      <c r="E83" s="254" t="s">
        <v>747</v>
      </c>
      <c r="F83" s="254" t="s">
        <v>748</v>
      </c>
      <c r="G83" s="254"/>
      <c r="H83" s="254" t="s">
        <v>749</v>
      </c>
      <c r="I83" s="255" t="s">
        <v>750</v>
      </c>
    </row>
    <row r="84" spans="1:15" s="14" customFormat="1" ht="15" customHeight="1" x14ac:dyDescent="0.3">
      <c r="B84" s="254" t="str">
        <f>IF(TF_City!$L$231="not in use","\I:","DMD")</f>
        <v>\I:</v>
      </c>
      <c r="C84" s="146" t="s">
        <v>140</v>
      </c>
      <c r="D84" s="146" t="s">
        <v>829</v>
      </c>
      <c r="E84" s="254" t="s">
        <v>747</v>
      </c>
      <c r="F84" s="254" t="s">
        <v>748</v>
      </c>
      <c r="G84" s="254"/>
      <c r="H84" s="254" t="s">
        <v>749</v>
      </c>
      <c r="I84" s="255" t="s">
        <v>750</v>
      </c>
    </row>
    <row r="85" spans="1:15" s="14" customFormat="1" ht="15" customHeight="1" x14ac:dyDescent="0.3">
      <c r="B85" s="254" t="str">
        <f>IF(TF_Private!$L$198="not in use","\I:","DMD")</f>
        <v>\I:</v>
      </c>
      <c r="C85" s="146" t="s">
        <v>360</v>
      </c>
      <c r="D85" s="146" t="s">
        <v>830</v>
      </c>
      <c r="E85" s="254" t="s">
        <v>747</v>
      </c>
      <c r="F85" s="254" t="s">
        <v>748</v>
      </c>
      <c r="G85" s="254"/>
      <c r="H85" s="254" t="s">
        <v>749</v>
      </c>
      <c r="I85" s="255" t="s">
        <v>750</v>
      </c>
    </row>
    <row r="86" spans="1:15" x14ac:dyDescent="0.3">
      <c r="A86" s="14"/>
      <c r="B86" s="254" t="str">
        <f>IF(TF_City!$L$231="not in use","\I:","DMD")</f>
        <v>\I:</v>
      </c>
      <c r="C86" s="146" t="s">
        <v>141</v>
      </c>
      <c r="D86" s="146" t="s">
        <v>831</v>
      </c>
      <c r="E86" s="254" t="s">
        <v>747</v>
      </c>
      <c r="F86" s="254" t="s">
        <v>748</v>
      </c>
      <c r="G86" s="254"/>
      <c r="H86" s="254" t="s">
        <v>749</v>
      </c>
      <c r="I86" s="255" t="s">
        <v>750</v>
      </c>
      <c r="J86" s="14"/>
      <c r="O86" s="14"/>
    </row>
    <row r="87" spans="1:15" s="14" customFormat="1" ht="15" customHeight="1" x14ac:dyDescent="0.3">
      <c r="B87" s="254" t="str">
        <f>IF(TF_Private!$L$198="not in use","\I:","DMD")</f>
        <v>\I:</v>
      </c>
      <c r="C87" s="146" t="s">
        <v>361</v>
      </c>
      <c r="D87" s="146" t="s">
        <v>832</v>
      </c>
      <c r="E87" s="254" t="s">
        <v>747</v>
      </c>
      <c r="F87" s="254" t="s">
        <v>748</v>
      </c>
      <c r="G87" s="254"/>
      <c r="H87" s="254" t="s">
        <v>749</v>
      </c>
      <c r="I87" s="255" t="s">
        <v>750</v>
      </c>
    </row>
    <row r="88" spans="1:15" s="14" customFormat="1" ht="15" customHeight="1" x14ac:dyDescent="0.3">
      <c r="B88" s="254" t="str">
        <f>IF(TF_City!$L$231="not in use","\I:","DMD")</f>
        <v>\I:</v>
      </c>
      <c r="C88" s="146" t="s">
        <v>142</v>
      </c>
      <c r="D88" s="146" t="s">
        <v>833</v>
      </c>
      <c r="E88" s="254" t="s">
        <v>747</v>
      </c>
      <c r="F88" s="254" t="s">
        <v>748</v>
      </c>
      <c r="G88" s="254"/>
      <c r="H88" s="254" t="s">
        <v>749</v>
      </c>
      <c r="I88" s="255" t="s">
        <v>750</v>
      </c>
    </row>
    <row r="89" spans="1:15" s="14" customFormat="1" ht="15" customHeight="1" x14ac:dyDescent="0.3">
      <c r="B89" s="254" t="str">
        <f>IF(TF_Private!$L$198="not in use","\I:","DMD")</f>
        <v>\I:</v>
      </c>
      <c r="C89" s="146" t="s">
        <v>362</v>
      </c>
      <c r="D89" s="146" t="s">
        <v>834</v>
      </c>
      <c r="E89" s="254" t="s">
        <v>747</v>
      </c>
      <c r="F89" s="254" t="s">
        <v>748</v>
      </c>
      <c r="G89" s="254"/>
      <c r="H89" s="254" t="s">
        <v>749</v>
      </c>
      <c r="I89" s="255" t="s">
        <v>750</v>
      </c>
    </row>
    <row r="90" spans="1:15" s="14" customFormat="1" ht="15" customHeight="1" x14ac:dyDescent="0.3">
      <c r="B90" s="254" t="str">
        <f>IF(TF_City!$L$231="not in use","\I:","DMD")</f>
        <v>\I:</v>
      </c>
      <c r="C90" s="146" t="s">
        <v>143</v>
      </c>
      <c r="D90" s="146" t="s">
        <v>835</v>
      </c>
      <c r="E90" s="254" t="s">
        <v>747</v>
      </c>
      <c r="F90" s="254" t="s">
        <v>748</v>
      </c>
      <c r="G90" s="254"/>
      <c r="H90" s="254" t="s">
        <v>749</v>
      </c>
      <c r="I90" s="255" t="s">
        <v>750</v>
      </c>
    </row>
    <row r="91" spans="1:15" s="14" customFormat="1" ht="15" customHeight="1" x14ac:dyDescent="0.3">
      <c r="B91" s="254" t="str">
        <f>IF(TF_Private!$L$198="not in use","\I:","DMD")</f>
        <v>\I:</v>
      </c>
      <c r="C91" s="146" t="s">
        <v>363</v>
      </c>
      <c r="D91" s="146" t="s">
        <v>836</v>
      </c>
      <c r="E91" s="254" t="s">
        <v>747</v>
      </c>
      <c r="F91" s="254" t="s">
        <v>748</v>
      </c>
      <c r="G91" s="254"/>
      <c r="H91" s="254" t="s">
        <v>749</v>
      </c>
      <c r="I91" s="255" t="s">
        <v>750</v>
      </c>
    </row>
    <row r="92" spans="1:15" s="14" customFormat="1" ht="15" customHeight="1" x14ac:dyDescent="0.3">
      <c r="B92" s="254" t="str">
        <f>IF(TF_City!$L$231="not in use","\I:","DMD")</f>
        <v>\I:</v>
      </c>
      <c r="C92" s="146" t="s">
        <v>144</v>
      </c>
      <c r="D92" s="146" t="s">
        <v>837</v>
      </c>
      <c r="E92" s="254" t="s">
        <v>747</v>
      </c>
      <c r="F92" s="254" t="s">
        <v>748</v>
      </c>
      <c r="G92" s="254"/>
      <c r="H92" s="254" t="s">
        <v>749</v>
      </c>
      <c r="I92" s="255" t="s">
        <v>750</v>
      </c>
    </row>
    <row r="93" spans="1:15" s="14" customFormat="1" ht="15" customHeight="1" x14ac:dyDescent="0.3">
      <c r="B93" s="254" t="str">
        <f>IF(TF_Private!$L$198="not in use","\I:","DMD")</f>
        <v>\I:</v>
      </c>
      <c r="C93" s="146" t="s">
        <v>364</v>
      </c>
      <c r="D93" s="146" t="s">
        <v>838</v>
      </c>
      <c r="E93" s="254" t="s">
        <v>747</v>
      </c>
      <c r="F93" s="254" t="s">
        <v>748</v>
      </c>
      <c r="G93" s="254"/>
      <c r="H93" s="254" t="s">
        <v>749</v>
      </c>
      <c r="I93" s="255" t="s">
        <v>750</v>
      </c>
    </row>
    <row r="94" spans="1:15" s="14" customFormat="1" ht="15" customHeight="1" x14ac:dyDescent="0.3">
      <c r="B94" s="254" t="str">
        <f>IF(TF_City!$L$231="not in use","\I:","DMD")</f>
        <v>\I:</v>
      </c>
      <c r="C94" s="146" t="s">
        <v>145</v>
      </c>
      <c r="D94" s="146" t="s">
        <v>839</v>
      </c>
      <c r="E94" s="254" t="s">
        <v>747</v>
      </c>
      <c r="F94" s="254" t="s">
        <v>748</v>
      </c>
      <c r="G94" s="254"/>
      <c r="H94" s="254" t="s">
        <v>749</v>
      </c>
      <c r="I94" s="255" t="s">
        <v>750</v>
      </c>
    </row>
    <row r="95" spans="1:15" s="14" customFormat="1" ht="15" customHeight="1" x14ac:dyDescent="0.3">
      <c r="B95" s="254" t="str">
        <f>IF(TF_Private!$L$198="not in use","\I:","DMD")</f>
        <v>\I:</v>
      </c>
      <c r="C95" s="146" t="s">
        <v>365</v>
      </c>
      <c r="D95" s="146" t="s">
        <v>840</v>
      </c>
      <c r="E95" s="254" t="s">
        <v>747</v>
      </c>
      <c r="F95" s="254" t="s">
        <v>748</v>
      </c>
      <c r="G95" s="254"/>
      <c r="H95" s="254" t="s">
        <v>749</v>
      </c>
      <c r="I95" s="255" t="s">
        <v>750</v>
      </c>
    </row>
    <row r="96" spans="1:15" x14ac:dyDescent="0.3">
      <c r="A96" s="14"/>
      <c r="B96" s="254" t="str">
        <f>IF(TF_City!$L$231="not in use","\I:","DMD")</f>
        <v>\I:</v>
      </c>
      <c r="C96" s="146" t="s">
        <v>146</v>
      </c>
      <c r="D96" s="146" t="s">
        <v>841</v>
      </c>
      <c r="E96" s="254" t="s">
        <v>747</v>
      </c>
      <c r="F96" s="254" t="s">
        <v>748</v>
      </c>
      <c r="G96" s="254"/>
      <c r="H96" s="254" t="s">
        <v>749</v>
      </c>
      <c r="I96" s="255" t="s">
        <v>750</v>
      </c>
      <c r="J96" s="14"/>
    </row>
    <row r="97" spans="1:10" x14ac:dyDescent="0.3">
      <c r="A97" s="14"/>
      <c r="B97" s="254" t="str">
        <f>IF(TF_Private!$L$198="not in use","\I:","DMD")</f>
        <v>\I:</v>
      </c>
      <c r="C97" s="146" t="s">
        <v>366</v>
      </c>
      <c r="D97" s="146" t="s">
        <v>842</v>
      </c>
      <c r="E97" s="254" t="s">
        <v>747</v>
      </c>
      <c r="F97" s="254" t="s">
        <v>748</v>
      </c>
      <c r="G97" s="254"/>
      <c r="H97" s="254" t="s">
        <v>749</v>
      </c>
      <c r="I97" s="255" t="s">
        <v>750</v>
      </c>
      <c r="J97" s="14"/>
    </row>
    <row r="98" spans="1:10" s="14" customFormat="1" ht="15" customHeight="1" x14ac:dyDescent="0.3">
      <c r="B98" s="254" t="str">
        <f>IF(TF_City!$L$231="not in use","\I:","DMD")</f>
        <v>\I:</v>
      </c>
      <c r="C98" s="146" t="s">
        <v>147</v>
      </c>
      <c r="D98" s="146" t="s">
        <v>843</v>
      </c>
      <c r="E98" s="254" t="s">
        <v>747</v>
      </c>
      <c r="F98" s="254" t="s">
        <v>748</v>
      </c>
      <c r="G98" s="254"/>
      <c r="H98" s="254" t="s">
        <v>749</v>
      </c>
      <c r="I98" s="255" t="s">
        <v>750</v>
      </c>
    </row>
    <row r="99" spans="1:10" s="14" customFormat="1" ht="15" customHeight="1" x14ac:dyDescent="0.3">
      <c r="B99" s="254" t="str">
        <f>IF(TF_Private!$L$198="not in use","\I:","DMD")</f>
        <v>\I:</v>
      </c>
      <c r="C99" s="146" t="s">
        <v>367</v>
      </c>
      <c r="D99" s="146" t="s">
        <v>844</v>
      </c>
      <c r="E99" s="254" t="s">
        <v>747</v>
      </c>
      <c r="F99" s="254" t="s">
        <v>748</v>
      </c>
      <c r="G99" s="254"/>
      <c r="H99" s="254" t="s">
        <v>749</v>
      </c>
      <c r="I99" s="255" t="s">
        <v>750</v>
      </c>
    </row>
    <row r="100" spans="1:10" s="14" customFormat="1" ht="15" customHeight="1" x14ac:dyDescent="0.3">
      <c r="B100" s="254" t="str">
        <f>IF(TF_City!$L$231="not in use","\I:","DMD")</f>
        <v>\I:</v>
      </c>
      <c r="C100" s="146" t="s">
        <v>148</v>
      </c>
      <c r="D100" s="146" t="s">
        <v>845</v>
      </c>
      <c r="E100" s="254" t="s">
        <v>747</v>
      </c>
      <c r="F100" s="254" t="s">
        <v>748</v>
      </c>
      <c r="G100" s="254"/>
      <c r="H100" s="254" t="s">
        <v>749</v>
      </c>
      <c r="I100" s="255" t="s">
        <v>750</v>
      </c>
    </row>
    <row r="101" spans="1:10" s="14" customFormat="1" ht="15" customHeight="1" x14ac:dyDescent="0.3">
      <c r="B101" s="254" t="str">
        <f>IF(TF_Private!$L$198="not in use","\I:","DMD")</f>
        <v>\I:</v>
      </c>
      <c r="C101" s="146" t="s">
        <v>368</v>
      </c>
      <c r="D101" s="146" t="s">
        <v>846</v>
      </c>
      <c r="E101" s="254" t="s">
        <v>747</v>
      </c>
      <c r="F101" s="254" t="s">
        <v>748</v>
      </c>
      <c r="G101" s="254"/>
      <c r="H101" s="254" t="s">
        <v>749</v>
      </c>
      <c r="I101" s="255" t="s">
        <v>750</v>
      </c>
    </row>
    <row r="102" spans="1:10" s="14" customFormat="1" x14ac:dyDescent="0.3">
      <c r="B102" s="256" t="str">
        <f>IF(TF_City!$L$231="not in use","\I:","DMD")</f>
        <v>\I:</v>
      </c>
      <c r="C102" s="827" t="s">
        <v>149</v>
      </c>
      <c r="D102" s="827" t="s">
        <v>847</v>
      </c>
      <c r="E102" s="256" t="s">
        <v>747</v>
      </c>
      <c r="F102" s="256" t="s">
        <v>748</v>
      </c>
      <c r="G102" s="256"/>
      <c r="H102" s="256" t="s">
        <v>749</v>
      </c>
      <c r="I102" s="257" t="s">
        <v>750</v>
      </c>
    </row>
    <row r="103" spans="1:10" s="14" customFormat="1" ht="15" customHeight="1" x14ac:dyDescent="0.3">
      <c r="B103" s="254" t="str">
        <f>IF(TF_Private!$L$347="not in use","\I:","DMD")</f>
        <v>DMD</v>
      </c>
      <c r="C103" s="146" t="s">
        <v>369</v>
      </c>
      <c r="D103" s="146" t="s">
        <v>848</v>
      </c>
      <c r="E103" s="254" t="s">
        <v>747</v>
      </c>
      <c r="F103" s="254" t="s">
        <v>748</v>
      </c>
      <c r="G103" s="254"/>
      <c r="H103" s="254" t="s">
        <v>749</v>
      </c>
      <c r="I103" s="255" t="s">
        <v>750</v>
      </c>
    </row>
    <row r="104" spans="1:10" s="14" customFormat="1" ht="15" customHeight="1" x14ac:dyDescent="0.3">
      <c r="B104" s="254" t="str">
        <f>IF(TF_City!$L$378="not in use","\I:","DMD")</f>
        <v>\I:</v>
      </c>
      <c r="C104" s="146" t="s">
        <v>151</v>
      </c>
      <c r="D104" s="146" t="s">
        <v>849</v>
      </c>
      <c r="E104" s="254" t="s">
        <v>747</v>
      </c>
      <c r="F104" s="254" t="s">
        <v>748</v>
      </c>
      <c r="G104" s="254"/>
      <c r="H104" s="254" t="s">
        <v>749</v>
      </c>
      <c r="I104" s="255" t="s">
        <v>750</v>
      </c>
    </row>
    <row r="105" spans="1:10" s="14" customFormat="1" ht="15" customHeight="1" x14ac:dyDescent="0.3">
      <c r="B105" s="254" t="str">
        <f>IF(TF_Private!$L$347="not in use","\I:","DMD")</f>
        <v>DMD</v>
      </c>
      <c r="C105" s="146" t="s">
        <v>370</v>
      </c>
      <c r="D105" s="146" t="s">
        <v>850</v>
      </c>
      <c r="E105" s="254" t="s">
        <v>747</v>
      </c>
      <c r="F105" s="254" t="s">
        <v>748</v>
      </c>
      <c r="G105" s="254"/>
      <c r="H105" s="254" t="s">
        <v>749</v>
      </c>
      <c r="I105" s="255" t="s">
        <v>750</v>
      </c>
    </row>
    <row r="106" spans="1:10" s="14" customFormat="1" ht="15" customHeight="1" x14ac:dyDescent="0.3">
      <c r="B106" s="254" t="str">
        <f>IF(TF_City!$L$378="not in use","\I:","DMD")</f>
        <v>\I:</v>
      </c>
      <c r="C106" s="146" t="s">
        <v>152</v>
      </c>
      <c r="D106" s="146" t="s">
        <v>851</v>
      </c>
      <c r="E106" s="254" t="s">
        <v>747</v>
      </c>
      <c r="F106" s="254" t="s">
        <v>748</v>
      </c>
      <c r="G106" s="254"/>
      <c r="H106" s="254" t="s">
        <v>749</v>
      </c>
      <c r="I106" s="255" t="s">
        <v>750</v>
      </c>
    </row>
    <row r="107" spans="1:10" s="14" customFormat="1" ht="15" customHeight="1" x14ac:dyDescent="0.3">
      <c r="B107" s="254" t="str">
        <f>IF(TF_Private!$L$347="not in use","\I:","DMD")</f>
        <v>DMD</v>
      </c>
      <c r="C107" s="146" t="s">
        <v>371</v>
      </c>
      <c r="D107" s="146" t="s">
        <v>852</v>
      </c>
      <c r="E107" s="254" t="s">
        <v>747</v>
      </c>
      <c r="F107" s="254" t="s">
        <v>748</v>
      </c>
      <c r="G107" s="254"/>
      <c r="H107" s="254" t="s">
        <v>749</v>
      </c>
      <c r="I107" s="255" t="s">
        <v>750</v>
      </c>
    </row>
    <row r="108" spans="1:10" x14ac:dyDescent="0.3">
      <c r="A108" s="14"/>
      <c r="B108" s="254" t="str">
        <f>IF(TF_City!$L$378="not in use","\I:","DMD")</f>
        <v>\I:</v>
      </c>
      <c r="C108" s="146" t="s">
        <v>153</v>
      </c>
      <c r="D108" s="146" t="s">
        <v>853</v>
      </c>
      <c r="E108" s="254" t="s">
        <v>747</v>
      </c>
      <c r="F108" s="254" t="s">
        <v>748</v>
      </c>
      <c r="G108" s="254"/>
      <c r="H108" s="254" t="s">
        <v>749</v>
      </c>
      <c r="I108" s="255" t="s">
        <v>750</v>
      </c>
      <c r="J108" s="14"/>
    </row>
    <row r="109" spans="1:10" s="14" customFormat="1" ht="15" customHeight="1" x14ac:dyDescent="0.3">
      <c r="B109" s="254" t="str">
        <f>IF(TF_Private!$L$347="not in use","\I:","DMD")</f>
        <v>DMD</v>
      </c>
      <c r="C109" s="146" t="s">
        <v>372</v>
      </c>
      <c r="D109" s="146" t="s">
        <v>854</v>
      </c>
      <c r="E109" s="254" t="s">
        <v>747</v>
      </c>
      <c r="F109" s="254" t="s">
        <v>748</v>
      </c>
      <c r="G109" s="254"/>
      <c r="H109" s="254" t="s">
        <v>749</v>
      </c>
      <c r="I109" s="255" t="s">
        <v>750</v>
      </c>
    </row>
    <row r="110" spans="1:10" s="14" customFormat="1" ht="15" customHeight="1" x14ac:dyDescent="0.3">
      <c r="B110" s="254" t="str">
        <f>IF(TF_City!$L$378="not in use","\I:","DMD")</f>
        <v>\I:</v>
      </c>
      <c r="C110" s="146" t="s">
        <v>154</v>
      </c>
      <c r="D110" s="146" t="s">
        <v>855</v>
      </c>
      <c r="E110" s="254" t="s">
        <v>747</v>
      </c>
      <c r="F110" s="254" t="s">
        <v>748</v>
      </c>
      <c r="G110" s="254"/>
      <c r="H110" s="254" t="s">
        <v>749</v>
      </c>
      <c r="I110" s="255" t="s">
        <v>750</v>
      </c>
    </row>
    <row r="111" spans="1:10" s="14" customFormat="1" ht="15" customHeight="1" x14ac:dyDescent="0.3">
      <c r="B111" s="254" t="str">
        <f>IF(TF_Private!$L$347="not in use","\I:","DMD")</f>
        <v>DMD</v>
      </c>
      <c r="C111" s="146" t="s">
        <v>373</v>
      </c>
      <c r="D111" s="146" t="s">
        <v>856</v>
      </c>
      <c r="E111" s="254" t="s">
        <v>747</v>
      </c>
      <c r="F111" s="254" t="s">
        <v>748</v>
      </c>
      <c r="G111" s="254"/>
      <c r="H111" s="254" t="s">
        <v>749</v>
      </c>
      <c r="I111" s="255" t="s">
        <v>750</v>
      </c>
    </row>
    <row r="112" spans="1:10" s="14" customFormat="1" ht="15" customHeight="1" x14ac:dyDescent="0.3">
      <c r="B112" s="254" t="str">
        <f>IF(TF_City!$L$378="not in use","\I:","DMD")</f>
        <v>\I:</v>
      </c>
      <c r="C112" s="146" t="s">
        <v>155</v>
      </c>
      <c r="D112" s="146" t="s">
        <v>857</v>
      </c>
      <c r="E112" s="254" t="s">
        <v>747</v>
      </c>
      <c r="F112" s="254" t="s">
        <v>748</v>
      </c>
      <c r="G112" s="254"/>
      <c r="H112" s="254" t="s">
        <v>749</v>
      </c>
      <c r="I112" s="255" t="s">
        <v>750</v>
      </c>
    </row>
    <row r="113" spans="1:10" s="14" customFormat="1" ht="15" customHeight="1" x14ac:dyDescent="0.3">
      <c r="B113" s="254" t="str">
        <f>IF(TF_Private!$L$347="not in use","\I:","DMD")</f>
        <v>DMD</v>
      </c>
      <c r="C113" s="146" t="s">
        <v>374</v>
      </c>
      <c r="D113" s="146" t="s">
        <v>858</v>
      </c>
      <c r="E113" s="254" t="s">
        <v>747</v>
      </c>
      <c r="F113" s="254" t="s">
        <v>748</v>
      </c>
      <c r="G113" s="254"/>
      <c r="H113" s="254" t="s">
        <v>749</v>
      </c>
      <c r="I113" s="255" t="s">
        <v>750</v>
      </c>
    </row>
    <row r="114" spans="1:10" s="14" customFormat="1" ht="15" customHeight="1" x14ac:dyDescent="0.3">
      <c r="B114" s="254" t="str">
        <f>IF(TF_City!$L$378="not in use","\I:","DMD")</f>
        <v>\I:</v>
      </c>
      <c r="C114" s="146" t="s">
        <v>156</v>
      </c>
      <c r="D114" s="146" t="s">
        <v>859</v>
      </c>
      <c r="E114" s="254" t="s">
        <v>747</v>
      </c>
      <c r="F114" s="254" t="s">
        <v>748</v>
      </c>
      <c r="G114" s="254"/>
      <c r="H114" s="254" t="s">
        <v>749</v>
      </c>
      <c r="I114" s="255" t="s">
        <v>750</v>
      </c>
    </row>
    <row r="115" spans="1:10" s="14" customFormat="1" ht="15" customHeight="1" x14ac:dyDescent="0.3">
      <c r="B115" s="254" t="str">
        <f>IF(TF_Private!$L$347="not in use","\I:","DMD")</f>
        <v>DMD</v>
      </c>
      <c r="C115" s="146" t="s">
        <v>375</v>
      </c>
      <c r="D115" s="146" t="s">
        <v>860</v>
      </c>
      <c r="E115" s="254" t="s">
        <v>747</v>
      </c>
      <c r="F115" s="254" t="s">
        <v>748</v>
      </c>
      <c r="G115" s="254"/>
      <c r="H115" s="254" t="s">
        <v>749</v>
      </c>
      <c r="I115" s="255" t="s">
        <v>750</v>
      </c>
    </row>
    <row r="116" spans="1:10" s="14" customFormat="1" ht="15" customHeight="1" x14ac:dyDescent="0.3">
      <c r="B116" s="254" t="str">
        <f>IF(TF_City!$L$378="not in use","\I:","DMD")</f>
        <v>\I:</v>
      </c>
      <c r="C116" s="146" t="s">
        <v>157</v>
      </c>
      <c r="D116" s="146" t="s">
        <v>861</v>
      </c>
      <c r="E116" s="254" t="s">
        <v>747</v>
      </c>
      <c r="F116" s="254" t="s">
        <v>748</v>
      </c>
      <c r="G116" s="254"/>
      <c r="H116" s="254" t="s">
        <v>749</v>
      </c>
      <c r="I116" s="255" t="s">
        <v>750</v>
      </c>
    </row>
    <row r="117" spans="1:10" s="14" customFormat="1" ht="15" customHeight="1" x14ac:dyDescent="0.3">
      <c r="B117" s="254" t="str">
        <f>IF(TF_Private!$L$347="not in use","\I:","DMD")</f>
        <v>DMD</v>
      </c>
      <c r="C117" s="146" t="s">
        <v>376</v>
      </c>
      <c r="D117" s="146" t="s">
        <v>862</v>
      </c>
      <c r="E117" s="254" t="s">
        <v>747</v>
      </c>
      <c r="F117" s="254" t="s">
        <v>748</v>
      </c>
      <c r="G117" s="254"/>
      <c r="H117" s="254" t="s">
        <v>749</v>
      </c>
      <c r="I117" s="255" t="s">
        <v>750</v>
      </c>
    </row>
    <row r="118" spans="1:10" x14ac:dyDescent="0.3">
      <c r="A118" s="14"/>
      <c r="B118" s="254" t="str">
        <f>IF(TF_City!$L$378="not in use","\I:","DMD")</f>
        <v>\I:</v>
      </c>
      <c r="C118" s="146" t="s">
        <v>158</v>
      </c>
      <c r="D118" s="146" t="s">
        <v>863</v>
      </c>
      <c r="E118" s="254" t="s">
        <v>747</v>
      </c>
      <c r="F118" s="254" t="s">
        <v>748</v>
      </c>
      <c r="G118" s="254"/>
      <c r="H118" s="254" t="s">
        <v>749</v>
      </c>
      <c r="I118" s="255" t="s">
        <v>750</v>
      </c>
      <c r="J118" s="14"/>
    </row>
    <row r="119" spans="1:10" x14ac:dyDescent="0.3">
      <c r="A119" s="14"/>
      <c r="B119" s="254" t="str">
        <f>IF(TF_Private!$L$347="not in use","\I:","DMD")</f>
        <v>DMD</v>
      </c>
      <c r="C119" s="146" t="s">
        <v>377</v>
      </c>
      <c r="D119" s="146" t="s">
        <v>864</v>
      </c>
      <c r="E119" s="254" t="s">
        <v>747</v>
      </c>
      <c r="F119" s="254" t="s">
        <v>748</v>
      </c>
      <c r="G119" s="254"/>
      <c r="H119" s="254" t="s">
        <v>749</v>
      </c>
      <c r="I119" s="255" t="s">
        <v>750</v>
      </c>
      <c r="J119" s="14"/>
    </row>
    <row r="120" spans="1:10" s="14" customFormat="1" ht="15" customHeight="1" x14ac:dyDescent="0.3">
      <c r="B120" s="254" t="str">
        <f>IF(TF_City!$L$378="not in use","\I:","DMD")</f>
        <v>\I:</v>
      </c>
      <c r="C120" s="146" t="s">
        <v>159</v>
      </c>
      <c r="D120" s="146" t="s">
        <v>865</v>
      </c>
      <c r="E120" s="254" t="s">
        <v>747</v>
      </c>
      <c r="F120" s="254" t="s">
        <v>748</v>
      </c>
      <c r="G120" s="254"/>
      <c r="H120" s="254" t="s">
        <v>749</v>
      </c>
      <c r="I120" s="255" t="s">
        <v>750</v>
      </c>
    </row>
    <row r="121" spans="1:10" s="14" customFormat="1" ht="15" customHeight="1" x14ac:dyDescent="0.3">
      <c r="B121" s="254" t="str">
        <f>IF(TF_Private!$L$347="not in use","\I:","DMD")</f>
        <v>DMD</v>
      </c>
      <c r="C121" s="146" t="s">
        <v>378</v>
      </c>
      <c r="D121" s="146" t="s">
        <v>866</v>
      </c>
      <c r="E121" s="254" t="s">
        <v>747</v>
      </c>
      <c r="F121" s="254" t="s">
        <v>748</v>
      </c>
      <c r="G121" s="254"/>
      <c r="H121" s="254" t="s">
        <v>749</v>
      </c>
      <c r="I121" s="255" t="s">
        <v>750</v>
      </c>
    </row>
    <row r="122" spans="1:10" s="14" customFormat="1" ht="15" customHeight="1" x14ac:dyDescent="0.3">
      <c r="B122" s="254" t="str">
        <f>IF(TF_City!$L$378="not in use","\I:","DMD")</f>
        <v>\I:</v>
      </c>
      <c r="C122" s="146" t="s">
        <v>160</v>
      </c>
      <c r="D122" s="146" t="s">
        <v>867</v>
      </c>
      <c r="E122" s="254" t="s">
        <v>747</v>
      </c>
      <c r="F122" s="254" t="s">
        <v>748</v>
      </c>
      <c r="G122" s="254"/>
      <c r="H122" s="254" t="s">
        <v>749</v>
      </c>
      <c r="I122" s="255" t="s">
        <v>750</v>
      </c>
    </row>
    <row r="123" spans="1:10" s="14" customFormat="1" ht="15" customHeight="1" x14ac:dyDescent="0.3">
      <c r="B123" s="254" t="str">
        <f>IF(TF_Private!$L$347="not in use","\I:","DMD")</f>
        <v>DMD</v>
      </c>
      <c r="C123" s="146" t="s">
        <v>379</v>
      </c>
      <c r="D123" s="146" t="s">
        <v>868</v>
      </c>
      <c r="E123" s="254" t="s">
        <v>747</v>
      </c>
      <c r="F123" s="254" t="s">
        <v>748</v>
      </c>
      <c r="G123" s="254"/>
      <c r="H123" s="254" t="s">
        <v>749</v>
      </c>
      <c r="I123" s="255" t="s">
        <v>750</v>
      </c>
    </row>
    <row r="124" spans="1:10" s="14" customFormat="1" x14ac:dyDescent="0.3">
      <c r="B124" s="254" t="str">
        <f>IF(TF_City!$L$378="not in use","\I:","DMD")</f>
        <v>\I:</v>
      </c>
      <c r="C124" s="146" t="s">
        <v>161</v>
      </c>
      <c r="D124" s="146" t="s">
        <v>869</v>
      </c>
      <c r="E124" s="254" t="s">
        <v>747</v>
      </c>
      <c r="F124" s="254" t="s">
        <v>748</v>
      </c>
      <c r="G124" s="254"/>
      <c r="H124" s="254" t="s">
        <v>749</v>
      </c>
      <c r="I124" s="255" t="s">
        <v>750</v>
      </c>
    </row>
    <row r="125" spans="1:10" s="14" customFormat="1" ht="15" customHeight="1" x14ac:dyDescent="0.3">
      <c r="B125" s="254" t="str">
        <f>IF(TF_Private!$L$499="not in use","\I:","DMD")</f>
        <v>\I:</v>
      </c>
      <c r="C125" s="146" t="s">
        <v>557</v>
      </c>
      <c r="D125" s="146" t="s">
        <v>870</v>
      </c>
      <c r="E125" s="254" t="s">
        <v>747</v>
      </c>
      <c r="F125" s="254" t="s">
        <v>748</v>
      </c>
      <c r="G125" s="254"/>
      <c r="H125" s="254" t="s">
        <v>749</v>
      </c>
      <c r="I125" s="255" t="s">
        <v>750</v>
      </c>
    </row>
    <row r="126" spans="1:10" s="14" customFormat="1" ht="15" customHeight="1" x14ac:dyDescent="0.3">
      <c r="B126" s="254" t="str">
        <f>IF(TF_City!$L$39="not in use","\I:","DMD")</f>
        <v>\I:</v>
      </c>
      <c r="C126" s="146" t="s">
        <v>559</v>
      </c>
      <c r="D126" s="146" t="s">
        <v>871</v>
      </c>
      <c r="E126" s="254" t="s">
        <v>747</v>
      </c>
      <c r="F126" s="254" t="s">
        <v>748</v>
      </c>
      <c r="G126" s="254"/>
      <c r="H126" s="254" t="s">
        <v>749</v>
      </c>
      <c r="I126" s="255" t="s">
        <v>750</v>
      </c>
    </row>
    <row r="127" spans="1:10" s="14" customFormat="1" ht="15" customHeight="1" x14ac:dyDescent="0.3">
      <c r="B127" s="254" t="str">
        <f>IF(TYW!$K$27="not in use","\I:","DMD")</f>
        <v>\I:</v>
      </c>
      <c r="C127" s="145" t="s">
        <v>553</v>
      </c>
      <c r="D127" s="145" t="s">
        <v>872</v>
      </c>
      <c r="E127" s="254" t="s">
        <v>747</v>
      </c>
      <c r="F127" s="254" t="s">
        <v>748</v>
      </c>
      <c r="G127" s="254"/>
      <c r="H127" s="254" t="s">
        <v>749</v>
      </c>
      <c r="I127" s="255" t="s">
        <v>750</v>
      </c>
    </row>
    <row r="128" spans="1:10" s="14" customFormat="1" ht="15" customHeight="1" x14ac:dyDescent="0.3">
      <c r="B128" s="254" t="str">
        <f>IF(TYW!$K$80="not in use","\I:","DMD")</f>
        <v>\I:</v>
      </c>
      <c r="C128" s="145" t="s">
        <v>555</v>
      </c>
      <c r="D128" s="145" t="s">
        <v>873</v>
      </c>
      <c r="E128" s="254" t="s">
        <v>747</v>
      </c>
      <c r="F128" s="254" t="s">
        <v>748</v>
      </c>
      <c r="G128" s="254"/>
      <c r="H128" s="254" t="s">
        <v>749</v>
      </c>
      <c r="I128" s="255" t="s">
        <v>750</v>
      </c>
    </row>
    <row r="129" spans="1:10" s="14" customFormat="1" ht="15" customHeight="1" x14ac:dyDescent="0.3">
      <c r="B129" s="254" t="str">
        <f>IF(TMO!$L$28="not in use","\I:","DMD")</f>
        <v>\I:</v>
      </c>
      <c r="C129" s="147" t="s">
        <v>323</v>
      </c>
      <c r="D129" s="147" t="s">
        <v>874</v>
      </c>
      <c r="E129" s="254" t="s">
        <v>747</v>
      </c>
      <c r="F129" s="254" t="s">
        <v>748</v>
      </c>
      <c r="G129" s="254"/>
      <c r="H129" s="254" t="s">
        <v>749</v>
      </c>
      <c r="I129" s="255" t="s">
        <v>750</v>
      </c>
    </row>
    <row r="130" spans="1:10" s="14" customFormat="1" ht="15" customHeight="1" x14ac:dyDescent="0.3">
      <c r="A130"/>
      <c r="B130" s="254" t="str">
        <f>IF(TMO!$L$59="not in use","\I:","DMD")</f>
        <v>\I:</v>
      </c>
      <c r="C130" s="147" t="s">
        <v>542</v>
      </c>
      <c r="D130" s="147" t="s">
        <v>875</v>
      </c>
      <c r="E130" s="254" t="s">
        <v>747</v>
      </c>
      <c r="F130" s="254" t="s">
        <v>748</v>
      </c>
      <c r="G130" s="254"/>
      <c r="H130" s="254" t="s">
        <v>749</v>
      </c>
      <c r="I130" s="255" t="s">
        <v>750</v>
      </c>
      <c r="J130"/>
    </row>
    <row r="131" spans="1:10" s="14" customFormat="1" ht="15" customHeight="1" x14ac:dyDescent="0.3">
      <c r="B131" s="254" t="str">
        <f>IF(TMO!$L$28="not in use","\I:","DMD")</f>
        <v>\I:</v>
      </c>
      <c r="C131" s="147" t="s">
        <v>324</v>
      </c>
      <c r="D131" s="147" t="s">
        <v>876</v>
      </c>
      <c r="E131" s="254" t="s">
        <v>747</v>
      </c>
      <c r="F131" s="254" t="s">
        <v>748</v>
      </c>
      <c r="G131" s="254"/>
      <c r="H131" s="254" t="s">
        <v>749</v>
      </c>
      <c r="I131" s="255" t="s">
        <v>750</v>
      </c>
    </row>
    <row r="132" spans="1:10" s="14" customFormat="1" ht="15" customHeight="1" x14ac:dyDescent="0.3">
      <c r="B132" s="254" t="str">
        <f>IF(TMO!$L$59="not in use","\I:","DMD")</f>
        <v>\I:</v>
      </c>
      <c r="C132" s="147" t="s">
        <v>543</v>
      </c>
      <c r="D132" s="147" t="s">
        <v>877</v>
      </c>
      <c r="E132" s="254" t="s">
        <v>747</v>
      </c>
      <c r="F132" s="254" t="s">
        <v>748</v>
      </c>
      <c r="G132" s="254"/>
      <c r="H132" s="254" t="s">
        <v>749</v>
      </c>
      <c r="I132" s="255" t="s">
        <v>750</v>
      </c>
    </row>
    <row r="133" spans="1:10" s="14" customFormat="1" ht="15" customHeight="1" x14ac:dyDescent="0.3">
      <c r="B133" s="254" t="str">
        <f>IF(TNA!K25="not in use","\I:","DMD")</f>
        <v>\I:</v>
      </c>
      <c r="C133" s="145" t="s">
        <v>572</v>
      </c>
      <c r="D133" s="145" t="s">
        <v>878</v>
      </c>
      <c r="E133" s="254" t="s">
        <v>747</v>
      </c>
      <c r="F133" s="254" t="s">
        <v>748</v>
      </c>
      <c r="G133" s="254"/>
      <c r="H133" s="254" t="s">
        <v>749</v>
      </c>
      <c r="I133" s="255" t="s">
        <v>750</v>
      </c>
    </row>
    <row r="134" spans="1:10" s="14" customFormat="1" ht="15" customHeight="1" x14ac:dyDescent="0.3">
      <c r="B134" s="254" t="str">
        <f>IF(TNA!K47="not in use","\I:","DMD")</f>
        <v>\I:</v>
      </c>
      <c r="C134" s="145" t="s">
        <v>575</v>
      </c>
      <c r="D134" s="145" t="s">
        <v>879</v>
      </c>
      <c r="E134" s="254" t="s">
        <v>747</v>
      </c>
      <c r="F134" s="254" t="s">
        <v>748</v>
      </c>
      <c r="G134" s="254"/>
      <c r="H134" s="254" t="s">
        <v>749</v>
      </c>
      <c r="I134" s="255" t="s">
        <v>750</v>
      </c>
    </row>
    <row r="135" spans="1:10" s="14" customFormat="1" ht="15" customHeight="1" x14ac:dyDescent="0.3">
      <c r="B135" s="254" t="str">
        <f>IF(TNA!K68="not in use","\I:","DMD")</f>
        <v>\I:</v>
      </c>
      <c r="C135" s="145" t="s">
        <v>186</v>
      </c>
      <c r="D135" s="145" t="s">
        <v>880</v>
      </c>
      <c r="E135" s="254" t="s">
        <v>747</v>
      </c>
      <c r="F135" s="254" t="s">
        <v>748</v>
      </c>
      <c r="G135" s="254"/>
      <c r="H135" s="254" t="s">
        <v>749</v>
      </c>
      <c r="I135" s="255" t="s">
        <v>750</v>
      </c>
    </row>
    <row r="136" spans="1:10" s="14" customFormat="1" ht="15" customHeight="1" x14ac:dyDescent="0.3">
      <c r="B136" s="254" t="str">
        <f>IF(TNO!K16="not in use","\I:","DMD")</f>
        <v>\I:</v>
      </c>
      <c r="C136" s="144" t="s">
        <v>689</v>
      </c>
      <c r="D136" s="144" t="s">
        <v>881</v>
      </c>
      <c r="E136" s="254" t="s">
        <v>85</v>
      </c>
      <c r="F136" s="254" t="s">
        <v>882</v>
      </c>
      <c r="G136" s="254"/>
      <c r="H136" s="254"/>
      <c r="I136" s="255" t="s">
        <v>750</v>
      </c>
    </row>
    <row r="137" spans="1:10" s="14" customFormat="1" ht="15" customHeight="1" x14ac:dyDescent="0.3">
      <c r="B137" s="254" t="str">
        <f>IF(TNO!K25="not in use","\I:","DMD")</f>
        <v>\I:</v>
      </c>
      <c r="C137" s="147" t="s">
        <v>690</v>
      </c>
      <c r="D137" s="147" t="s">
        <v>883</v>
      </c>
      <c r="E137" s="254" t="s">
        <v>85</v>
      </c>
      <c r="F137" s="254" t="s">
        <v>882</v>
      </c>
      <c r="G137" s="254"/>
      <c r="H137" s="254"/>
      <c r="I137" s="255" t="s">
        <v>750</v>
      </c>
    </row>
    <row r="138" spans="1:10" s="14" customFormat="1" ht="15" customHeight="1" x14ac:dyDescent="0.3">
      <c r="B138" s="254" t="str">
        <f>IF(TOV!K18="not in use","\I:","DMD")</f>
        <v>\I:</v>
      </c>
      <c r="C138" s="147" t="s">
        <v>389</v>
      </c>
      <c r="D138" s="147" t="s">
        <v>884</v>
      </c>
      <c r="E138" s="254" t="s">
        <v>85</v>
      </c>
      <c r="F138" s="254" t="s">
        <v>882</v>
      </c>
      <c r="G138" s="254"/>
      <c r="H138" s="254"/>
      <c r="I138" s="255" t="s">
        <v>750</v>
      </c>
    </row>
    <row r="139" spans="1:10" s="14" customFormat="1" ht="15" customHeight="1" x14ac:dyDescent="0.3">
      <c r="B139" s="254" t="str">
        <f>IF(TOV!K29="not in use","\I:","DMD")</f>
        <v>\I:</v>
      </c>
      <c r="C139" s="147" t="s">
        <v>885</v>
      </c>
      <c r="D139" s="147" t="s">
        <v>886</v>
      </c>
      <c r="E139" s="254" t="s">
        <v>85</v>
      </c>
      <c r="F139" s="254" t="s">
        <v>882</v>
      </c>
      <c r="G139" s="254"/>
      <c r="H139" s="254"/>
      <c r="I139" s="255" t="s">
        <v>750</v>
      </c>
    </row>
    <row r="140" spans="1:10" s="14" customFormat="1" ht="15" customHeight="1" x14ac:dyDescent="0.3">
      <c r="A140"/>
      <c r="B140" s="254" t="str">
        <f>IF(TT!$K$80="not in use","\I:","DMD")</f>
        <v>\I:</v>
      </c>
      <c r="C140" s="147" t="s">
        <v>216</v>
      </c>
      <c r="D140" s="147" t="s">
        <v>887</v>
      </c>
      <c r="E140" s="254" t="s">
        <v>747</v>
      </c>
      <c r="F140" s="254" t="s">
        <v>748</v>
      </c>
      <c r="G140" s="254"/>
      <c r="H140" s="254" t="s">
        <v>749</v>
      </c>
      <c r="I140" s="255" t="s">
        <v>750</v>
      </c>
      <c r="J140"/>
    </row>
    <row r="141" spans="1:10" s="14" customFormat="1" ht="15" customHeight="1" x14ac:dyDescent="0.3">
      <c r="A141"/>
      <c r="B141" s="254" t="str">
        <f>IF(TT!$K$80="not in use","\I:","DMD")</f>
        <v>\I:</v>
      </c>
      <c r="C141" s="147" t="s">
        <v>217</v>
      </c>
      <c r="D141" s="147" t="s">
        <v>888</v>
      </c>
      <c r="E141" s="254" t="s">
        <v>747</v>
      </c>
      <c r="F141" s="254" t="s">
        <v>748</v>
      </c>
      <c r="G141" s="254"/>
      <c r="H141" s="254" t="s">
        <v>749</v>
      </c>
      <c r="I141" s="255" t="s">
        <v>750</v>
      </c>
      <c r="J141"/>
    </row>
    <row r="142" spans="1:10" x14ac:dyDescent="0.3">
      <c r="A142" s="14"/>
      <c r="B142" s="254" t="str">
        <f>IF(TT!$K$112="not in use","\I:","DMD")</f>
        <v>\I:</v>
      </c>
      <c r="C142" s="147" t="s">
        <v>218</v>
      </c>
      <c r="D142" s="147" t="s">
        <v>889</v>
      </c>
      <c r="E142" s="254" t="s">
        <v>747</v>
      </c>
      <c r="F142" s="254" t="s">
        <v>748</v>
      </c>
      <c r="G142" s="254"/>
      <c r="H142" s="254" t="s">
        <v>749</v>
      </c>
      <c r="I142" s="255" t="s">
        <v>750</v>
      </c>
      <c r="J142" s="14"/>
    </row>
    <row r="143" spans="1:10" x14ac:dyDescent="0.3">
      <c r="A143" s="14"/>
      <c r="B143" s="254" t="str">
        <f>IF(TT!$K$112="not in use","\I:","DMD")</f>
        <v>\I:</v>
      </c>
      <c r="C143" s="147" t="s">
        <v>219</v>
      </c>
      <c r="D143" s="147" t="s">
        <v>890</v>
      </c>
      <c r="E143" s="254" t="s">
        <v>747</v>
      </c>
      <c r="F143" s="254" t="s">
        <v>748</v>
      </c>
      <c r="G143" s="254"/>
      <c r="H143" s="254" t="s">
        <v>749</v>
      </c>
      <c r="I143" s="255" t="s">
        <v>750</v>
      </c>
      <c r="J143" s="14"/>
    </row>
    <row r="144" spans="1:10" x14ac:dyDescent="0.3">
      <c r="A144" s="14"/>
      <c r="B144" s="254" t="str">
        <f>IF(TT!$K$36="not in use","\I:","DMD")</f>
        <v>\I:</v>
      </c>
      <c r="C144" s="147" t="s">
        <v>221</v>
      </c>
      <c r="D144" s="147" t="s">
        <v>891</v>
      </c>
      <c r="E144" s="254" t="s">
        <v>747</v>
      </c>
      <c r="F144" s="254" t="s">
        <v>748</v>
      </c>
      <c r="G144" s="254"/>
      <c r="H144" s="254" t="s">
        <v>749</v>
      </c>
      <c r="I144" s="255" t="s">
        <v>750</v>
      </c>
      <c r="J144" s="14"/>
    </row>
    <row r="145" spans="1:10" x14ac:dyDescent="0.3">
      <c r="A145" s="14"/>
      <c r="B145" s="254" t="str">
        <f>IF(TT!$K$36="not in use","\I:","DMD")</f>
        <v>\I:</v>
      </c>
      <c r="C145" s="147" t="s">
        <v>223</v>
      </c>
      <c r="D145" s="147" t="s">
        <v>892</v>
      </c>
      <c r="E145" s="254" t="s">
        <v>747</v>
      </c>
      <c r="F145" s="254" t="s">
        <v>748</v>
      </c>
      <c r="G145" s="254"/>
      <c r="H145" s="254" t="s">
        <v>749</v>
      </c>
      <c r="I145" s="255" t="s">
        <v>750</v>
      </c>
      <c r="J145" s="14"/>
    </row>
    <row r="146" spans="1:10" x14ac:dyDescent="0.3">
      <c r="A146" s="14"/>
      <c r="B146" s="254" t="str">
        <f>IF(TT!$K$36="not in use","\I:","DMD")</f>
        <v>\I:</v>
      </c>
      <c r="C146" s="147" t="s">
        <v>224</v>
      </c>
      <c r="D146" s="147" t="s">
        <v>893</v>
      </c>
      <c r="E146" s="254" t="s">
        <v>747</v>
      </c>
      <c r="F146" s="254" t="s">
        <v>748</v>
      </c>
      <c r="G146" s="254"/>
      <c r="H146" s="254" t="s">
        <v>749</v>
      </c>
      <c r="I146" s="255" t="s">
        <v>750</v>
      </c>
      <c r="J146" s="14"/>
    </row>
    <row r="147" spans="1:10" x14ac:dyDescent="0.3">
      <c r="B147" s="254" t="str">
        <f>IF(TYW!$K$27="not in use","\I:","DMD")</f>
        <v>\I:</v>
      </c>
      <c r="C147" s="145" t="s">
        <v>382</v>
      </c>
      <c r="D147" s="145" t="s">
        <v>894</v>
      </c>
      <c r="E147" s="254" t="s">
        <v>747</v>
      </c>
      <c r="F147" s="254" t="s">
        <v>748</v>
      </c>
      <c r="G147" s="254"/>
      <c r="H147" s="254" t="s">
        <v>749</v>
      </c>
      <c r="I147" s="255" t="s">
        <v>750</v>
      </c>
    </row>
    <row r="148" spans="1:10" x14ac:dyDescent="0.3">
      <c r="B148" s="254" t="str">
        <f>IF(TYW!$K$80="not in use","\I:","DMD")</f>
        <v>\I:</v>
      </c>
      <c r="C148" s="145" t="s">
        <v>171</v>
      </c>
      <c r="D148" s="145" t="s">
        <v>895</v>
      </c>
      <c r="E148" s="254" t="s">
        <v>747</v>
      </c>
      <c r="F148" s="254" t="s">
        <v>748</v>
      </c>
      <c r="G148" s="254"/>
      <c r="H148" s="254" t="s">
        <v>749</v>
      </c>
      <c r="I148" s="255" t="s">
        <v>750</v>
      </c>
    </row>
    <row r="149" spans="1:10" x14ac:dyDescent="0.3">
      <c r="A149" s="14"/>
      <c r="B149" s="254" t="str">
        <f>IF(TF_Private!$L$499="not in use","\I:","DMD")</f>
        <v>\I:</v>
      </c>
      <c r="C149" s="145" t="s">
        <v>565</v>
      </c>
      <c r="D149" s="145" t="s">
        <v>896</v>
      </c>
      <c r="E149" s="254" t="s">
        <v>747</v>
      </c>
      <c r="F149" s="254" t="s">
        <v>748</v>
      </c>
      <c r="G149" s="254"/>
      <c r="H149" s="254" t="s">
        <v>749</v>
      </c>
      <c r="I149" s="255" t="s">
        <v>750</v>
      </c>
      <c r="J149" s="14"/>
    </row>
    <row r="150" spans="1:10" x14ac:dyDescent="0.3">
      <c r="A150" s="14"/>
      <c r="B150" s="254" t="str">
        <f>IF(TF_City!$L$39="not in use","\I:","DMD")</f>
        <v>\I:</v>
      </c>
      <c r="C150" s="145" t="s">
        <v>166</v>
      </c>
      <c r="D150" s="145" t="s">
        <v>897</v>
      </c>
      <c r="E150" s="254" t="s">
        <v>747</v>
      </c>
      <c r="F150" s="254" t="s">
        <v>748</v>
      </c>
      <c r="G150" s="254"/>
      <c r="H150" s="254" t="s">
        <v>749</v>
      </c>
      <c r="I150" s="255" t="s">
        <v>750</v>
      </c>
      <c r="J150" s="14"/>
    </row>
    <row r="151" spans="1:10" x14ac:dyDescent="0.3">
      <c r="A151" s="14"/>
      <c r="B151" s="254" t="str">
        <f>IF(TYW!$K$27="not in use","\I:","DMD")</f>
        <v>\I:</v>
      </c>
      <c r="C151" s="145" t="s">
        <v>380</v>
      </c>
      <c r="D151" s="145" t="s">
        <v>898</v>
      </c>
      <c r="E151" s="254" t="s">
        <v>747</v>
      </c>
      <c r="F151" s="254" t="s">
        <v>748</v>
      </c>
      <c r="G151" s="254"/>
      <c r="H151" s="254" t="s">
        <v>749</v>
      </c>
      <c r="I151" s="255" t="s">
        <v>750</v>
      </c>
      <c r="J151" s="14"/>
    </row>
    <row r="152" spans="1:10" x14ac:dyDescent="0.3">
      <c r="A152" s="14"/>
      <c r="B152" s="254" t="str">
        <f>IF(TYW!$K$80="not in use","\I:","DMD")</f>
        <v>\I:</v>
      </c>
      <c r="C152" s="145" t="s">
        <v>562</v>
      </c>
      <c r="D152" s="145" t="s">
        <v>899</v>
      </c>
      <c r="E152" s="254" t="s">
        <v>747</v>
      </c>
      <c r="F152" s="254" t="s">
        <v>748</v>
      </c>
      <c r="G152" s="254"/>
      <c r="H152" s="254" t="s">
        <v>749</v>
      </c>
      <c r="I152" s="255" t="s">
        <v>750</v>
      </c>
      <c r="J152" s="14"/>
    </row>
    <row r="153" spans="1:10" x14ac:dyDescent="0.3">
      <c r="A153" s="14"/>
      <c r="B153" s="254" t="str">
        <f>IF(TF_Private!$L$499="not in use","\I:","DMD")</f>
        <v>\I:</v>
      </c>
      <c r="C153" s="145" t="s">
        <v>566</v>
      </c>
      <c r="D153" s="145" t="s">
        <v>900</v>
      </c>
      <c r="E153" s="254" t="s">
        <v>747</v>
      </c>
      <c r="F153" s="254" t="s">
        <v>748</v>
      </c>
      <c r="G153" s="254"/>
      <c r="H153" s="254" t="s">
        <v>749</v>
      </c>
      <c r="I153" s="255" t="s">
        <v>750</v>
      </c>
      <c r="J153" s="14"/>
    </row>
    <row r="154" spans="1:10" x14ac:dyDescent="0.3">
      <c r="A154" s="14"/>
      <c r="B154" s="254" t="str">
        <f>IF(TF_City!$L$39="not in use","\I:","DMD")</f>
        <v>\I:</v>
      </c>
      <c r="C154" s="145" t="s">
        <v>167</v>
      </c>
      <c r="D154" s="145" t="s">
        <v>901</v>
      </c>
      <c r="E154" s="254" t="s">
        <v>747</v>
      </c>
      <c r="F154" s="254" t="s">
        <v>748</v>
      </c>
      <c r="G154" s="254"/>
      <c r="H154" s="254" t="s">
        <v>749</v>
      </c>
      <c r="I154" s="255" t="s">
        <v>750</v>
      </c>
      <c r="J154" s="14"/>
    </row>
    <row r="155" spans="1:10" x14ac:dyDescent="0.3">
      <c r="A155" s="14"/>
      <c r="B155" s="254" t="str">
        <f>IF(TYW!$K$27="not in use","\I:","DMD")</f>
        <v>\I:</v>
      </c>
      <c r="C155" s="145" t="s">
        <v>381</v>
      </c>
      <c r="D155" s="145" t="s">
        <v>902</v>
      </c>
      <c r="E155" s="254" t="s">
        <v>747</v>
      </c>
      <c r="F155" s="254" t="s">
        <v>748</v>
      </c>
      <c r="G155" s="254"/>
      <c r="H155" s="254" t="s">
        <v>749</v>
      </c>
      <c r="I155" s="255" t="s">
        <v>750</v>
      </c>
      <c r="J155" s="14"/>
    </row>
    <row r="156" spans="1:10" x14ac:dyDescent="0.3">
      <c r="A156" s="14"/>
      <c r="B156" s="256" t="str">
        <f>IF(TYW!$K$80="not in use","\I:","DMD")</f>
        <v>\I:</v>
      </c>
      <c r="C156" s="754" t="s">
        <v>563</v>
      </c>
      <c r="D156" s="754" t="s">
        <v>903</v>
      </c>
      <c r="E156" s="256" t="s">
        <v>747</v>
      </c>
      <c r="F156" s="256" t="s">
        <v>748</v>
      </c>
      <c r="G156" s="256"/>
      <c r="H156" s="256" t="s">
        <v>749</v>
      </c>
      <c r="I156" s="257" t="s">
        <v>750</v>
      </c>
      <c r="J156" s="14"/>
    </row>
    <row r="157" spans="1:10" x14ac:dyDescent="0.3">
      <c r="A157" s="14"/>
      <c r="B157" s="254" t="s">
        <v>904</v>
      </c>
      <c r="C157" s="145" t="s">
        <v>905</v>
      </c>
      <c r="D157" s="145" t="s">
        <v>906</v>
      </c>
      <c r="E157" s="254" t="s">
        <v>85</v>
      </c>
      <c r="F157" s="254" t="s">
        <v>882</v>
      </c>
      <c r="G157" s="254"/>
      <c r="H157" s="254"/>
      <c r="I157" s="254" t="s">
        <v>750</v>
      </c>
      <c r="J157" s="14"/>
    </row>
    <row r="158" spans="1:10" x14ac:dyDescent="0.3">
      <c r="A158" s="14"/>
      <c r="B158" s="254" t="s">
        <v>904</v>
      </c>
      <c r="C158" s="145" t="s">
        <v>907</v>
      </c>
      <c r="D158" s="145" t="str">
        <f>REPLACE(D157,1,19,"Fuel Tech New")</f>
        <v>Fuel Tech New - Biodiesel (TRA)</v>
      </c>
      <c r="E158" s="254" t="s">
        <v>85</v>
      </c>
      <c r="F158" s="254" t="s">
        <v>882</v>
      </c>
      <c r="G158" s="254"/>
      <c r="H158" s="254"/>
      <c r="I158" s="254" t="s">
        <v>750</v>
      </c>
      <c r="J158" s="14"/>
    </row>
    <row r="159" spans="1:10" x14ac:dyDescent="0.3">
      <c r="A159" s="14"/>
      <c r="B159" s="254" t="s">
        <v>904</v>
      </c>
      <c r="C159" s="145" t="s">
        <v>908</v>
      </c>
      <c r="D159" s="145" t="s">
        <v>909</v>
      </c>
      <c r="E159" s="254" t="s">
        <v>85</v>
      </c>
      <c r="F159" s="254" t="s">
        <v>882</v>
      </c>
      <c r="G159" s="254"/>
      <c r="H159" s="254"/>
      <c r="I159" s="254" t="s">
        <v>750</v>
      </c>
      <c r="J159" s="14"/>
    </row>
    <row r="160" spans="1:10" x14ac:dyDescent="0.3">
      <c r="A160" s="14"/>
      <c r="B160" s="254" t="s">
        <v>904</v>
      </c>
      <c r="C160" s="145" t="s">
        <v>910</v>
      </c>
      <c r="D160" s="145" t="str">
        <f>REPLACE(D159,1,19,"Fuel Tech New")</f>
        <v>Fuel Tech New - Biodiesel for low-blending (TRA)</v>
      </c>
      <c r="E160" s="254" t="s">
        <v>85</v>
      </c>
      <c r="F160" s="254" t="s">
        <v>882</v>
      </c>
      <c r="G160" s="254"/>
      <c r="H160" s="254"/>
      <c r="I160" s="254" t="s">
        <v>750</v>
      </c>
      <c r="J160" s="14"/>
    </row>
    <row r="161" spans="1:10" x14ac:dyDescent="0.3">
      <c r="A161" s="14"/>
      <c r="B161" s="254" t="s">
        <v>904</v>
      </c>
      <c r="C161" s="145" t="s">
        <v>911</v>
      </c>
      <c r="D161" s="145" t="s">
        <v>912</v>
      </c>
      <c r="E161" s="254" t="s">
        <v>85</v>
      </c>
      <c r="F161" s="254" t="s">
        <v>882</v>
      </c>
      <c r="G161" s="254"/>
      <c r="H161" s="254"/>
      <c r="I161" s="254" t="s">
        <v>750</v>
      </c>
      <c r="J161" s="14"/>
    </row>
    <row r="162" spans="1:10" x14ac:dyDescent="0.3">
      <c r="A162" s="14"/>
      <c r="B162" s="254" t="s">
        <v>904</v>
      </c>
      <c r="C162" s="145" t="s">
        <v>913</v>
      </c>
      <c r="D162" s="145" t="s">
        <v>912</v>
      </c>
      <c r="E162" s="254" t="s">
        <v>85</v>
      </c>
      <c r="F162" s="254" t="s">
        <v>882</v>
      </c>
      <c r="G162" s="254"/>
      <c r="H162" s="254"/>
      <c r="I162" s="254" t="s">
        <v>750</v>
      </c>
      <c r="J162" s="14"/>
    </row>
    <row r="163" spans="1:10" x14ac:dyDescent="0.3">
      <c r="A163" s="14"/>
      <c r="B163" s="254" t="s">
        <v>904</v>
      </c>
      <c r="C163" s="145" t="s">
        <v>914</v>
      </c>
      <c r="D163" s="145" t="s">
        <v>915</v>
      </c>
      <c r="E163" s="254" t="s">
        <v>85</v>
      </c>
      <c r="F163" s="254" t="s">
        <v>882</v>
      </c>
      <c r="G163" s="254"/>
      <c r="H163" s="254"/>
      <c r="I163" s="254" t="s">
        <v>750</v>
      </c>
      <c r="J163" s="14"/>
    </row>
    <row r="164" spans="1:10" x14ac:dyDescent="0.3">
      <c r="A164" s="14"/>
      <c r="B164" s="254" t="s">
        <v>904</v>
      </c>
      <c r="C164" s="145" t="s">
        <v>916</v>
      </c>
      <c r="D164" s="145" t="s">
        <v>917</v>
      </c>
      <c r="E164" s="254" t="s">
        <v>85</v>
      </c>
      <c r="F164" s="254" t="s">
        <v>882</v>
      </c>
      <c r="G164" s="254"/>
      <c r="H164" s="254"/>
      <c r="I164" s="254" t="s">
        <v>750</v>
      </c>
      <c r="J164" s="14"/>
    </row>
    <row r="165" spans="1:10" x14ac:dyDescent="0.3">
      <c r="A165" s="14"/>
      <c r="B165" s="254" t="s">
        <v>904</v>
      </c>
      <c r="C165" s="145" t="s">
        <v>918</v>
      </c>
      <c r="D165" s="145" t="str">
        <f>REPLACE(D164,1,19,"Fuel Tech New")</f>
        <v>Fuel Tech New - Biogasoline for low-blending (TRA)</v>
      </c>
      <c r="E165" s="254" t="s">
        <v>85</v>
      </c>
      <c r="F165" s="254" t="s">
        <v>882</v>
      </c>
      <c r="G165" s="254"/>
      <c r="H165" s="254"/>
      <c r="I165" s="254" t="s">
        <v>750</v>
      </c>
      <c r="J165" s="14"/>
    </row>
    <row r="166" spans="1:10" x14ac:dyDescent="0.3">
      <c r="A166" s="14"/>
      <c r="B166" s="254" t="s">
        <v>904</v>
      </c>
      <c r="C166" s="145" t="s">
        <v>919</v>
      </c>
      <c r="D166" s="145" t="str">
        <f t="shared" ref="D166" si="0">REPLACE(D165,1,19,"Fuel Tech New")</f>
        <v>Fuel Tech Newgasoline for low-blending (TRA)</v>
      </c>
      <c r="E166" s="254" t="s">
        <v>85</v>
      </c>
      <c r="F166" s="254" t="s">
        <v>882</v>
      </c>
      <c r="G166" s="254"/>
      <c r="H166" s="254"/>
      <c r="I166" s="254" t="s">
        <v>750</v>
      </c>
      <c r="J166" s="14"/>
    </row>
    <row r="167" spans="1:10" x14ac:dyDescent="0.3">
      <c r="A167" s="14"/>
      <c r="B167" s="254" t="s">
        <v>904</v>
      </c>
      <c r="C167" s="145" t="s">
        <v>920</v>
      </c>
      <c r="D167" s="145" t="s">
        <v>921</v>
      </c>
      <c r="E167" s="254" t="s">
        <v>85</v>
      </c>
      <c r="F167" s="254" t="s">
        <v>882</v>
      </c>
      <c r="G167" s="254"/>
      <c r="H167" s="254"/>
      <c r="I167" s="254" t="s">
        <v>750</v>
      </c>
      <c r="J167" s="14"/>
    </row>
    <row r="168" spans="1:10" x14ac:dyDescent="0.3">
      <c r="A168" s="14"/>
      <c r="B168" s="254" t="s">
        <v>904</v>
      </c>
      <c r="C168" s="145" t="s">
        <v>922</v>
      </c>
      <c r="D168" s="145" t="str">
        <f>REPLACE(D167,1,19,"Fuel Tech New")</f>
        <v>Fuel Tech New - Bio Jet Fuel (TRA)</v>
      </c>
      <c r="E168" s="254" t="s">
        <v>85</v>
      </c>
      <c r="F168" s="254" t="s">
        <v>882</v>
      </c>
      <c r="G168" s="254"/>
      <c r="H168" s="254"/>
      <c r="I168" s="254" t="s">
        <v>750</v>
      </c>
      <c r="J168" s="14"/>
    </row>
    <row r="169" spans="1:10" x14ac:dyDescent="0.3">
      <c r="A169" s="14"/>
      <c r="B169" s="254" t="s">
        <v>904</v>
      </c>
      <c r="C169" s="145" t="s">
        <v>923</v>
      </c>
      <c r="D169" s="145" t="s">
        <v>924</v>
      </c>
      <c r="E169" s="254" t="s">
        <v>85</v>
      </c>
      <c r="F169" s="254" t="s">
        <v>882</v>
      </c>
      <c r="G169" s="254"/>
      <c r="H169" s="254"/>
      <c r="I169" s="254" t="s">
        <v>750</v>
      </c>
      <c r="J169" s="14"/>
    </row>
    <row r="170" spans="1:10" x14ac:dyDescent="0.3">
      <c r="A170" s="14"/>
      <c r="B170" s="254" t="s">
        <v>904</v>
      </c>
      <c r="C170" s="145" t="s">
        <v>925</v>
      </c>
      <c r="D170" s="145" t="str">
        <f>REPLACE(D169,1,19,"Fuel Tech New")</f>
        <v>Fuel Tech New - Dimethyl Ether (TRA)</v>
      </c>
      <c r="E170" s="254" t="s">
        <v>85</v>
      </c>
      <c r="F170" s="254" t="s">
        <v>882</v>
      </c>
      <c r="G170" s="254"/>
      <c r="H170" s="254"/>
      <c r="I170" s="254" t="s">
        <v>750</v>
      </c>
      <c r="J170" s="14"/>
    </row>
    <row r="171" spans="1:10" x14ac:dyDescent="0.3">
      <c r="A171" s="14"/>
      <c r="B171" s="254" t="s">
        <v>904</v>
      </c>
      <c r="C171" s="145" t="s">
        <v>926</v>
      </c>
      <c r="D171" s="145" t="s">
        <v>927</v>
      </c>
      <c r="E171" s="254" t="s">
        <v>85</v>
      </c>
      <c r="F171" s="254" t="s">
        <v>882</v>
      </c>
      <c r="G171" s="254"/>
      <c r="H171" s="254"/>
      <c r="I171" s="254" t="s">
        <v>750</v>
      </c>
      <c r="J171" s="14"/>
    </row>
    <row r="172" spans="1:10" x14ac:dyDescent="0.3">
      <c r="A172" s="14"/>
      <c r="B172" s="254" t="s">
        <v>904</v>
      </c>
      <c r="C172" s="145" t="s">
        <v>928</v>
      </c>
      <c r="D172" s="145" t="str">
        <f>REPLACE(D171,1,19,"Fuel Tech New")</f>
        <v>Fuel Tech New - Diesel for rail transportation (TRA)</v>
      </c>
      <c r="E172" s="254" t="s">
        <v>85</v>
      </c>
      <c r="F172" s="254" t="s">
        <v>882</v>
      </c>
      <c r="G172" s="254"/>
      <c r="H172" s="254"/>
      <c r="I172" s="254" t="s">
        <v>750</v>
      </c>
      <c r="J172" s="14"/>
    </row>
    <row r="173" spans="1:10" x14ac:dyDescent="0.3">
      <c r="A173" s="14"/>
      <c r="B173" s="254" t="s">
        <v>904</v>
      </c>
      <c r="C173" s="145" t="s">
        <v>929</v>
      </c>
      <c r="D173" s="145" t="s">
        <v>930</v>
      </c>
      <c r="E173" s="254" t="s">
        <v>85</v>
      </c>
      <c r="F173" s="254" t="s">
        <v>882</v>
      </c>
      <c r="G173" s="254"/>
      <c r="H173" s="254"/>
      <c r="I173" s="254" t="s">
        <v>750</v>
      </c>
      <c r="J173" s="14"/>
    </row>
    <row r="174" spans="1:10" x14ac:dyDescent="0.3">
      <c r="A174" s="14"/>
      <c r="B174" s="254" t="s">
        <v>904</v>
      </c>
      <c r="C174" s="145" t="s">
        <v>931</v>
      </c>
      <c r="D174" s="145" t="str">
        <f>REPLACE(D173,1,19,"Fuel Tech New")</f>
        <v>Fuel Tech New - Diesel (TRA)</v>
      </c>
      <c r="E174" s="254" t="s">
        <v>85</v>
      </c>
      <c r="F174" s="254" t="s">
        <v>882</v>
      </c>
      <c r="G174" s="254"/>
      <c r="H174" s="254"/>
      <c r="I174" s="254" t="s">
        <v>750</v>
      </c>
      <c r="J174" s="14"/>
    </row>
    <row r="175" spans="1:10" x14ac:dyDescent="0.3">
      <c r="A175" s="14"/>
      <c r="B175" s="254" t="s">
        <v>904</v>
      </c>
      <c r="C175" s="145" t="s">
        <v>932</v>
      </c>
      <c r="D175" s="145" t="s">
        <v>933</v>
      </c>
      <c r="E175" s="254" t="s">
        <v>85</v>
      </c>
      <c r="F175" s="254" t="s">
        <v>882</v>
      </c>
      <c r="G175" s="254"/>
      <c r="H175" s="254"/>
      <c r="I175" s="254" t="s">
        <v>750</v>
      </c>
      <c r="J175" s="14"/>
    </row>
    <row r="176" spans="1:10" x14ac:dyDescent="0.3">
      <c r="A176" s="14"/>
      <c r="B176" s="254" t="s">
        <v>904</v>
      </c>
      <c r="C176" s="145" t="s">
        <v>934</v>
      </c>
      <c r="D176" s="145" t="str">
        <f>REPLACE(D175,1,19,"Fuel Tech New")</f>
        <v>Fuel Tech New - Electricity (TRA)</v>
      </c>
      <c r="E176" s="254" t="s">
        <v>85</v>
      </c>
      <c r="F176" s="254" t="s">
        <v>882</v>
      </c>
      <c r="G176" s="254"/>
      <c r="H176" s="254"/>
      <c r="I176" s="254" t="s">
        <v>750</v>
      </c>
      <c r="J176" s="14"/>
    </row>
    <row r="177" spans="1:10" x14ac:dyDescent="0.3">
      <c r="A177" s="14"/>
      <c r="B177" s="254" t="s">
        <v>904</v>
      </c>
      <c r="C177" s="145" t="s">
        <v>935</v>
      </c>
      <c r="D177" s="145" t="s">
        <v>936</v>
      </c>
      <c r="E177" s="254" t="s">
        <v>85</v>
      </c>
      <c r="F177" s="254" t="s">
        <v>882</v>
      </c>
      <c r="G177" s="254"/>
      <c r="H177" s="254"/>
      <c r="I177" s="254" t="s">
        <v>750</v>
      </c>
      <c r="J177" s="14"/>
    </row>
    <row r="178" spans="1:10" x14ac:dyDescent="0.3">
      <c r="A178" s="14"/>
      <c r="B178" s="254" t="s">
        <v>904</v>
      </c>
      <c r="C178" s="145" t="s">
        <v>937</v>
      </c>
      <c r="D178" s="145" t="str">
        <f>REPLACE(D177,1,19,"Fuel Tech New")</f>
        <v>Fuel Tech New - Electricity for rail transportation (TRA)</v>
      </c>
      <c r="E178" s="254" t="s">
        <v>85</v>
      </c>
      <c r="F178" s="254" t="s">
        <v>882</v>
      </c>
      <c r="G178" s="254"/>
      <c r="H178" s="254"/>
      <c r="I178" s="254" t="s">
        <v>750</v>
      </c>
      <c r="J178" s="14"/>
    </row>
    <row r="179" spans="1:10" x14ac:dyDescent="0.3">
      <c r="A179" s="14"/>
      <c r="B179" s="254" t="s">
        <v>904</v>
      </c>
      <c r="C179" s="145" t="s">
        <v>938</v>
      </c>
      <c r="D179" s="145" t="s">
        <v>939</v>
      </c>
      <c r="E179" s="254" t="s">
        <v>85</v>
      </c>
      <c r="F179" s="254" t="s">
        <v>882</v>
      </c>
      <c r="G179" s="254"/>
      <c r="H179" s="254"/>
      <c r="I179" s="254" t="s">
        <v>750</v>
      </c>
      <c r="J179" s="14"/>
    </row>
    <row r="180" spans="1:10" x14ac:dyDescent="0.3">
      <c r="A180" s="14"/>
      <c r="B180" s="254" t="s">
        <v>904</v>
      </c>
      <c r="C180" s="145" t="s">
        <v>940</v>
      </c>
      <c r="D180" s="145" t="str">
        <f>REPLACE(D179,1,19,"Fuel Tech New")</f>
        <v>Fuel Tech New - Ethanol (TRA)</v>
      </c>
      <c r="E180" s="254" t="s">
        <v>85</v>
      </c>
      <c r="F180" s="254" t="s">
        <v>882</v>
      </c>
      <c r="G180" s="254"/>
      <c r="H180" s="254"/>
      <c r="I180" s="254" t="s">
        <v>750</v>
      </c>
      <c r="J180" s="14"/>
    </row>
    <row r="181" spans="1:10" x14ac:dyDescent="0.3">
      <c r="A181" s="14"/>
      <c r="B181" s="254" t="s">
        <v>904</v>
      </c>
      <c r="C181" s="145" t="s">
        <v>941</v>
      </c>
      <c r="D181" s="145" t="s">
        <v>942</v>
      </c>
      <c r="E181" s="254" t="s">
        <v>85</v>
      </c>
      <c r="F181" s="254" t="s">
        <v>882</v>
      </c>
      <c r="G181" s="254"/>
      <c r="H181" s="254"/>
      <c r="I181" s="254" t="s">
        <v>750</v>
      </c>
      <c r="J181" s="14"/>
    </row>
    <row r="182" spans="1:10" x14ac:dyDescent="0.3">
      <c r="A182" s="14"/>
      <c r="B182" s="254" t="s">
        <v>904</v>
      </c>
      <c r="C182" s="145" t="s">
        <v>943</v>
      </c>
      <c r="D182" s="145" t="str">
        <f t="shared" ref="D182" si="1">REPLACE(D181,1,19,"Fuel Tech New")</f>
        <v>Fuel Tech New - Ethanol for low-blending (TRA)</v>
      </c>
      <c r="E182" s="254" t="s">
        <v>85</v>
      </c>
      <c r="F182" s="254" t="s">
        <v>882</v>
      </c>
      <c r="G182" s="254"/>
      <c r="H182" s="254"/>
      <c r="I182" s="254" t="s">
        <v>750</v>
      </c>
      <c r="J182" s="14"/>
    </row>
    <row r="183" spans="1:10" x14ac:dyDescent="0.3">
      <c r="A183" s="14"/>
      <c r="B183" s="254" t="s">
        <v>904</v>
      </c>
      <c r="C183" s="145" t="s">
        <v>944</v>
      </c>
      <c r="D183" s="145" t="s">
        <v>945</v>
      </c>
      <c r="E183" s="254" t="s">
        <v>85</v>
      </c>
      <c r="F183" s="254" t="s">
        <v>882</v>
      </c>
      <c r="G183" s="254"/>
      <c r="H183" s="254"/>
      <c r="I183" s="254" t="s">
        <v>750</v>
      </c>
      <c r="J183" s="14"/>
    </row>
    <row r="184" spans="1:10" x14ac:dyDescent="0.3">
      <c r="A184" s="14"/>
      <c r="B184" s="254" t="s">
        <v>904</v>
      </c>
      <c r="C184" s="145" t="s">
        <v>946</v>
      </c>
      <c r="D184" s="145" t="str">
        <f>REPLACE(D183,1,19,"Fuel Tech New")</f>
        <v>Fuel Tech New - Gasoline (TRA)</v>
      </c>
      <c r="E184" s="254" t="s">
        <v>85</v>
      </c>
      <c r="F184" s="254" t="s">
        <v>882</v>
      </c>
      <c r="G184" s="254"/>
      <c r="H184" s="254"/>
      <c r="I184" s="254" t="s">
        <v>750</v>
      </c>
      <c r="J184" s="14"/>
    </row>
    <row r="185" spans="1:10" x14ac:dyDescent="0.3">
      <c r="A185" s="14"/>
      <c r="B185" s="254" t="s">
        <v>904</v>
      </c>
      <c r="C185" s="145" t="s">
        <v>947</v>
      </c>
      <c r="D185" s="145" t="s">
        <v>948</v>
      </c>
      <c r="E185" s="254" t="s">
        <v>85</v>
      </c>
      <c r="F185" s="254" t="s">
        <v>882</v>
      </c>
      <c r="G185" s="254"/>
      <c r="H185" s="254"/>
      <c r="I185" s="254" t="s">
        <v>750</v>
      </c>
      <c r="J185" s="14"/>
    </row>
    <row r="186" spans="1:10" x14ac:dyDescent="0.3">
      <c r="B186" s="254" t="s">
        <v>904</v>
      </c>
      <c r="C186" s="145" t="s">
        <v>949</v>
      </c>
      <c r="D186" s="145" t="str">
        <f>REPLACE(D185,1,9,"Fuel Tech New")</f>
        <v>Fuel Tech New - H2 (gaseous) (TRA)</v>
      </c>
      <c r="E186" s="254" t="s">
        <v>85</v>
      </c>
      <c r="F186" s="254" t="s">
        <v>882</v>
      </c>
      <c r="G186" s="254"/>
      <c r="H186" s="254"/>
      <c r="I186" s="254" t="s">
        <v>750</v>
      </c>
    </row>
    <row r="187" spans="1:10" x14ac:dyDescent="0.3">
      <c r="B187" s="254" t="s">
        <v>904</v>
      </c>
      <c r="C187" s="145" t="s">
        <v>950</v>
      </c>
      <c r="D187" s="145" t="s">
        <v>951</v>
      </c>
      <c r="E187" s="254" t="s">
        <v>85</v>
      </c>
      <c r="F187" s="254" t="s">
        <v>882</v>
      </c>
      <c r="G187" s="254"/>
      <c r="H187" s="254"/>
      <c r="I187" s="254" t="s">
        <v>750</v>
      </c>
    </row>
    <row r="188" spans="1:10" x14ac:dyDescent="0.3">
      <c r="B188" s="254" t="s">
        <v>904</v>
      </c>
      <c r="C188" s="145" t="s">
        <v>952</v>
      </c>
      <c r="D188" s="145" t="str">
        <f>REPLACE(D187,1,19,"Fuel Tech New")</f>
        <v>Fuel Tech New - Heavy Fuel Oil (TRA)</v>
      </c>
      <c r="E188" s="254" t="s">
        <v>85</v>
      </c>
      <c r="F188" s="254" t="s">
        <v>882</v>
      </c>
      <c r="G188" s="254"/>
      <c r="H188" s="254"/>
      <c r="I188" s="254" t="s">
        <v>750</v>
      </c>
    </row>
    <row r="189" spans="1:10" x14ac:dyDescent="0.3">
      <c r="B189" s="254" t="s">
        <v>904</v>
      </c>
      <c r="C189" s="145" t="s">
        <v>953</v>
      </c>
      <c r="D189" s="145" t="s">
        <v>954</v>
      </c>
      <c r="E189" s="254" t="s">
        <v>85</v>
      </c>
      <c r="F189" s="254" t="s">
        <v>882</v>
      </c>
      <c r="G189" s="254"/>
      <c r="H189" s="254"/>
      <c r="I189" s="254" t="s">
        <v>750</v>
      </c>
    </row>
    <row r="190" spans="1:10" x14ac:dyDescent="0.3">
      <c r="B190" s="254" t="s">
        <v>904</v>
      </c>
      <c r="C190" s="145" t="s">
        <v>955</v>
      </c>
      <c r="D190" s="145" t="str">
        <f>REPLACE(D189,1,19,"Fuel Tech New")</f>
        <v>Fuel Tech New - Human Power (TRA)</v>
      </c>
      <c r="E190" s="254" t="s">
        <v>85</v>
      </c>
      <c r="F190" s="254" t="s">
        <v>882</v>
      </c>
      <c r="G190" s="254"/>
      <c r="H190" s="254"/>
      <c r="I190" s="254" t="s">
        <v>750</v>
      </c>
    </row>
    <row r="191" spans="1:10" x14ac:dyDescent="0.3">
      <c r="B191" s="254" t="s">
        <v>904</v>
      </c>
      <c r="C191" s="145" t="s">
        <v>956</v>
      </c>
      <c r="D191" s="145" t="s">
        <v>957</v>
      </c>
      <c r="E191" s="254" t="s">
        <v>85</v>
      </c>
      <c r="F191" s="254" t="s">
        <v>882</v>
      </c>
      <c r="G191" s="254"/>
      <c r="H191" s="254"/>
      <c r="I191" s="254" t="s">
        <v>750</v>
      </c>
    </row>
    <row r="192" spans="1:10" x14ac:dyDescent="0.3">
      <c r="B192" s="254" t="s">
        <v>904</v>
      </c>
      <c r="C192" s="145" t="s">
        <v>958</v>
      </c>
      <c r="D192" s="145" t="str">
        <f>REPLACE(D191,1,19,"Fuel Tech New")</f>
        <v>Fuel Tech New - Kerosene - Jet Fuels (TRA)</v>
      </c>
      <c r="E192" s="254" t="s">
        <v>85</v>
      </c>
      <c r="F192" s="254" t="s">
        <v>882</v>
      </c>
      <c r="G192" s="254"/>
      <c r="H192" s="254"/>
      <c r="I192" s="254" t="s">
        <v>750</v>
      </c>
    </row>
    <row r="193" spans="1:10" x14ac:dyDescent="0.3">
      <c r="B193" s="254" t="s">
        <v>904</v>
      </c>
      <c r="C193" s="145" t="s">
        <v>959</v>
      </c>
      <c r="D193" s="145" t="s">
        <v>960</v>
      </c>
      <c r="E193" s="254" t="s">
        <v>85</v>
      </c>
      <c r="F193" s="254" t="s">
        <v>882</v>
      </c>
      <c r="G193" s="254"/>
      <c r="H193" s="254"/>
      <c r="I193" s="254" t="s">
        <v>750</v>
      </c>
    </row>
    <row r="194" spans="1:10" x14ac:dyDescent="0.3">
      <c r="B194" s="254" t="s">
        <v>904</v>
      </c>
      <c r="C194" s="145" t="s">
        <v>961</v>
      </c>
      <c r="D194" s="145" t="str">
        <f>REPLACE(D193,1,19,"Fuel Tech New")</f>
        <v>Fuel Tech New - Light Fuel Oil (TRA)</v>
      </c>
      <c r="E194" s="254" t="s">
        <v>85</v>
      </c>
      <c r="F194" s="254" t="s">
        <v>882</v>
      </c>
      <c r="G194" s="254"/>
      <c r="H194" s="254"/>
      <c r="I194" s="254" t="s">
        <v>750</v>
      </c>
    </row>
    <row r="195" spans="1:10" x14ac:dyDescent="0.3">
      <c r="B195" s="254" t="s">
        <v>904</v>
      </c>
      <c r="C195" s="145" t="s">
        <v>962</v>
      </c>
      <c r="D195" s="145" t="s">
        <v>963</v>
      </c>
      <c r="E195" s="254" t="s">
        <v>85</v>
      </c>
      <c r="F195" s="254" t="s">
        <v>882</v>
      </c>
      <c r="G195" s="254"/>
      <c r="H195" s="254"/>
      <c r="I195" s="254" t="s">
        <v>750</v>
      </c>
    </row>
    <row r="196" spans="1:10" x14ac:dyDescent="0.3">
      <c r="B196" s="254" t="s">
        <v>904</v>
      </c>
      <c r="C196" s="145" t="s">
        <v>964</v>
      </c>
      <c r="D196" s="145" t="str">
        <f>REPLACE(D195,1,19,"Fuel Tech New")</f>
        <v>Fuel Tech New - Liquified Petroleum Gas (TRA)</v>
      </c>
      <c r="E196" s="254" t="s">
        <v>85</v>
      </c>
      <c r="F196" s="254" t="s">
        <v>882</v>
      </c>
      <c r="G196" s="254"/>
      <c r="H196" s="254"/>
      <c r="I196" s="254" t="s">
        <v>750</v>
      </c>
    </row>
    <row r="197" spans="1:10" x14ac:dyDescent="0.3">
      <c r="B197" s="254" t="s">
        <v>904</v>
      </c>
      <c r="C197" s="145" t="s">
        <v>965</v>
      </c>
      <c r="D197" s="145" t="s">
        <v>966</v>
      </c>
      <c r="E197" s="254" t="s">
        <v>85</v>
      </c>
      <c r="F197" s="254" t="s">
        <v>882</v>
      </c>
      <c r="G197" s="254"/>
      <c r="H197" s="254"/>
      <c r="I197" s="254" t="s">
        <v>750</v>
      </c>
    </row>
    <row r="198" spans="1:10" x14ac:dyDescent="0.3">
      <c r="B198" s="254" t="s">
        <v>904</v>
      </c>
      <c r="C198" s="145" t="s">
        <v>967</v>
      </c>
      <c r="D198" s="145" t="str">
        <f>REPLACE(D197,1,19,"Fuel Tech New")</f>
        <v>Fuel Tech New - Biomethanol (TRA)</v>
      </c>
      <c r="E198" s="254" t="s">
        <v>85</v>
      </c>
      <c r="F198" s="254" t="s">
        <v>882</v>
      </c>
      <c r="G198" s="254"/>
      <c r="H198" s="254"/>
      <c r="I198" s="254" t="s">
        <v>750</v>
      </c>
    </row>
    <row r="199" spans="1:10" x14ac:dyDescent="0.3">
      <c r="B199" s="254" t="s">
        <v>904</v>
      </c>
      <c r="C199" s="145" t="s">
        <v>968</v>
      </c>
      <c r="D199" s="145" t="s">
        <v>969</v>
      </c>
      <c r="E199" s="254" t="s">
        <v>85</v>
      </c>
      <c r="F199" s="254" t="s">
        <v>882</v>
      </c>
      <c r="G199" s="254"/>
      <c r="H199" s="254"/>
      <c r="I199" s="254" t="s">
        <v>750</v>
      </c>
    </row>
    <row r="200" spans="1:10" x14ac:dyDescent="0.3">
      <c r="B200" s="254" t="s">
        <v>904</v>
      </c>
      <c r="C200" s="145" t="s">
        <v>970</v>
      </c>
      <c r="D200" s="145" t="str">
        <f>REPLACE(D199,1,19,"Fuel Tech New")</f>
        <v>Fuel Tech New - Biomethanol for low-blending (TRA)</v>
      </c>
      <c r="E200" s="254" t="s">
        <v>85</v>
      </c>
      <c r="F200" s="254" t="s">
        <v>882</v>
      </c>
      <c r="G200" s="254"/>
      <c r="H200" s="254"/>
      <c r="I200" s="254" t="s">
        <v>750</v>
      </c>
    </row>
    <row r="201" spans="1:10" x14ac:dyDescent="0.3">
      <c r="B201" s="254" t="s">
        <v>904</v>
      </c>
      <c r="C201" s="145" t="s">
        <v>971</v>
      </c>
      <c r="D201" s="145" t="s">
        <v>972</v>
      </c>
      <c r="E201" s="254" t="s">
        <v>85</v>
      </c>
      <c r="F201" s="254" t="s">
        <v>882</v>
      </c>
      <c r="G201" s="254"/>
      <c r="H201" s="254"/>
      <c r="I201" s="254" t="s">
        <v>750</v>
      </c>
    </row>
    <row r="202" spans="1:10" x14ac:dyDescent="0.3">
      <c r="B202" s="254" t="s">
        <v>904</v>
      </c>
      <c r="C202" s="145" t="s">
        <v>973</v>
      </c>
      <c r="D202" s="145" t="str">
        <f>REPLACE(D201,1,19,"Fuel Tech New")</f>
        <v>Fuel Tech New - Natural Gas (TRA)</v>
      </c>
      <c r="E202" s="254" t="s">
        <v>85</v>
      </c>
      <c r="F202" s="254" t="s">
        <v>882</v>
      </c>
      <c r="G202" s="254"/>
      <c r="H202" s="254"/>
      <c r="I202" s="254" t="s">
        <v>750</v>
      </c>
    </row>
    <row r="204" spans="1:10" x14ac:dyDescent="0.3">
      <c r="A204" s="14"/>
      <c r="B204" s="254" t="s">
        <v>904</v>
      </c>
      <c r="C204" s="145" t="s">
        <v>974</v>
      </c>
      <c r="D204" s="145" t="s">
        <v>975</v>
      </c>
      <c r="E204" s="254" t="s">
        <v>85</v>
      </c>
      <c r="F204" s="254" t="s">
        <v>882</v>
      </c>
      <c r="G204" s="254"/>
      <c r="H204" s="254"/>
      <c r="I204" s="254" t="s">
        <v>750</v>
      </c>
      <c r="J204" s="14"/>
    </row>
    <row r="205" spans="1:10" x14ac:dyDescent="0.3">
      <c r="A205" s="14"/>
      <c r="B205" s="254" t="s">
        <v>904</v>
      </c>
      <c r="C205" s="145" t="s">
        <v>976</v>
      </c>
      <c r="D205" s="145" t="str">
        <f>REPLACE(D204,1,19,"Fuel Tech New")</f>
        <v>Fuel Tech New - Bio-gasoline (TRA)</v>
      </c>
      <c r="E205" s="254" t="s">
        <v>85</v>
      </c>
      <c r="F205" s="254" t="s">
        <v>882</v>
      </c>
      <c r="G205" s="254"/>
      <c r="H205" s="254"/>
      <c r="I205" s="254" t="s">
        <v>750</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topLeftCell="E27"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977</v>
      </c>
      <c r="C3" s="25"/>
      <c r="D3" s="25"/>
      <c r="E3" s="25"/>
      <c r="F3" s="25"/>
      <c r="G3" s="25"/>
      <c r="H3" s="25"/>
      <c r="I3" s="25"/>
    </row>
    <row r="4" spans="2:12" x14ac:dyDescent="0.3">
      <c r="B4" s="24" t="s">
        <v>978</v>
      </c>
      <c r="C4" s="25"/>
      <c r="D4" s="25"/>
      <c r="E4" s="25"/>
      <c r="F4" s="25"/>
      <c r="G4" s="25"/>
      <c r="H4" s="25"/>
      <c r="I4" s="25"/>
    </row>
    <row r="5" spans="2:12" ht="23.25" customHeight="1" thickBot="1" x14ac:dyDescent="0.35">
      <c r="B5" s="262" t="s">
        <v>979</v>
      </c>
      <c r="C5" s="262" t="s">
        <v>980</v>
      </c>
      <c r="D5" s="262" t="s">
        <v>981</v>
      </c>
      <c r="E5" s="262" t="s">
        <v>580</v>
      </c>
      <c r="F5" s="262" t="s">
        <v>982</v>
      </c>
      <c r="G5" s="262" t="s">
        <v>983</v>
      </c>
      <c r="H5" s="262" t="s">
        <v>984</v>
      </c>
      <c r="I5" s="262" t="s">
        <v>985</v>
      </c>
      <c r="K5" s="262" t="s">
        <v>986</v>
      </c>
      <c r="L5" s="28"/>
    </row>
    <row r="6" spans="2:12" s="13" customFormat="1" x14ac:dyDescent="0.3">
      <c r="B6" s="243" t="s">
        <v>987</v>
      </c>
      <c r="C6" s="153" t="s">
        <v>988</v>
      </c>
      <c r="D6" s="154" t="s">
        <v>989</v>
      </c>
      <c r="E6" s="154" t="s">
        <v>85</v>
      </c>
      <c r="F6" s="244"/>
      <c r="G6" s="244"/>
      <c r="H6" s="244"/>
      <c r="I6" s="244"/>
      <c r="K6" s="245"/>
    </row>
    <row r="7" spans="2:12" s="13" customFormat="1" x14ac:dyDescent="0.3">
      <c r="B7" s="243"/>
      <c r="C7" s="153" t="s">
        <v>990</v>
      </c>
      <c r="D7" s="154" t="s">
        <v>991</v>
      </c>
      <c r="E7" s="154" t="s">
        <v>85</v>
      </c>
      <c r="F7" s="244"/>
      <c r="G7" s="244"/>
      <c r="H7" s="244"/>
      <c r="I7" s="244"/>
      <c r="K7" s="245"/>
    </row>
    <row r="8" spans="2:12" s="13" customFormat="1" x14ac:dyDescent="0.3">
      <c r="B8" s="243"/>
      <c r="C8" s="153" t="s">
        <v>992</v>
      </c>
      <c r="D8" s="154" t="s">
        <v>993</v>
      </c>
      <c r="E8" s="154" t="s">
        <v>85</v>
      </c>
      <c r="F8" s="244"/>
      <c r="G8" s="244"/>
      <c r="H8" s="244"/>
      <c r="I8" s="244"/>
      <c r="K8" s="245"/>
    </row>
    <row r="9" spans="2:12" s="13" customFormat="1" x14ac:dyDescent="0.3">
      <c r="B9" s="244"/>
      <c r="C9" s="153" t="s">
        <v>994</v>
      </c>
      <c r="D9" s="154" t="s">
        <v>995</v>
      </c>
      <c r="E9" s="154" t="s">
        <v>85</v>
      </c>
      <c r="F9" s="244"/>
      <c r="G9" s="244"/>
      <c r="H9" s="244"/>
      <c r="I9" s="244"/>
      <c r="K9" s="245"/>
    </row>
    <row r="10" spans="2:12" s="13" customFormat="1" x14ac:dyDescent="0.3">
      <c r="B10" s="243"/>
      <c r="C10" s="153" t="s">
        <v>996</v>
      </c>
      <c r="D10" s="154" t="s">
        <v>997</v>
      </c>
      <c r="E10" s="154" t="s">
        <v>85</v>
      </c>
      <c r="F10" s="244"/>
      <c r="G10" s="244"/>
      <c r="H10" s="244"/>
      <c r="I10" s="244"/>
      <c r="K10" s="245"/>
    </row>
    <row r="11" spans="2:12" s="13" customFormat="1" x14ac:dyDescent="0.3">
      <c r="B11" s="244"/>
      <c r="C11" s="153" t="s">
        <v>998</v>
      </c>
      <c r="D11" s="154" t="s">
        <v>999</v>
      </c>
      <c r="E11" s="154" t="s">
        <v>85</v>
      </c>
      <c r="F11" s="244"/>
      <c r="G11" s="244"/>
      <c r="H11" s="244"/>
      <c r="I11" s="244"/>
      <c r="K11" s="245"/>
    </row>
    <row r="12" spans="2:12" s="13" customFormat="1" x14ac:dyDescent="0.3">
      <c r="B12" s="244"/>
      <c r="C12" s="153" t="s">
        <v>1000</v>
      </c>
      <c r="D12" s="154" t="s">
        <v>1001</v>
      </c>
      <c r="E12" s="154" t="s">
        <v>85</v>
      </c>
      <c r="F12" s="244"/>
      <c r="G12" s="244"/>
      <c r="H12" s="244"/>
      <c r="I12" s="244"/>
      <c r="K12" s="245"/>
    </row>
    <row r="13" spans="2:12" s="13" customFormat="1" x14ac:dyDescent="0.3">
      <c r="B13" s="244"/>
      <c r="C13" s="153" t="s">
        <v>1002</v>
      </c>
      <c r="D13" s="154" t="s">
        <v>1003</v>
      </c>
      <c r="E13" s="154" t="s">
        <v>85</v>
      </c>
      <c r="F13" s="244"/>
      <c r="G13" s="244"/>
      <c r="H13" s="244"/>
      <c r="I13" s="244"/>
      <c r="K13" s="245"/>
    </row>
    <row r="14" spans="2:12" s="13" customFormat="1" x14ac:dyDescent="0.3">
      <c r="B14" s="243"/>
      <c r="C14" s="153" t="s">
        <v>185</v>
      </c>
      <c r="D14" s="154" t="s">
        <v>1004</v>
      </c>
      <c r="E14" s="154" t="s">
        <v>85</v>
      </c>
      <c r="F14" s="244"/>
      <c r="G14" s="244"/>
      <c r="H14" s="244"/>
      <c r="I14" s="244"/>
      <c r="K14" s="245"/>
    </row>
    <row r="15" spans="2:12" s="13" customFormat="1" x14ac:dyDescent="0.3">
      <c r="B15" s="243"/>
      <c r="C15" s="153" t="s">
        <v>683</v>
      </c>
      <c r="D15" s="154" t="s">
        <v>1005</v>
      </c>
      <c r="E15" s="154" t="s">
        <v>85</v>
      </c>
      <c r="F15" s="244"/>
      <c r="G15" s="244" t="s">
        <v>1006</v>
      </c>
      <c r="H15" s="244"/>
      <c r="I15" s="244" t="s">
        <v>1007</v>
      </c>
      <c r="K15" s="245"/>
    </row>
    <row r="16" spans="2:12" s="13" customFormat="1" x14ac:dyDescent="0.3">
      <c r="B16" s="243"/>
      <c r="C16" s="153" t="s">
        <v>1008</v>
      </c>
      <c r="D16" s="154" t="s">
        <v>1009</v>
      </c>
      <c r="E16" s="154" t="s">
        <v>85</v>
      </c>
      <c r="F16" s="244"/>
      <c r="G16" s="244" t="s">
        <v>1006</v>
      </c>
      <c r="H16" s="244"/>
      <c r="I16" s="244" t="s">
        <v>1007</v>
      </c>
      <c r="K16" s="245"/>
    </row>
    <row r="17" spans="2:20" s="13" customFormat="1" x14ac:dyDescent="0.3">
      <c r="B17" s="243"/>
      <c r="C17" s="153" t="s">
        <v>1010</v>
      </c>
      <c r="D17" s="154" t="s">
        <v>1011</v>
      </c>
      <c r="E17" s="154" t="s">
        <v>85</v>
      </c>
      <c r="F17" s="244"/>
      <c r="G17" s="244"/>
      <c r="H17" s="244"/>
      <c r="I17" s="244"/>
      <c r="K17" s="245"/>
    </row>
    <row r="18" spans="2:20" s="13" customFormat="1" x14ac:dyDescent="0.3">
      <c r="B18" s="246"/>
      <c r="C18" s="153" t="s">
        <v>1012</v>
      </c>
      <c r="D18" s="154" t="s">
        <v>1013</v>
      </c>
      <c r="E18" s="154" t="s">
        <v>85</v>
      </c>
      <c r="F18" s="244"/>
      <c r="G18" s="244"/>
      <c r="H18" s="244"/>
      <c r="I18" s="244"/>
      <c r="K18" s="245"/>
    </row>
    <row r="19" spans="2:20" s="13" customFormat="1" x14ac:dyDescent="0.3">
      <c r="B19" s="246"/>
      <c r="C19" s="153" t="s">
        <v>1014</v>
      </c>
      <c r="D19" s="154" t="s">
        <v>1015</v>
      </c>
      <c r="E19" s="154" t="s">
        <v>85</v>
      </c>
      <c r="F19" s="244"/>
      <c r="G19" s="244"/>
      <c r="H19" s="244"/>
      <c r="I19" s="244"/>
      <c r="K19" s="245"/>
    </row>
    <row r="20" spans="2:20" s="13" customFormat="1" ht="15" thickBot="1" x14ac:dyDescent="0.35">
      <c r="B20" s="243"/>
      <c r="C20" s="154" t="s">
        <v>1016</v>
      </c>
      <c r="D20" s="155" t="s">
        <v>1017</v>
      </c>
      <c r="E20" s="154" t="s">
        <v>85</v>
      </c>
      <c r="F20" s="244"/>
      <c r="G20" s="244"/>
      <c r="H20" s="244"/>
      <c r="I20" s="244"/>
      <c r="K20" s="245"/>
      <c r="O20" s="13" t="s">
        <v>1018</v>
      </c>
      <c r="P20" s="13" t="s">
        <v>1019</v>
      </c>
      <c r="Q20" s="13" t="s">
        <v>1020</v>
      </c>
      <c r="S20" s="13" t="s">
        <v>1021</v>
      </c>
      <c r="T20" s="247" t="s">
        <v>1022</v>
      </c>
    </row>
    <row r="21" spans="2:20" s="13" customFormat="1" x14ac:dyDescent="0.3">
      <c r="B21" s="243"/>
      <c r="C21" s="153" t="s">
        <v>1023</v>
      </c>
      <c r="D21" s="154" t="s">
        <v>1024</v>
      </c>
      <c r="E21" s="154" t="s">
        <v>85</v>
      </c>
      <c r="F21" s="244"/>
      <c r="G21" s="244"/>
      <c r="H21" s="244"/>
      <c r="I21" s="244"/>
      <c r="K21" s="245"/>
      <c r="N21" s="13" t="s">
        <v>1025</v>
      </c>
      <c r="O21" s="13">
        <v>100</v>
      </c>
      <c r="P21" s="29">
        <f>100*10^6/10^12</f>
        <v>1E-4</v>
      </c>
      <c r="Q21" s="30">
        <f>P21*3.6</f>
        <v>3.6000000000000002E-4</v>
      </c>
    </row>
    <row r="22" spans="2:20" s="13" customFormat="1" x14ac:dyDescent="0.3">
      <c r="B22" s="243"/>
      <c r="C22" s="154" t="s">
        <v>681</v>
      </c>
      <c r="D22" s="155" t="s">
        <v>1026</v>
      </c>
      <c r="E22" s="154" t="s">
        <v>85</v>
      </c>
      <c r="F22" s="244"/>
      <c r="G22" s="244"/>
      <c r="H22" s="244"/>
      <c r="I22" s="244"/>
      <c r="K22" s="245" t="s">
        <v>1027</v>
      </c>
      <c r="N22" s="13" t="s">
        <v>1028</v>
      </c>
      <c r="O22" s="13">
        <v>200</v>
      </c>
      <c r="P22" s="29">
        <f>100*10^6/10^12</f>
        <v>1E-4</v>
      </c>
      <c r="Q22" s="13">
        <f>P22*3.6</f>
        <v>3.6000000000000002E-4</v>
      </c>
      <c r="S22" s="13">
        <v>20</v>
      </c>
      <c r="T22" s="13">
        <f>S22*Q22</f>
        <v>7.2000000000000007E-3</v>
      </c>
    </row>
    <row r="23" spans="2:20" s="13" customFormat="1" x14ac:dyDescent="0.3">
      <c r="B23" s="243"/>
      <c r="C23" s="153" t="s">
        <v>1029</v>
      </c>
      <c r="D23" s="154" t="s">
        <v>1030</v>
      </c>
      <c r="E23" s="154" t="s">
        <v>85</v>
      </c>
      <c r="F23" s="244"/>
      <c r="G23" s="244"/>
      <c r="H23" s="244"/>
      <c r="I23" s="244"/>
      <c r="K23" s="245"/>
    </row>
    <row r="24" spans="2:20" s="13" customFormat="1" x14ac:dyDescent="0.3">
      <c r="B24" s="243"/>
      <c r="C24" s="153" t="s">
        <v>1031</v>
      </c>
      <c r="D24" s="154" t="s">
        <v>1032</v>
      </c>
      <c r="E24" s="154" t="s">
        <v>85</v>
      </c>
      <c r="F24" s="244"/>
      <c r="G24" s="244"/>
      <c r="H24" s="244"/>
      <c r="I24" s="244"/>
      <c r="K24" s="245"/>
    </row>
    <row r="25" spans="2:20" s="13" customFormat="1" x14ac:dyDescent="0.3">
      <c r="B25" s="243"/>
      <c r="C25" s="153" t="s">
        <v>1033</v>
      </c>
      <c r="D25" s="154" t="s">
        <v>1034</v>
      </c>
      <c r="E25" s="154" t="s">
        <v>85</v>
      </c>
      <c r="F25" s="244"/>
      <c r="G25" s="244"/>
      <c r="H25" s="244"/>
      <c r="I25" s="244"/>
      <c r="K25" s="245"/>
    </row>
    <row r="26" spans="2:20" s="13" customFormat="1" x14ac:dyDescent="0.3">
      <c r="B26" s="243"/>
      <c r="C26" s="153" t="s">
        <v>1035</v>
      </c>
      <c r="D26" s="154" t="s">
        <v>1036</v>
      </c>
      <c r="E26" s="154" t="s">
        <v>85</v>
      </c>
      <c r="F26" s="244"/>
      <c r="G26" s="244"/>
      <c r="H26" s="244"/>
      <c r="I26" s="244"/>
      <c r="K26" s="245"/>
    </row>
    <row r="27" spans="2:20" s="13" customFormat="1" x14ac:dyDescent="0.3">
      <c r="B27" s="243"/>
      <c r="C27" s="153" t="s">
        <v>1037</v>
      </c>
      <c r="D27" s="154" t="s">
        <v>1038</v>
      </c>
      <c r="E27" s="154" t="s">
        <v>85</v>
      </c>
      <c r="F27" s="244"/>
      <c r="G27" s="244"/>
      <c r="H27" s="244"/>
      <c r="I27" s="244"/>
      <c r="K27" s="245"/>
    </row>
    <row r="28" spans="2:20" s="13" customFormat="1" x14ac:dyDescent="0.3">
      <c r="B28" s="248"/>
      <c r="C28" s="697" t="s">
        <v>1039</v>
      </c>
      <c r="D28" s="156" t="s">
        <v>1040</v>
      </c>
      <c r="E28" s="156" t="s">
        <v>85</v>
      </c>
      <c r="F28" s="249"/>
      <c r="G28" s="249"/>
      <c r="H28" s="249"/>
      <c r="I28" s="249"/>
      <c r="K28" s="250"/>
    </row>
    <row r="29" spans="2:20" s="13" customFormat="1" x14ac:dyDescent="0.3">
      <c r="B29" s="243" t="s">
        <v>1041</v>
      </c>
      <c r="C29" s="157" t="s">
        <v>523</v>
      </c>
      <c r="D29" s="157" t="s">
        <v>582</v>
      </c>
      <c r="E29" s="154" t="s">
        <v>583</v>
      </c>
      <c r="F29" s="244"/>
      <c r="G29" s="244"/>
      <c r="H29" s="244"/>
      <c r="I29" s="244"/>
      <c r="K29" s="245"/>
    </row>
    <row r="30" spans="2:20" s="13" customFormat="1" x14ac:dyDescent="0.3">
      <c r="B30" s="243"/>
      <c r="C30" s="157" t="s">
        <v>584</v>
      </c>
      <c r="D30" s="157" t="s">
        <v>585</v>
      </c>
      <c r="E30" s="154" t="s">
        <v>583</v>
      </c>
      <c r="F30" s="244"/>
      <c r="G30" s="244"/>
      <c r="H30" s="244"/>
      <c r="I30" s="244"/>
      <c r="K30" s="245"/>
    </row>
    <row r="31" spans="2:20" s="13" customFormat="1" x14ac:dyDescent="0.3">
      <c r="B31" s="243"/>
      <c r="C31" s="157" t="s">
        <v>82</v>
      </c>
      <c r="D31" s="157" t="s">
        <v>586</v>
      </c>
      <c r="E31" s="154" t="s">
        <v>583</v>
      </c>
      <c r="F31" s="244"/>
      <c r="G31" s="244"/>
      <c r="H31" s="244"/>
      <c r="I31" s="244"/>
      <c r="K31" s="245"/>
    </row>
    <row r="32" spans="2:20" s="13" customFormat="1" x14ac:dyDescent="0.3">
      <c r="B32" s="243"/>
      <c r="C32" s="157" t="s">
        <v>587</v>
      </c>
      <c r="D32" s="157" t="s">
        <v>588</v>
      </c>
      <c r="E32" s="154" t="s">
        <v>583</v>
      </c>
      <c r="F32" s="244"/>
      <c r="G32" s="244"/>
      <c r="H32" s="244"/>
      <c r="I32" s="244"/>
      <c r="K32" s="245"/>
    </row>
    <row r="33" spans="2:11" s="13" customFormat="1" x14ac:dyDescent="0.3">
      <c r="B33" s="243"/>
      <c r="C33" s="157" t="s">
        <v>414</v>
      </c>
      <c r="D33" s="157" t="s">
        <v>589</v>
      </c>
      <c r="E33" s="154" t="s">
        <v>583</v>
      </c>
      <c r="F33" s="244"/>
      <c r="G33" s="244"/>
      <c r="H33" s="244"/>
      <c r="I33" s="244"/>
      <c r="K33" s="245"/>
    </row>
    <row r="34" spans="2:11" s="13" customFormat="1" x14ac:dyDescent="0.3">
      <c r="B34" s="243"/>
      <c r="C34" s="157" t="s">
        <v>590</v>
      </c>
      <c r="D34" s="157" t="s">
        <v>591</v>
      </c>
      <c r="E34" s="154" t="s">
        <v>583</v>
      </c>
      <c r="F34" s="244"/>
      <c r="G34" s="244"/>
      <c r="H34" s="244"/>
      <c r="I34" s="244"/>
      <c r="K34" s="245"/>
    </row>
    <row r="35" spans="2:11" s="13" customFormat="1" x14ac:dyDescent="0.3">
      <c r="B35" s="243"/>
      <c r="C35" s="157" t="s">
        <v>415</v>
      </c>
      <c r="D35" s="157" t="s">
        <v>592</v>
      </c>
      <c r="E35" s="154" t="s">
        <v>583</v>
      </c>
      <c r="F35" s="244"/>
      <c r="G35" s="244"/>
      <c r="H35" s="244"/>
      <c r="I35" s="244"/>
      <c r="K35" s="245"/>
    </row>
    <row r="36" spans="2:11" s="13" customFormat="1" x14ac:dyDescent="0.3">
      <c r="B36" s="243"/>
      <c r="C36" s="157" t="s">
        <v>593</v>
      </c>
      <c r="D36" s="157" t="s">
        <v>594</v>
      </c>
      <c r="E36" s="154" t="s">
        <v>583</v>
      </c>
      <c r="F36" s="244"/>
      <c r="G36" s="244"/>
      <c r="H36" s="244"/>
      <c r="I36" s="244"/>
      <c r="K36" s="245"/>
    </row>
    <row r="37" spans="2:11" s="13" customFormat="1" x14ac:dyDescent="0.3">
      <c r="B37" s="243"/>
      <c r="C37" s="157" t="s">
        <v>402</v>
      </c>
      <c r="D37" s="157" t="s">
        <v>595</v>
      </c>
      <c r="E37" s="154" t="s">
        <v>583</v>
      </c>
      <c r="F37" s="244"/>
      <c r="G37" s="244"/>
      <c r="H37" s="244"/>
      <c r="I37" s="244"/>
      <c r="K37" s="245"/>
    </row>
    <row r="38" spans="2:11" s="13" customFormat="1" x14ac:dyDescent="0.3">
      <c r="B38" s="243"/>
      <c r="C38" s="157" t="s">
        <v>406</v>
      </c>
      <c r="D38" s="157" t="str">
        <f>CONCATENATE(D37,"City.")</f>
        <v>Road.Car.Long.City.</v>
      </c>
      <c r="E38" s="154" t="s">
        <v>583</v>
      </c>
      <c r="F38" s="244"/>
      <c r="G38" s="244"/>
      <c r="H38" s="244"/>
      <c r="I38" s="244"/>
      <c r="K38" s="245"/>
    </row>
    <row r="39" spans="2:11" s="13" customFormat="1" x14ac:dyDescent="0.3">
      <c r="B39" s="243"/>
      <c r="C39" s="157" t="s">
        <v>410</v>
      </c>
      <c r="D39" s="157" t="s">
        <v>597</v>
      </c>
      <c r="E39" s="154" t="s">
        <v>583</v>
      </c>
      <c r="F39" s="244"/>
      <c r="G39" s="244"/>
      <c r="H39" s="244"/>
      <c r="I39" s="244"/>
      <c r="K39" s="245"/>
    </row>
    <row r="40" spans="2:11" s="13" customFormat="1" x14ac:dyDescent="0.3">
      <c r="B40" s="243"/>
      <c r="C40" s="157" t="s">
        <v>404</v>
      </c>
      <c r="D40" s="157" t="s">
        <v>598</v>
      </c>
      <c r="E40" s="154" t="s">
        <v>583</v>
      </c>
      <c r="F40" s="244"/>
      <c r="G40" s="244"/>
      <c r="H40" s="244"/>
      <c r="I40" s="244"/>
      <c r="K40" s="245"/>
    </row>
    <row r="41" spans="2:11" s="13" customFormat="1" x14ac:dyDescent="0.3">
      <c r="B41" s="243"/>
      <c r="C41" s="157" t="s">
        <v>408</v>
      </c>
      <c r="D41" s="157" t="str">
        <f>CONCATENATE(D40,"City.")</f>
        <v>Road.Car.Short.City.</v>
      </c>
      <c r="E41" s="154" t="s">
        <v>583</v>
      </c>
      <c r="F41" s="244"/>
      <c r="G41" s="244"/>
      <c r="H41" s="244"/>
      <c r="I41" s="244"/>
      <c r="K41" s="245"/>
    </row>
    <row r="42" spans="2:11" s="13" customFormat="1" x14ac:dyDescent="0.3">
      <c r="B42" s="243"/>
      <c r="C42" s="157" t="s">
        <v>412</v>
      </c>
      <c r="D42" s="157" t="s">
        <v>600</v>
      </c>
      <c r="E42" s="154" t="s">
        <v>583</v>
      </c>
      <c r="F42" s="244"/>
      <c r="G42" s="244"/>
      <c r="H42" s="244"/>
      <c r="I42" s="244"/>
      <c r="K42" s="245"/>
    </row>
    <row r="43" spans="2:11" s="13" customFormat="1" x14ac:dyDescent="0.3">
      <c r="B43" s="243"/>
      <c r="C43" s="157" t="s">
        <v>431</v>
      </c>
      <c r="D43" s="157" t="s">
        <v>636</v>
      </c>
      <c r="E43" s="154" t="s">
        <v>633</v>
      </c>
      <c r="F43" s="244"/>
      <c r="G43" s="244"/>
      <c r="H43" s="244"/>
      <c r="I43" s="244"/>
      <c r="K43" s="245"/>
    </row>
    <row r="44" spans="2:11" s="13" customFormat="1" x14ac:dyDescent="0.3">
      <c r="B44" s="243"/>
      <c r="C44" s="157" t="s">
        <v>637</v>
      </c>
      <c r="D44" s="157" t="s">
        <v>638</v>
      </c>
      <c r="E44" s="154" t="s">
        <v>633</v>
      </c>
      <c r="F44" s="244"/>
      <c r="G44" s="244"/>
      <c r="H44" s="244"/>
      <c r="I44" s="244"/>
      <c r="K44" s="245"/>
    </row>
    <row r="45" spans="2:11" s="13" customFormat="1" x14ac:dyDescent="0.3">
      <c r="B45" s="243"/>
      <c r="C45" s="157" t="s">
        <v>429</v>
      </c>
      <c r="D45" s="157" t="s">
        <v>639</v>
      </c>
      <c r="E45" s="154" t="s">
        <v>633</v>
      </c>
      <c r="F45" s="244"/>
      <c r="G45" s="244"/>
      <c r="H45" s="244"/>
      <c r="I45" s="244"/>
      <c r="K45" s="245"/>
    </row>
    <row r="46" spans="2:11" s="13" customFormat="1" x14ac:dyDescent="0.3">
      <c r="B46" s="243"/>
      <c r="C46" s="157" t="s">
        <v>640</v>
      </c>
      <c r="D46" s="157" t="s">
        <v>641</v>
      </c>
      <c r="E46" s="154" t="s">
        <v>633</v>
      </c>
      <c r="F46" s="244"/>
      <c r="G46" s="244"/>
      <c r="H46" s="244"/>
      <c r="I46" s="244"/>
      <c r="K46" s="245"/>
    </row>
    <row r="47" spans="2:11" s="13" customFormat="1" x14ac:dyDescent="0.3">
      <c r="B47" s="243"/>
      <c r="C47" s="157" t="s">
        <v>435</v>
      </c>
      <c r="D47" s="157" t="s">
        <v>642</v>
      </c>
      <c r="E47" s="154" t="s">
        <v>633</v>
      </c>
      <c r="F47" s="244"/>
      <c r="G47" s="244"/>
      <c r="H47" s="244"/>
      <c r="I47" s="244"/>
      <c r="K47" s="245"/>
    </row>
    <row r="48" spans="2:11" s="13" customFormat="1" x14ac:dyDescent="0.3">
      <c r="B48" s="243"/>
      <c r="C48" s="157" t="s">
        <v>643</v>
      </c>
      <c r="D48" s="157" t="s">
        <v>644</v>
      </c>
      <c r="E48" s="154" t="s">
        <v>633</v>
      </c>
      <c r="F48" s="244"/>
      <c r="G48" s="244"/>
      <c r="H48" s="244"/>
      <c r="I48" s="244"/>
      <c r="K48" s="245"/>
    </row>
    <row r="49" spans="2:11" s="13" customFormat="1" x14ac:dyDescent="0.3">
      <c r="B49" s="243"/>
      <c r="C49" s="157" t="s">
        <v>433</v>
      </c>
      <c r="D49" s="157" t="s">
        <v>645</v>
      </c>
      <c r="E49" s="154" t="s">
        <v>633</v>
      </c>
      <c r="F49" s="244"/>
      <c r="G49" s="244"/>
      <c r="H49" s="244"/>
      <c r="I49" s="244"/>
      <c r="K49" s="245"/>
    </row>
    <row r="50" spans="2:11" s="13" customFormat="1" x14ac:dyDescent="0.3">
      <c r="B50" s="243"/>
      <c r="C50" s="157" t="s">
        <v>646</v>
      </c>
      <c r="D50" s="157" t="s">
        <v>647</v>
      </c>
      <c r="E50" s="154" t="s">
        <v>633</v>
      </c>
      <c r="F50" s="244"/>
      <c r="G50" s="244"/>
      <c r="H50" s="244"/>
      <c r="I50" s="244"/>
      <c r="K50" s="245"/>
    </row>
    <row r="51" spans="2:11" s="13" customFormat="1" x14ac:dyDescent="0.3">
      <c r="B51" s="243"/>
      <c r="C51" s="157" t="s">
        <v>439</v>
      </c>
      <c r="D51" s="157" t="s">
        <v>648</v>
      </c>
      <c r="E51" s="154" t="s">
        <v>633</v>
      </c>
      <c r="F51" s="244"/>
      <c r="G51" s="244"/>
      <c r="H51" s="244"/>
      <c r="I51" s="244"/>
      <c r="K51" s="245"/>
    </row>
    <row r="52" spans="2:11" s="13" customFormat="1" x14ac:dyDescent="0.3">
      <c r="B52" s="243"/>
      <c r="C52" s="157" t="s">
        <v>649</v>
      </c>
      <c r="D52" s="157" t="s">
        <v>650</v>
      </c>
      <c r="E52" s="154" t="s">
        <v>633</v>
      </c>
      <c r="F52" s="244"/>
      <c r="G52" s="244"/>
      <c r="H52" s="244"/>
      <c r="I52" s="244"/>
      <c r="K52" s="245"/>
    </row>
    <row r="53" spans="2:11" s="13" customFormat="1" x14ac:dyDescent="0.3">
      <c r="B53" s="243"/>
      <c r="C53" s="157" t="s">
        <v>437</v>
      </c>
      <c r="D53" s="157" t="s">
        <v>651</v>
      </c>
      <c r="E53" s="154" t="s">
        <v>633</v>
      </c>
      <c r="F53" s="244"/>
      <c r="G53" s="244"/>
      <c r="H53" s="244"/>
      <c r="I53" s="244"/>
      <c r="K53" s="245"/>
    </row>
    <row r="54" spans="2:11" s="13" customFormat="1" x14ac:dyDescent="0.3">
      <c r="B54" s="243"/>
      <c r="C54" s="157" t="s">
        <v>652</v>
      </c>
      <c r="D54" s="157" t="s">
        <v>653</v>
      </c>
      <c r="E54" s="154" t="s">
        <v>633</v>
      </c>
      <c r="F54" s="244"/>
      <c r="G54" s="244"/>
      <c r="H54" s="244"/>
      <c r="I54" s="244"/>
      <c r="K54" s="245"/>
    </row>
    <row r="55" spans="2:11" s="13" customFormat="1" x14ac:dyDescent="0.3">
      <c r="B55" s="243"/>
      <c r="C55" s="157" t="s">
        <v>427</v>
      </c>
      <c r="D55" s="157" t="s">
        <v>1042</v>
      </c>
      <c r="E55" s="154" t="s">
        <v>633</v>
      </c>
      <c r="F55" s="244"/>
      <c r="G55" s="244"/>
      <c r="H55" s="244"/>
      <c r="I55" s="244"/>
      <c r="K55" s="245"/>
    </row>
    <row r="56" spans="2:11" s="13" customFormat="1" x14ac:dyDescent="0.3">
      <c r="B56" s="243"/>
      <c r="C56" s="157" t="s">
        <v>634</v>
      </c>
      <c r="D56" s="157" t="s">
        <v>1043</v>
      </c>
      <c r="E56" s="154" t="s">
        <v>633</v>
      </c>
      <c r="F56" s="244"/>
      <c r="G56" s="244"/>
      <c r="H56" s="244"/>
      <c r="I56" s="244"/>
      <c r="K56" s="245"/>
    </row>
    <row r="57" spans="2:11" s="13" customFormat="1" x14ac:dyDescent="0.3">
      <c r="B57" s="243"/>
      <c r="C57" s="157" t="s">
        <v>400</v>
      </c>
      <c r="D57" s="157" t="s">
        <v>601</v>
      </c>
      <c r="E57" s="154" t="s">
        <v>583</v>
      </c>
      <c r="F57" s="244"/>
      <c r="G57" s="244"/>
      <c r="H57" s="244"/>
      <c r="I57" s="244"/>
      <c r="K57" s="245"/>
    </row>
    <row r="58" spans="2:11" s="13" customFormat="1" x14ac:dyDescent="0.3">
      <c r="B58" s="243"/>
      <c r="C58" s="157" t="s">
        <v>479</v>
      </c>
      <c r="D58" s="157" t="s">
        <v>602</v>
      </c>
      <c r="E58" s="154" t="s">
        <v>583</v>
      </c>
      <c r="F58" s="244"/>
      <c r="G58" s="244"/>
      <c r="H58" s="244"/>
      <c r="I58" s="244"/>
      <c r="K58" s="245"/>
    </row>
    <row r="59" spans="2:11" s="13" customFormat="1" x14ac:dyDescent="0.3">
      <c r="B59" s="243"/>
      <c r="C59" s="157" t="s">
        <v>76</v>
      </c>
      <c r="D59" s="157" t="s">
        <v>603</v>
      </c>
      <c r="E59" s="154" t="s">
        <v>583</v>
      </c>
      <c r="F59" s="244"/>
      <c r="G59" s="244"/>
      <c r="H59" s="244"/>
      <c r="I59" s="244"/>
      <c r="K59" s="245"/>
    </row>
    <row r="60" spans="2:11" s="13" customFormat="1" x14ac:dyDescent="0.3">
      <c r="B60" s="243"/>
      <c r="C60" s="157" t="s">
        <v>494</v>
      </c>
      <c r="D60" s="157" t="s">
        <v>604</v>
      </c>
      <c r="E60" s="154" t="s">
        <v>583</v>
      </c>
      <c r="F60" s="244"/>
      <c r="G60" s="244"/>
      <c r="H60" s="244"/>
      <c r="I60" s="244"/>
      <c r="K60" s="245"/>
    </row>
    <row r="61" spans="2:11" s="13" customFormat="1" x14ac:dyDescent="0.3">
      <c r="B61" s="243"/>
      <c r="C61" s="157" t="s">
        <v>81</v>
      </c>
      <c r="D61" s="157" t="s">
        <v>605</v>
      </c>
      <c r="E61" s="154" t="s">
        <v>583</v>
      </c>
      <c r="F61" s="244"/>
      <c r="G61" s="244"/>
      <c r="H61" s="244"/>
      <c r="I61" s="244"/>
      <c r="K61" s="245"/>
    </row>
    <row r="62" spans="2:11" s="13" customFormat="1" x14ac:dyDescent="0.3">
      <c r="B62" s="243"/>
      <c r="C62" s="157" t="s">
        <v>606</v>
      </c>
      <c r="D62" s="157" t="s">
        <v>607</v>
      </c>
      <c r="E62" s="154" t="s">
        <v>583</v>
      </c>
      <c r="F62" s="244"/>
      <c r="G62" s="244"/>
      <c r="H62" s="244"/>
      <c r="I62" s="244"/>
      <c r="K62" s="245"/>
    </row>
    <row r="63" spans="2:11" s="13" customFormat="1" x14ac:dyDescent="0.3">
      <c r="B63" s="243"/>
      <c r="C63" s="157" t="s">
        <v>443</v>
      </c>
      <c r="D63" s="157" t="s">
        <v>654</v>
      </c>
      <c r="E63" s="154" t="s">
        <v>633</v>
      </c>
      <c r="F63" s="244"/>
      <c r="G63" s="244"/>
      <c r="H63" s="244"/>
      <c r="I63" s="244"/>
      <c r="K63" s="245"/>
    </row>
    <row r="64" spans="2:11" s="13" customFormat="1" x14ac:dyDescent="0.3">
      <c r="B64" s="243"/>
      <c r="C64" s="157" t="s">
        <v>655</v>
      </c>
      <c r="D64" s="157" t="s">
        <v>656</v>
      </c>
      <c r="E64" s="154" t="s">
        <v>633</v>
      </c>
      <c r="F64" s="244"/>
      <c r="G64" s="244"/>
      <c r="H64" s="244"/>
      <c r="I64" s="244"/>
      <c r="K64" s="245"/>
    </row>
    <row r="65" spans="2:11" s="13" customFormat="1" x14ac:dyDescent="0.3">
      <c r="B65" s="243"/>
      <c r="C65" s="157" t="s">
        <v>521</v>
      </c>
      <c r="D65" s="157" t="s">
        <v>608</v>
      </c>
      <c r="E65" s="154" t="s">
        <v>583</v>
      </c>
      <c r="F65" s="244"/>
      <c r="G65" s="244"/>
      <c r="H65" s="244"/>
      <c r="I65" s="244"/>
      <c r="K65" s="245"/>
    </row>
    <row r="66" spans="2:11" s="13" customFormat="1" x14ac:dyDescent="0.3">
      <c r="B66" s="243"/>
      <c r="C66" s="157" t="s">
        <v>609</v>
      </c>
      <c r="D66" s="157" t="s">
        <v>610</v>
      </c>
      <c r="E66" s="154" t="s">
        <v>583</v>
      </c>
      <c r="F66" s="244"/>
      <c r="G66" s="244"/>
      <c r="H66" s="244"/>
      <c r="I66" s="244"/>
      <c r="K66" s="245"/>
    </row>
    <row r="67" spans="2:11" s="13" customFormat="1" x14ac:dyDescent="0.3">
      <c r="B67" s="243"/>
      <c r="C67" s="157" t="s">
        <v>420</v>
      </c>
      <c r="D67" s="157" t="s">
        <v>1044</v>
      </c>
      <c r="E67" s="154" t="s">
        <v>85</v>
      </c>
      <c r="F67" s="244"/>
      <c r="G67" s="244"/>
      <c r="H67" s="244"/>
      <c r="I67" s="244"/>
      <c r="K67" s="245"/>
    </row>
    <row r="68" spans="2:11" s="13" customFormat="1" x14ac:dyDescent="0.3">
      <c r="B68" s="243"/>
      <c r="C68" s="157" t="s">
        <v>483</v>
      </c>
      <c r="D68" s="157" t="s">
        <v>612</v>
      </c>
      <c r="E68" s="154" t="s">
        <v>85</v>
      </c>
      <c r="F68" s="244"/>
      <c r="G68" s="244"/>
      <c r="H68" s="244"/>
      <c r="I68" s="244"/>
      <c r="K68" s="245"/>
    </row>
    <row r="69" spans="2:11" s="13" customFormat="1" x14ac:dyDescent="0.3">
      <c r="B69" s="246"/>
      <c r="C69" s="157" t="s">
        <v>657</v>
      </c>
      <c r="D69" s="157" t="s">
        <v>658</v>
      </c>
      <c r="E69" s="154" t="s">
        <v>85</v>
      </c>
      <c r="F69" s="244"/>
      <c r="G69" s="244"/>
      <c r="H69" s="244"/>
      <c r="I69" s="244"/>
      <c r="K69" s="245"/>
    </row>
    <row r="70" spans="2:11" s="13" customFormat="1" x14ac:dyDescent="0.3">
      <c r="B70" s="246"/>
      <c r="C70" s="157" t="s">
        <v>659</v>
      </c>
      <c r="D70" s="157" t="s">
        <v>660</v>
      </c>
      <c r="E70" s="154" t="s">
        <v>85</v>
      </c>
      <c r="F70" s="244"/>
      <c r="G70" s="244"/>
      <c r="H70" s="244"/>
      <c r="I70" s="244"/>
      <c r="K70" s="245"/>
    </row>
    <row r="71" spans="2:11" x14ac:dyDescent="0.3">
      <c r="B71" s="243"/>
      <c r="C71" s="157" t="s">
        <v>441</v>
      </c>
      <c r="D71" s="157" t="s">
        <v>661</v>
      </c>
      <c r="E71" s="154" t="s">
        <v>633</v>
      </c>
      <c r="F71" s="244"/>
      <c r="G71" s="244"/>
      <c r="H71" s="244"/>
      <c r="I71" s="244"/>
      <c r="J71" s="13"/>
      <c r="K71" s="245"/>
    </row>
    <row r="72" spans="2:11" x14ac:dyDescent="0.3">
      <c r="B72" s="246"/>
      <c r="C72" s="157" t="s">
        <v>662</v>
      </c>
      <c r="D72" s="157" t="str">
        <f>CONCATENATE(D71,"City.")</f>
        <v>Rail.Freight.City.</v>
      </c>
      <c r="E72" s="154" t="s">
        <v>633</v>
      </c>
      <c r="F72" s="244"/>
      <c r="G72" s="244"/>
      <c r="H72" s="244"/>
      <c r="I72" s="244"/>
      <c r="J72" s="13"/>
      <c r="K72" s="245"/>
    </row>
    <row r="73" spans="2:11" s="13" customFormat="1" x14ac:dyDescent="0.3">
      <c r="B73" s="246"/>
      <c r="C73" s="157" t="s">
        <v>419</v>
      </c>
      <c r="D73" s="157" t="s">
        <v>613</v>
      </c>
      <c r="E73" s="154" t="s">
        <v>583</v>
      </c>
      <c r="F73" s="244"/>
      <c r="G73" s="244"/>
      <c r="H73" s="244"/>
      <c r="I73" s="244"/>
      <c r="K73" s="245"/>
    </row>
    <row r="74" spans="2:11" s="13" customFormat="1" x14ac:dyDescent="0.3">
      <c r="B74" s="246"/>
      <c r="C74" s="157" t="s">
        <v>614</v>
      </c>
      <c r="D74" s="157" t="s">
        <v>615</v>
      </c>
      <c r="E74" s="154" t="s">
        <v>583</v>
      </c>
      <c r="F74" s="244"/>
      <c r="G74" s="244"/>
      <c r="H74" s="244"/>
      <c r="I74" s="244"/>
      <c r="K74" s="245"/>
    </row>
    <row r="75" spans="2:11" s="13" customFormat="1" x14ac:dyDescent="0.3">
      <c r="B75" s="246"/>
      <c r="C75" s="157" t="s">
        <v>511</v>
      </c>
      <c r="D75" s="157" t="s">
        <v>616</v>
      </c>
      <c r="E75" s="154" t="s">
        <v>583</v>
      </c>
      <c r="F75" s="244"/>
      <c r="G75" s="244"/>
      <c r="H75" s="244"/>
      <c r="I75" s="244"/>
      <c r="K75" s="245"/>
    </row>
    <row r="76" spans="2:11" s="13" customFormat="1" x14ac:dyDescent="0.3">
      <c r="B76" s="246"/>
      <c r="C76" s="157" t="s">
        <v>617</v>
      </c>
      <c r="D76" s="157" t="str">
        <f>CONCATENATE(D75,"City.")</f>
        <v>Rail.Passenger.LightRail.City.</v>
      </c>
      <c r="E76" s="154" t="s">
        <v>583</v>
      </c>
      <c r="F76" s="244"/>
      <c r="G76" s="244"/>
      <c r="H76" s="244"/>
      <c r="I76" s="244"/>
      <c r="K76" s="245"/>
    </row>
    <row r="77" spans="2:11" s="13" customFormat="1" x14ac:dyDescent="0.3">
      <c r="B77" s="251"/>
      <c r="C77" s="157" t="s">
        <v>513</v>
      </c>
      <c r="D77" s="157" t="s">
        <v>619</v>
      </c>
      <c r="E77" s="154" t="s">
        <v>583</v>
      </c>
      <c r="F77" s="244"/>
      <c r="G77" s="244"/>
      <c r="H77" s="244"/>
      <c r="I77" s="244"/>
      <c r="K77" s="245"/>
    </row>
    <row r="78" spans="2:11" s="13" customFormat="1" x14ac:dyDescent="0.3">
      <c r="B78" s="246"/>
      <c r="C78" s="157" t="s">
        <v>620</v>
      </c>
      <c r="D78" s="157" t="str">
        <f>CONCATENATE(D77,"City.")</f>
        <v>Rail.Passenger.Metro.City.</v>
      </c>
      <c r="E78" s="154" t="s">
        <v>583</v>
      </c>
      <c r="F78" s="244"/>
      <c r="G78" s="244"/>
      <c r="H78" s="244"/>
      <c r="I78" s="244"/>
      <c r="K78" s="245"/>
    </row>
    <row r="79" spans="2:11" x14ac:dyDescent="0.3">
      <c r="B79" s="243"/>
      <c r="C79" s="157" t="s">
        <v>417</v>
      </c>
      <c r="D79" s="157" t="s">
        <v>622</v>
      </c>
      <c r="E79" s="154" t="s">
        <v>583</v>
      </c>
      <c r="F79" s="244"/>
      <c r="G79" s="244"/>
      <c r="H79" s="244"/>
      <c r="I79" s="244"/>
      <c r="J79" s="13"/>
      <c r="K79" s="245"/>
    </row>
    <row r="80" spans="2:11" x14ac:dyDescent="0.3">
      <c r="B80" s="243"/>
      <c r="C80" s="157" t="s">
        <v>623</v>
      </c>
      <c r="D80" s="157" t="str">
        <f>CONCATENATE(D79,"City.")</f>
        <v>Rail.Passenger.City.</v>
      </c>
      <c r="E80" s="154" t="s">
        <v>583</v>
      </c>
      <c r="F80" s="244"/>
      <c r="G80" s="244"/>
      <c r="H80" s="244"/>
      <c r="I80" s="244"/>
      <c r="J80" s="13"/>
      <c r="K80" s="245"/>
    </row>
    <row r="81" spans="2:14" x14ac:dyDescent="0.3">
      <c r="B81" s="246"/>
      <c r="C81" s="157" t="s">
        <v>394</v>
      </c>
      <c r="D81" s="157" t="s">
        <v>625</v>
      </c>
      <c r="E81" s="154" t="s">
        <v>583</v>
      </c>
      <c r="F81" s="244"/>
      <c r="G81" s="244"/>
      <c r="H81" s="244"/>
      <c r="I81" s="244"/>
      <c r="J81" s="13"/>
      <c r="K81" s="245"/>
    </row>
    <row r="82" spans="2:14" x14ac:dyDescent="0.3">
      <c r="B82" s="246"/>
      <c r="C82" s="157" t="s">
        <v>470</v>
      </c>
      <c r="D82" s="157" t="s">
        <v>626</v>
      </c>
      <c r="E82" s="154" t="s">
        <v>583</v>
      </c>
      <c r="F82" s="244"/>
      <c r="G82" s="244"/>
      <c r="H82" s="244"/>
      <c r="I82" s="244"/>
      <c r="J82" s="13"/>
      <c r="K82" s="245"/>
    </row>
    <row r="83" spans="2:14" s="13" customFormat="1" x14ac:dyDescent="0.3">
      <c r="B83" s="243"/>
      <c r="C83" s="157" t="s">
        <v>425</v>
      </c>
      <c r="D83" s="157" t="s">
        <v>664</v>
      </c>
      <c r="E83" s="154" t="s">
        <v>633</v>
      </c>
      <c r="F83" s="244"/>
      <c r="G83" s="244"/>
      <c r="H83" s="244"/>
      <c r="I83" s="244"/>
      <c r="K83" s="245"/>
      <c r="M83" s="31"/>
      <c r="N83"/>
    </row>
    <row r="84" spans="2:14" s="13" customFormat="1" x14ac:dyDescent="0.3">
      <c r="B84" s="243"/>
      <c r="C84" s="157" t="s">
        <v>510</v>
      </c>
      <c r="D84" s="157" t="s">
        <v>665</v>
      </c>
      <c r="E84" s="154" t="s">
        <v>633</v>
      </c>
      <c r="F84" s="244"/>
      <c r="G84" s="244"/>
      <c r="H84" s="244"/>
      <c r="I84" s="244"/>
      <c r="K84" s="245"/>
      <c r="M84" s="31"/>
      <c r="N84"/>
    </row>
    <row r="85" spans="2:14" s="13" customFormat="1" x14ac:dyDescent="0.3">
      <c r="B85" s="243"/>
      <c r="C85" s="157" t="s">
        <v>398</v>
      </c>
      <c r="D85" s="157" t="s">
        <v>627</v>
      </c>
      <c r="E85" s="154" t="s">
        <v>583</v>
      </c>
      <c r="F85" s="244"/>
      <c r="G85" s="244"/>
      <c r="H85" s="244"/>
      <c r="I85" s="244"/>
      <c r="K85" s="245"/>
      <c r="N85"/>
    </row>
    <row r="86" spans="2:14" s="13" customFormat="1" x14ac:dyDescent="0.3">
      <c r="B86" s="243"/>
      <c r="C86" s="157" t="s">
        <v>473</v>
      </c>
      <c r="D86" s="157" t="s">
        <v>628</v>
      </c>
      <c r="E86" s="154" t="s">
        <v>583</v>
      </c>
      <c r="F86" s="244"/>
      <c r="G86" s="244"/>
      <c r="H86" s="244"/>
      <c r="I86" s="244"/>
      <c r="K86" s="245"/>
      <c r="N86"/>
    </row>
    <row r="87" spans="2:14" s="13" customFormat="1" x14ac:dyDescent="0.3">
      <c r="B87" s="243"/>
      <c r="C87" s="157" t="s">
        <v>423</v>
      </c>
      <c r="D87" s="157" t="s">
        <v>666</v>
      </c>
      <c r="E87" s="154" t="s">
        <v>633</v>
      </c>
      <c r="F87" s="244"/>
      <c r="G87" s="244"/>
      <c r="H87" s="244"/>
      <c r="I87" s="244"/>
      <c r="K87" s="245"/>
      <c r="N87"/>
    </row>
    <row r="88" spans="2:14" s="13" customFormat="1" x14ac:dyDescent="0.3">
      <c r="B88" s="243"/>
      <c r="C88" s="157" t="s">
        <v>509</v>
      </c>
      <c r="D88" s="157" t="s">
        <v>667</v>
      </c>
      <c r="E88" s="154" t="s">
        <v>633</v>
      </c>
      <c r="F88" s="244"/>
      <c r="G88" s="244"/>
      <c r="H88" s="244"/>
      <c r="I88" s="244"/>
      <c r="K88" s="245"/>
      <c r="N88"/>
    </row>
    <row r="89" spans="2:14" s="13" customFormat="1" x14ac:dyDescent="0.3">
      <c r="B89" s="243"/>
      <c r="C89" s="157" t="s">
        <v>396</v>
      </c>
      <c r="D89" s="157" t="s">
        <v>629</v>
      </c>
      <c r="E89" s="154" t="s">
        <v>583</v>
      </c>
      <c r="F89" s="244"/>
      <c r="G89" s="244"/>
      <c r="H89" s="244"/>
      <c r="I89" s="244"/>
      <c r="K89" s="245"/>
    </row>
    <row r="90" spans="2:14" s="13" customFormat="1" x14ac:dyDescent="0.3">
      <c r="B90" s="248"/>
      <c r="C90" s="158" t="s">
        <v>476</v>
      </c>
      <c r="D90" s="158" t="s">
        <v>630</v>
      </c>
      <c r="E90" s="156" t="s">
        <v>583</v>
      </c>
      <c r="F90" s="249"/>
      <c r="G90" s="249"/>
      <c r="H90" s="249"/>
      <c r="I90" s="249"/>
      <c r="K90" s="250"/>
    </row>
    <row r="91" spans="2:14" s="13" customFormat="1" x14ac:dyDescent="0.3"/>
    <row r="92" spans="2:14" s="13" customFormat="1" x14ac:dyDescent="0.3">
      <c r="B92" s="243"/>
      <c r="C92" s="153" t="s">
        <v>1045</v>
      </c>
      <c r="D92" s="154" t="s">
        <v>1046</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26"/>
  <sheetViews>
    <sheetView topLeftCell="E1" zoomScale="70" zoomScaleNormal="70" workbookViewId="0">
      <selection activeCell="L30" sqref="L30"/>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8" max="8" width="8.33203125" style="96" bestFit="1" customWidth="1"/>
    <col min="9" max="9" width="16.6640625" customWidth="1"/>
    <col min="10" max="10" width="10.6640625" customWidth="1"/>
    <col min="11" max="11" width="12.33203125" customWidth="1"/>
    <col min="12" max="26" width="8.6640625" customWidth="1"/>
    <col min="27" max="27" width="8.5546875" bestFit="1" customWidth="1"/>
    <col min="29" max="29" width="11" bestFit="1" customWidth="1"/>
    <col min="30" max="30" width="14.33203125" customWidth="1"/>
    <col min="31" max="31" width="16.6640625" bestFit="1" customWidth="1"/>
    <col min="32" max="32" width="10.1093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1047</v>
      </c>
      <c r="C1" s="19"/>
      <c r="D1" s="19"/>
      <c r="K1" s="149" t="s">
        <v>1048</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1049</v>
      </c>
      <c r="C6" s="42"/>
      <c r="K6" s="826" t="s">
        <v>1050</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1051</v>
      </c>
      <c r="K8"/>
      <c r="L8"/>
      <c r="M8"/>
      <c r="N8"/>
      <c r="O8" s="41"/>
      <c r="P8"/>
      <c r="Q8"/>
      <c r="R8"/>
      <c r="S8"/>
      <c r="T8"/>
      <c r="U8"/>
      <c r="V8"/>
      <c r="W8"/>
      <c r="X8"/>
      <c r="Y8"/>
      <c r="Z8" s="41"/>
      <c r="AB8"/>
      <c r="AC8"/>
      <c r="AD8"/>
      <c r="AE8" s="471" t="s">
        <v>1052</v>
      </c>
      <c r="AF8" s="22"/>
      <c r="AG8" s="22"/>
      <c r="AH8" s="22"/>
      <c r="AI8" s="22"/>
      <c r="AJ8" s="22"/>
      <c r="AK8" s="22"/>
      <c r="AL8" s="22"/>
      <c r="AM8" s="22"/>
      <c r="AN8" s="22"/>
      <c r="AO8" s="22"/>
      <c r="AP8" s="22"/>
      <c r="AQ8" s="22"/>
      <c r="AR8" s="22"/>
      <c r="AS8" s="22"/>
      <c r="AT8" s="22"/>
      <c r="AU8" s="22"/>
      <c r="BO8" s="23"/>
    </row>
    <row r="9" spans="1:67" s="19" customFormat="1" x14ac:dyDescent="0.3">
      <c r="A9"/>
      <c r="B9" s="52" t="s">
        <v>1053</v>
      </c>
      <c r="C9" s="42" t="s">
        <v>104</v>
      </c>
      <c r="D9" s="42" t="s">
        <v>1054</v>
      </c>
      <c r="E9" s="42" t="s">
        <v>673</v>
      </c>
      <c r="F9" s="42" t="s">
        <v>674</v>
      </c>
      <c r="G9" s="42" t="s">
        <v>1055</v>
      </c>
      <c r="H9" s="98" t="s">
        <v>1056</v>
      </c>
      <c r="I9" s="42" t="s">
        <v>982</v>
      </c>
      <c r="J9" s="42" t="s">
        <v>1057</v>
      </c>
      <c r="K9" s="42" t="s">
        <v>1058</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1059</v>
      </c>
      <c r="AC9" s="42" t="s">
        <v>1060</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1061</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1062</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34180.438007814679</v>
      </c>
      <c r="AG10" s="718">
        <f t="shared" ref="AG10:AU10" si="6">SUM(AG11:AG34)</f>
        <v>34180.438007814679</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9494566.1132818554</v>
      </c>
      <c r="AY10" s="718">
        <f t="shared" ref="AY10:BM10" si="7">SUM(AY11:AY34)</f>
        <v>9494566.1132818554</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1063</v>
      </c>
      <c r="F11" s="224" t="s">
        <v>988</v>
      </c>
      <c r="G11" s="226"/>
      <c r="H11" s="227"/>
      <c r="I11" s="228"/>
      <c r="J11" s="229" t="s">
        <v>1064</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988</v>
      </c>
      <c r="AF11" s="830">
        <f t="shared" si="5"/>
        <v>3193.2452104442418</v>
      </c>
      <c r="AG11" s="728">
        <f>SUMIF(TC_Private!$AV$6:$AV$24,TRA_Fuel!$AE11,TC_Private!AX$6:AX$24)+SUMIF(TB!$AV$6:$AV$24,TRA_Fuel!$AE11,TB!AX$6:AX$24)+SUMIF(TF_Private!$AV$11:$AV$29,TRA_Fuel!$AE11,TF_Private!AX$11:AX$29)</f>
        <v>3193.2452104442418</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887012.55845673382</v>
      </c>
      <c r="AY11" s="728">
        <f>AG11/3.6*1000</f>
        <v>887012.55845673382</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1065</v>
      </c>
      <c r="K12" s="232" t="s">
        <v>85</v>
      </c>
      <c r="L12" s="636">
        <f t="shared" ref="L12:Z12" si="23">LOOKUP($F11, $AE$11:$AE$34, AG$11:AG$34*$L$6)</f>
        <v>3991.5565130553023</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990</v>
      </c>
      <c r="AF12" s="830">
        <f t="shared" si="5"/>
        <v>1557.3805738381575</v>
      </c>
      <c r="AG12" s="728">
        <f>SUMIF(TC_Private!$AV$6:$AV$24,TRA_Fuel!$AE12,TC_Private!AX$6:AX$24)+SUMIF(TB!$AV$6:$AV$24,TRA_Fuel!$AE12,TB!AX$6:AX$24)+SUMIF(TF_Private!$AV$11:$AV$29,TRA_Fuel!$AE12,TF_Private!AX$11:AX$29)</f>
        <v>1557.3805738381575</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432605.71495504369</v>
      </c>
      <c r="AY12" s="728">
        <f>AG12/3.6*1000</f>
        <v>432605.71495504369</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1065</v>
      </c>
      <c r="K13" s="232" t="s">
        <v>85</v>
      </c>
      <c r="L13" s="636">
        <f t="shared" ref="L13:Z16" si="39">L$12*LOOKUP($H13, $AF$47:$AF$50, AG$47:AG$50)</f>
        <v>3193.2452104442418</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994</v>
      </c>
      <c r="AF13" s="830">
        <f t="shared" si="5"/>
        <v>804.43967178950084</v>
      </c>
      <c r="AG13" s="728">
        <f>SUMIF(TC_Private!$AV$6:$AV$24,TRA_Fuel!$AE13,TC_Private!AX$6:AX$24)+SUMIF(TB!$AV$6:$AV$24,TRA_Fuel!$AE13,TB!AX$6:AX$24)+SUMIF(TF_Private!$AV$11:$AV$29,TRA_Fuel!$AE13,TF_Private!AX$11:AX$29)</f>
        <v>804.43967178950084</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223455.46438597245</v>
      </c>
      <c r="AY13" s="728">
        <f t="shared" ref="AY13:AY22" si="41">AG13/3.6*1000</f>
        <v>223455.46438597245</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1065</v>
      </c>
      <c r="K14" s="232" t="s">
        <v>85</v>
      </c>
      <c r="L14" s="636">
        <f t="shared" si="39"/>
        <v>1596.6226052221209</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996</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1065</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998</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1065</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1000</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1066</v>
      </c>
      <c r="F17" s="224" t="s">
        <v>990</v>
      </c>
      <c r="G17" s="226"/>
      <c r="H17" s="227"/>
      <c r="I17" s="228"/>
      <c r="J17" s="229" t="s">
        <v>1064</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1002</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1065</v>
      </c>
      <c r="K18" s="232" t="s">
        <v>85</v>
      </c>
      <c r="L18" s="636">
        <f t="shared" ref="L18:Z18" si="56">LOOKUP($F17, $AE$11:$AE$34, AG$11:AG$34*$L$6)</f>
        <v>1946.725717297697</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17603.816929874869</v>
      </c>
      <c r="AG18" s="728">
        <f>SUMIF(TC_Private!$AV$6:$AV$24,TRA_Fuel!$AE18,TC_Private!AX$6:AX$24)+SUMIF(TB!$AV$6:$AV$24,TRA_Fuel!$AE18,TB!AX$6:AX$24)+SUMIF(TF_Private!$AV$11:$AV$29,TRA_Fuel!$AE18,TF_Private!AX$11:AX$29)</f>
        <v>17603.816929874869</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4889949.1471874639</v>
      </c>
      <c r="AY18" s="728">
        <f t="shared" si="41"/>
        <v>4889949.1471874639</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1065</v>
      </c>
      <c r="K19" s="232" t="s">
        <v>85</v>
      </c>
      <c r="L19" s="636">
        <f>L$18*LOOKUP($H19, $AF$47:$AF$50, AG$47:AG$50)</f>
        <v>1557.3805738381577</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683</v>
      </c>
      <c r="AF19" s="830">
        <f t="shared" si="5"/>
        <v>105.89526005638011</v>
      </c>
      <c r="AG19" s="728">
        <f>SUMIF(TC_Private!$AV$6:$AV$24,TRA_Fuel!$AE19,TC_Private!AX$6:AX$24)+SUMIF(TB!$AV$6:$AV$24,TRA_Fuel!$AE19,TB!AX$6:AX$24)+SUMIF(TF_Private!$AV$11:$AV$29,TRA_Fuel!$AE19,TF_Private!AX$11:AX$29)</f>
        <v>105.89526005638011</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29415.350015661141</v>
      </c>
      <c r="AY19" s="728">
        <f t="shared" si="41"/>
        <v>29415.350015661141</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1065</v>
      </c>
      <c r="K20" s="232" t="s">
        <v>85</v>
      </c>
      <c r="L20" s="636">
        <f>L$18*LOOKUP($H20, $AF$47:$AF$50, AG$47:AG$50)</f>
        <v>778.69028691907886</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1008</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1065</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1010</v>
      </c>
      <c r="AF21" s="830">
        <f t="shared" si="5"/>
        <v>823.02097796254168</v>
      </c>
      <c r="AG21" s="728">
        <f>SUMIF(TC_Private!$AV$6:$AV$24,TRA_Fuel!$AE21,TC_Private!AX$6:AX$24)+SUMIF(TB!$AV$6:$AV$24,TRA_Fuel!$AE21,TB!AX$6:AX$24)+SUMIF(TF_Private!$AV$11:$AV$29,TRA_Fuel!$AE21,TF_Private!AX$11:AX$29)</f>
        <v>823.02097796254168</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228616.93832292824</v>
      </c>
      <c r="AY21" s="728">
        <f t="shared" si="41"/>
        <v>228616.93832292824</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1065</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1012</v>
      </c>
      <c r="AF22" s="830">
        <f t="shared" si="5"/>
        <v>288.96831238534952</v>
      </c>
      <c r="AG22" s="728">
        <f>SUMIF(TC_Private!$AV$6:$AV$24,TRA_Fuel!$AE22,TC_Private!AX$6:AX$24)+SUMIF(TB!$AV$6:$AV$24,TRA_Fuel!$AE22,TB!AX$6:AX$24)+SUMIF(TF_Private!$AV$11:$AV$29,TRA_Fuel!$AE22,TF_Private!AX$11:AX$29)</f>
        <v>288.96831238534952</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80268.975662597091</v>
      </c>
      <c r="AY22" s="728">
        <f t="shared" si="41"/>
        <v>80268.975662597091</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1063</v>
      </c>
      <c r="F23" s="224" t="s">
        <v>992</v>
      </c>
      <c r="G23" s="226"/>
      <c r="H23" s="227"/>
      <c r="I23" s="228"/>
      <c r="J23" s="229" t="s">
        <v>1064</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1014</v>
      </c>
      <c r="AF23" s="830">
        <f t="shared" si="5"/>
        <v>9689.3275514604175</v>
      </c>
      <c r="AG23" s="728">
        <f>SUMIF(TC_Private!$AV$6:$AV$24,TRA_Fuel!$AE23,TC_Private!AX$6:AX$24)+SUMIF(TB!$AV$6:$AV$24,TRA_Fuel!$AE23,TB!AX$6:AX$24)+SUMIF(TF_Private!$AV$11:$AV$29,TRA_Fuel!$AE23,TF_Private!AX$11:AX$29)</f>
        <v>9689.3275514604175</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2691479.8754056715</v>
      </c>
      <c r="AY23" s="728">
        <f t="shared" ref="AY23:AY28" si="63">AG23/3.6*1000</f>
        <v>2691479.8754056715</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1065</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1016</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1065</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1023</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1065</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681</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1065</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1029</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1065</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1031</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1067</v>
      </c>
      <c r="F29" s="224" t="s">
        <v>994</v>
      </c>
      <c r="G29" s="226"/>
      <c r="H29" s="227"/>
      <c r="I29" s="228"/>
      <c r="J29" s="229" t="s">
        <v>1064</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1033</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1065</v>
      </c>
      <c r="K30" s="232" t="s">
        <v>85</v>
      </c>
      <c r="L30" s="636" cm="1">
        <f t="array" ref="L30">LOOKUP($F29, $AE$11:$AE$34, AG$11:AG$34*$L$6)</f>
        <v>1005.549589736876</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1035</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1065</v>
      </c>
      <c r="K31" s="232" t="s">
        <v>85</v>
      </c>
      <c r="L31" s="636">
        <f t="shared" ref="L31:Z34" si="97">L$30*LOOKUP($H31, $AF$47:$AF$50, AG$47:AG$50)</f>
        <v>804.43967178950084</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1039</v>
      </c>
      <c r="AF31" s="830">
        <f t="shared" si="5"/>
        <v>114.34352000322187</v>
      </c>
      <c r="AG31" s="728">
        <f>SUMIF(TC_Private!$AV$6:$AV$24,TRA_Fuel!$AE31,TC_Private!AX$6:AX$24)+SUMIF(TB!$AV$6:$AV$24,TRA_Fuel!$AE31,TB!AX$6:AX$24)+SUMIF(TF_Private!$AV$11:$AV$29,TRA_Fuel!$AE31,TF_Private!AX$11:AX$29)</f>
        <v>114.34352000322187</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31762.088889783852</v>
      </c>
      <c r="AY31" s="728">
        <f t="shared" si="94"/>
        <v>31762.088889783852</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1065</v>
      </c>
      <c r="K32" s="232" t="s">
        <v>85</v>
      </c>
      <c r="L32" s="636">
        <f t="shared" si="97"/>
        <v>402.21983589475042</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1065</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1065</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1068</v>
      </c>
      <c r="F35" s="224" t="s">
        <v>996</v>
      </c>
      <c r="G35" s="226"/>
      <c r="H35" s="227"/>
      <c r="I35" s="228"/>
      <c r="J35" s="229" t="s">
        <v>1064</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1065</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1065</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1065</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1065</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1065</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920</v>
      </c>
      <c r="D41" s="225" t="str">
        <f>CONCATENATE("Fuel Tech - ",LOOKUP(F41,TRA_Comm!$C$6:$C$28,TRA_Comm!$D$6:$D$28))</f>
        <v>Fuel Tech - Bio Jet Fuel (TRA)</v>
      </c>
      <c r="E41" s="224" t="s">
        <v>1069</v>
      </c>
      <c r="F41" s="224" t="s">
        <v>998</v>
      </c>
      <c r="G41" s="226"/>
      <c r="H41" s="227"/>
      <c r="I41" s="228"/>
      <c r="J41" s="229" t="s">
        <v>1064</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1065</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1065</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1065</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1065</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1070</v>
      </c>
      <c r="BO45" s="23" t="s">
        <v>1240</v>
      </c>
    </row>
    <row r="46" spans="1:67" x14ac:dyDescent="0.3">
      <c r="B46" s="233" t="str">
        <f>B41</f>
        <v>TRABJF00</v>
      </c>
      <c r="C46" s="234"/>
      <c r="D46" s="235"/>
      <c r="E46" s="234"/>
      <c r="F46" s="234"/>
      <c r="G46" s="234"/>
      <c r="H46" s="236">
        <f>$K$5</f>
        <v>2050</v>
      </c>
      <c r="I46" s="224"/>
      <c r="J46" s="237" t="s">
        <v>1065</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1071</v>
      </c>
      <c r="AF46" s="701" t="s">
        <v>1056</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1072</v>
      </c>
      <c r="AX46" s="419">
        <f>SUM(AY46:BM46)</f>
        <v>7581429.022593135</v>
      </c>
      <c r="AY46" s="831">
        <f>AY17+AY18+AY23+AY25+AY27+AY28</f>
        <v>7581429.022593135</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923</v>
      </c>
      <c r="D47" s="225" t="str">
        <f>CONCATENATE("Fuel Tech - ",LOOKUP(F47,TRA_Comm!$C$6:$C$28,TRA_Comm!$D$6:$D$28))</f>
        <v>Fuel Tech - Dimethyle Ether (TRA)</v>
      </c>
      <c r="E47" s="224" t="s">
        <v>1073</v>
      </c>
      <c r="F47" s="224" t="s">
        <v>1000</v>
      </c>
      <c r="G47" s="226"/>
      <c r="H47" s="227"/>
      <c r="I47" s="228"/>
      <c r="J47" s="229" t="s">
        <v>1064</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675</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1074</v>
      </c>
      <c r="AX47" s="419">
        <f t="shared" ref="AX47:AX52" si="120">SUM(AY47:BM47)</f>
        <v>1628504.1873973028</v>
      </c>
      <c r="AY47" s="831">
        <f>AY11+AY12+AY21+AY22</f>
        <v>1628504.1873973028</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1065</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675</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1075</v>
      </c>
      <c r="AX48" s="419">
        <f t="shared" si="120"/>
        <v>31762.088889783852</v>
      </c>
      <c r="AY48" s="831">
        <f>AY31</f>
        <v>31762.088889783852</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1065</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675</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1076</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1065</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675</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1077</v>
      </c>
      <c r="AX50" s="419">
        <f t="shared" si="120"/>
        <v>29415.350015661141</v>
      </c>
      <c r="AY50" s="831">
        <f>AY19</f>
        <v>29415.350015661141</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1065</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1078</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1065</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1079</v>
      </c>
      <c r="AX52" s="419">
        <f t="shared" si="120"/>
        <v>9271110.6488958821</v>
      </c>
      <c r="AY52" s="831">
        <f>SUM(AY46:AY51)</f>
        <v>9271110.6488958821</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1080</v>
      </c>
      <c r="F53" s="224" t="s">
        <v>1010</v>
      </c>
      <c r="G53" s="226"/>
      <c r="H53" s="227"/>
      <c r="I53" s="228"/>
      <c r="J53" s="229" t="s">
        <v>1064</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1065</v>
      </c>
      <c r="K54" s="232" t="s">
        <v>85</v>
      </c>
      <c r="L54" s="636">
        <f t="shared" ref="L54:Z54" si="130">LOOKUP($F53, $AE$11:$AE$34, AG$11:AG$34*$L$6)</f>
        <v>1028.7762224531771</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675</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1065</v>
      </c>
      <c r="K55" s="232" t="s">
        <v>85</v>
      </c>
      <c r="L55" s="636">
        <f t="shared" ref="L55:Z58" si="132">L$54*LOOKUP($H55, $AF$47:$AF$50, AG$47:AG$50)</f>
        <v>823.02097796254168</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675</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1065</v>
      </c>
      <c r="K56" s="232" t="s">
        <v>85</v>
      </c>
      <c r="L56" s="636">
        <f t="shared" si="132"/>
        <v>411.51048898127084</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675</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1065</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1065</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1080</v>
      </c>
      <c r="F59" s="224" t="s">
        <v>1012</v>
      </c>
      <c r="G59" s="226"/>
      <c r="H59" s="227"/>
      <c r="I59" s="228"/>
      <c r="J59" s="229" t="s">
        <v>1064</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1065</v>
      </c>
      <c r="K60" s="232" t="s">
        <v>85</v>
      </c>
      <c r="L60" s="636">
        <f t="shared" ref="L60:Z60" si="133">LOOKUP($F59, $AE$11:$AE$34, AG$11:AG$34*$L$6)</f>
        <v>361.21039048168689</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1065</v>
      </c>
      <c r="K61" s="232" t="s">
        <v>85</v>
      </c>
      <c r="L61" s="636">
        <f t="shared" ref="L61:Z64" si="135">L$60*LOOKUP($H61, $AF$47:$AF$50, AG$47:AG$50)</f>
        <v>288.96831238534952</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1081</v>
      </c>
      <c r="BN61" s="421"/>
    </row>
    <row r="62" spans="1:67" x14ac:dyDescent="0.3">
      <c r="B62" s="219" t="str">
        <f t="shared" si="134"/>
        <v>TRAETHM00</v>
      </c>
      <c r="C62" s="224"/>
      <c r="D62" s="230"/>
      <c r="E62" s="224"/>
      <c r="F62" s="224"/>
      <c r="G62" s="224"/>
      <c r="H62" s="231">
        <v>2030</v>
      </c>
      <c r="I62" s="224"/>
      <c r="J62" s="232" t="s">
        <v>1065</v>
      </c>
      <c r="K62" s="232" t="s">
        <v>85</v>
      </c>
      <c r="L62" s="636">
        <f t="shared" si="135"/>
        <v>144.48415619267476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1072</v>
      </c>
      <c r="AX62" s="833">
        <f>SUM(AY62:BM62)</f>
        <v>2541703</v>
      </c>
      <c r="AY62" s="832">
        <v>65410</v>
      </c>
      <c r="AZ62" s="832">
        <v>29232</v>
      </c>
      <c r="BA62" s="832">
        <v>31487</v>
      </c>
      <c r="BB62" s="832" t="s">
        <v>1082</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1065</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1074</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1082</v>
      </c>
      <c r="BL63" s="832">
        <v>16062</v>
      </c>
      <c r="BM63" s="832">
        <v>59966</v>
      </c>
      <c r="BN63" s="421"/>
    </row>
    <row r="64" spans="1:67" x14ac:dyDescent="0.3">
      <c r="B64" s="233" t="str">
        <f>B59</f>
        <v>TRAETHM00</v>
      </c>
      <c r="C64" s="234"/>
      <c r="D64" s="235"/>
      <c r="E64" s="234"/>
      <c r="F64" s="234"/>
      <c r="G64" s="234"/>
      <c r="H64" s="236">
        <f>$K$5</f>
        <v>2050</v>
      </c>
      <c r="I64" s="224"/>
      <c r="J64" s="237" t="s">
        <v>1065</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1075</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1083</v>
      </c>
      <c r="F65" s="224" t="s">
        <v>1016</v>
      </c>
      <c r="G65" s="226"/>
      <c r="H65" s="238"/>
      <c r="I65" s="226"/>
      <c r="J65" s="229" t="s">
        <v>1064</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1076</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1065</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1077</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1082</v>
      </c>
      <c r="BL66" s="832">
        <v>542</v>
      </c>
      <c r="BM66" s="832">
        <v>56897</v>
      </c>
      <c r="BN66" s="421"/>
    </row>
    <row r="67" spans="1:66" x14ac:dyDescent="0.3">
      <c r="B67" s="219" t="str">
        <f t="shared" ref="B67:B69" si="138">B66</f>
        <v>TRAH2G00</v>
      </c>
      <c r="C67" s="224"/>
      <c r="D67" s="230"/>
      <c r="E67" s="224"/>
      <c r="F67" s="224"/>
      <c r="G67" s="224"/>
      <c r="H67" s="231">
        <v>2020</v>
      </c>
      <c r="I67" s="224"/>
      <c r="J67" s="232" t="s">
        <v>1065</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1078</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1065</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1079</v>
      </c>
      <c r="AX68" s="833">
        <f>SUM(AX50:AX67)</f>
        <v>12042959.998911543</v>
      </c>
      <c r="AY68" s="832">
        <f t="shared" ref="AY68:BJ68" si="141">SUM(AY50:AY67)</f>
        <v>9371967.9989115428</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1065</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1065</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1084</v>
      </c>
      <c r="F71" s="224" t="s">
        <v>1039</v>
      </c>
      <c r="G71" s="173"/>
      <c r="H71" s="241"/>
      <c r="I71" s="173"/>
      <c r="J71" s="173" t="s">
        <v>1064</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1065</v>
      </c>
      <c r="K72" s="232" t="s">
        <v>85</v>
      </c>
      <c r="L72" s="636">
        <f t="shared" ref="L72:Z72" si="143">LOOKUP($F71, $AE$11:$AE$34, AG$11:AG$34*$L$6)</f>
        <v>142.92940000402734</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1065</v>
      </c>
      <c r="K73" s="232" t="s">
        <v>85</v>
      </c>
      <c r="L73" s="636">
        <f t="shared" ref="L73:Z76" si="145">L$72*LOOKUP($H73, $AF$47:$AF$50, AG$47:AG$50)</f>
        <v>114.34352000322188</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1065</v>
      </c>
      <c r="K74" s="232" t="s">
        <v>85</v>
      </c>
      <c r="L74" s="636">
        <f t="shared" si="145"/>
        <v>57.171760001610942</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1065</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1065</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1085</v>
      </c>
      <c r="F77" s="224" t="s">
        <v>681</v>
      </c>
      <c r="G77" s="226"/>
      <c r="H77" s="227"/>
      <c r="I77" s="228"/>
      <c r="J77" s="229" t="s">
        <v>1064</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1065</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1065</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1065</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1065</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1065</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1086</v>
      </c>
      <c r="F83" s="224" t="s">
        <v>1002</v>
      </c>
      <c r="G83" s="224"/>
      <c r="H83" s="227"/>
      <c r="I83" s="228"/>
      <c r="J83" s="229" t="s">
        <v>1064</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1065</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1065</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1065</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1065</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1065</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1086</v>
      </c>
      <c r="F89" s="224" t="s">
        <v>185</v>
      </c>
      <c r="G89" s="224"/>
      <c r="H89" s="227"/>
      <c r="I89" s="228"/>
      <c r="J89" s="229" t="s">
        <v>1064</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1087</v>
      </c>
    </row>
    <row r="90" spans="1:31" x14ac:dyDescent="0.3">
      <c r="B90" s="219" t="str">
        <f>B89</f>
        <v>TRADST00</v>
      </c>
      <c r="C90" s="224"/>
      <c r="D90" s="230"/>
      <c r="E90" s="224"/>
      <c r="F90" s="224"/>
      <c r="G90" s="224"/>
      <c r="H90" s="231">
        <f>$K$3</f>
        <v>2019</v>
      </c>
      <c r="I90" s="224"/>
      <c r="J90" s="232" t="s">
        <v>1065</v>
      </c>
      <c r="K90" s="232" t="s">
        <v>85</v>
      </c>
      <c r="L90" s="636">
        <f t="shared" ref="L90:Z90" si="150">LOOKUP($F89, $AE$11:$AE$34, AG$11:AG$34*$L$6)</f>
        <v>22004.771162343586</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1065</v>
      </c>
      <c r="K91" s="232" t="s">
        <v>85</v>
      </c>
      <c r="L91" s="636">
        <f t="shared" ref="L91:Z94" si="152">L$90*LOOKUP($H91, $AF$47:$AF$50, AG$47:AG$50)</f>
        <v>17603.816929874869</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1065</v>
      </c>
      <c r="K92" s="232" t="s">
        <v>85</v>
      </c>
      <c r="L92" s="636">
        <f t="shared" si="152"/>
        <v>8801.9084649374345</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1065</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1065</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1088</v>
      </c>
      <c r="F95" s="224" t="s">
        <v>1014</v>
      </c>
      <c r="G95" s="226"/>
      <c r="H95" s="227"/>
      <c r="I95" s="228"/>
      <c r="J95" s="229" t="s">
        <v>1064</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1065</v>
      </c>
      <c r="K96" s="232" t="s">
        <v>85</v>
      </c>
      <c r="L96" s="636">
        <f t="shared" ref="L96:Z96" si="153">LOOKUP($F95, $AE$11:$AE$34, AG$11:AG$34*$L$6)</f>
        <v>12111.659439325522</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1065</v>
      </c>
      <c r="K97" s="232" t="s">
        <v>85</v>
      </c>
      <c r="L97" s="636">
        <f t="shared" ref="L97:Z100" si="155">L$96*LOOKUP($H97, $AF$47:$AF$50, AG$47:AG$50)</f>
        <v>9689.3275514604175</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1065</v>
      </c>
      <c r="K98" s="232" t="s">
        <v>85</v>
      </c>
      <c r="L98" s="636">
        <f t="shared" si="155"/>
        <v>4844.6637757302087</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1065</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1065</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1089</v>
      </c>
      <c r="F101" s="224" t="s">
        <v>1029</v>
      </c>
      <c r="G101" s="226"/>
      <c r="H101" s="227"/>
      <c r="I101" s="228"/>
      <c r="J101" s="229" t="s">
        <v>1064</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1065</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1065</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1065</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1065</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1065</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1090</v>
      </c>
      <c r="F107" s="224" t="s">
        <v>1023</v>
      </c>
      <c r="G107" s="226"/>
      <c r="H107" s="227"/>
      <c r="I107" s="228"/>
      <c r="J107" s="229" t="s">
        <v>1064</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1065</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1065</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1065</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1065</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1065</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1091</v>
      </c>
      <c r="F113" s="224" t="s">
        <v>1031</v>
      </c>
      <c r="G113" s="226"/>
      <c r="H113" s="227"/>
      <c r="I113" s="228"/>
      <c r="J113" s="229" t="s">
        <v>1064</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1065</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1065</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1065</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1065</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1065</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1092</v>
      </c>
      <c r="F119" s="224" t="s">
        <v>1033</v>
      </c>
      <c r="G119" s="173"/>
      <c r="H119" s="241"/>
      <c r="I119" s="173"/>
      <c r="J119" s="173" t="s">
        <v>1064</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1065</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1065</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1065</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1065</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1065</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1093</v>
      </c>
      <c r="F125" s="224" t="s">
        <v>1035</v>
      </c>
      <c r="G125" s="173"/>
      <c r="H125" s="241"/>
      <c r="I125" s="173"/>
      <c r="J125" s="173" t="s">
        <v>1064</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1065</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1065</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1059</v>
      </c>
      <c r="AC127" s="836" t="s">
        <v>1060</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1065</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1065</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1065</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1093</v>
      </c>
      <c r="F131" s="224" t="s">
        <v>1037</v>
      </c>
      <c r="G131" s="173"/>
      <c r="H131" s="241"/>
      <c r="I131" s="173"/>
      <c r="J131" s="173" t="s">
        <v>1064</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1065</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1065</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1059</v>
      </c>
      <c r="AC133" s="836" t="s">
        <v>1060</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1065</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1065</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1065</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x14ac:dyDescent="0.3">
      <c r="B139" s="835" t="s">
        <v>1053</v>
      </c>
      <c r="C139" s="836" t="s">
        <v>104</v>
      </c>
      <c r="D139" s="836" t="s">
        <v>1054</v>
      </c>
      <c r="E139" s="836" t="s">
        <v>673</v>
      </c>
      <c r="F139" s="836" t="s">
        <v>674</v>
      </c>
      <c r="G139" s="836" t="s">
        <v>1055</v>
      </c>
      <c r="H139" s="837" t="s">
        <v>1056</v>
      </c>
      <c r="I139" s="836" t="s">
        <v>982</v>
      </c>
      <c r="J139" s="836" t="s">
        <v>1057</v>
      </c>
      <c r="K139" s="836" t="s">
        <v>1058</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x14ac:dyDescent="0.3">
      <c r="B140" s="839"/>
      <c r="C140" s="839"/>
      <c r="D140" s="839" t="s">
        <v>1062</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x14ac:dyDescent="0.3">
      <c r="A141" s="841"/>
      <c r="B141" s="842" t="str">
        <f>C141</f>
        <v>TRABDL00</v>
      </c>
      <c r="C141" s="842" t="str">
        <f>CONCATENATE(F141,"00")</f>
        <v>TRABDL00</v>
      </c>
      <c r="D141" s="843" t="str">
        <f>CONCATENATE("Fuel Tech - ",LOOKUP(F141,TRA_Comm!$C$6:$C$28,TRA_Comm!$D$6:$D$28))</f>
        <v>Fuel Tech - Biodiesel (TRA)</v>
      </c>
      <c r="E141" s="842" t="s">
        <v>1094</v>
      </c>
      <c r="F141" s="842" t="s">
        <v>988</v>
      </c>
      <c r="G141" s="844"/>
      <c r="H141" s="845"/>
      <c r="I141" s="846"/>
      <c r="J141" s="847" t="s">
        <v>1064</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x14ac:dyDescent="0.3">
      <c r="B142" s="842" t="str">
        <f>B141</f>
        <v>TRABDL00</v>
      </c>
      <c r="C142" s="842"/>
      <c r="D142" s="849"/>
      <c r="E142" s="842"/>
      <c r="F142" s="842"/>
      <c r="G142" s="842"/>
      <c r="H142" s="850">
        <f>$K$3</f>
        <v>2019</v>
      </c>
      <c r="I142" s="842"/>
      <c r="J142" s="851" t="s">
        <v>1065</v>
      </c>
      <c r="K142" s="851" t="s">
        <v>85</v>
      </c>
      <c r="L142" s="852"/>
      <c r="M142" s="852"/>
      <c r="N142" s="852"/>
      <c r="O142" s="852"/>
      <c r="P142" s="852"/>
      <c r="Q142" s="852"/>
      <c r="R142" s="852"/>
      <c r="S142" s="852"/>
      <c r="T142" s="852"/>
      <c r="U142" s="852"/>
      <c r="V142" s="852"/>
      <c r="W142" s="852"/>
      <c r="X142" s="852"/>
      <c r="Y142" s="852"/>
      <c r="Z142" s="852"/>
      <c r="BO142" s="23"/>
    </row>
    <row r="143" spans="1:67" s="834" customFormat="1" x14ac:dyDescent="0.3">
      <c r="B143" s="853" t="str">
        <f>B142</f>
        <v>TRABDL00</v>
      </c>
      <c r="C143" s="853"/>
      <c r="D143" s="854"/>
      <c r="E143" s="853"/>
      <c r="F143" s="853"/>
      <c r="G143" s="853"/>
      <c r="H143" s="855">
        <f>$K$5</f>
        <v>2050</v>
      </c>
      <c r="I143" s="842"/>
      <c r="J143" s="856" t="s">
        <v>1065</v>
      </c>
      <c r="K143" s="856" t="s">
        <v>85</v>
      </c>
      <c r="L143" s="857"/>
      <c r="M143" s="857"/>
      <c r="N143" s="857"/>
      <c r="O143" s="857"/>
      <c r="P143" s="857"/>
      <c r="Q143" s="857"/>
      <c r="R143" s="857"/>
      <c r="S143" s="857"/>
      <c r="T143" s="857"/>
      <c r="U143" s="857"/>
      <c r="V143" s="857"/>
      <c r="W143" s="857"/>
      <c r="X143" s="857"/>
      <c r="Y143" s="857"/>
      <c r="Z143" s="857"/>
      <c r="BO143" s="23"/>
    </row>
    <row r="144" spans="1:67" s="834" customFormat="1" x14ac:dyDescent="0.3">
      <c r="A144" s="841"/>
      <c r="B144" s="842" t="str">
        <f>C144</f>
        <v>TRABGS00</v>
      </c>
      <c r="C144" s="842" t="str">
        <f>CONCATENATE(F144,"00")</f>
        <v>TRABGS00</v>
      </c>
      <c r="D144" s="843" t="str">
        <f>CONCATENATE("Fuel Tech - ",LOOKUP(F144,TRA_Comm!$C$6:$C$28,TRA_Comm!$D$6:$D$28))</f>
        <v>Fuel Tech - Biogas (gaseous) (TRA)</v>
      </c>
      <c r="E144" s="842" t="s">
        <v>1067</v>
      </c>
      <c r="F144" s="842" t="s">
        <v>994</v>
      </c>
      <c r="G144" s="844"/>
      <c r="H144" s="845"/>
      <c r="I144" s="846"/>
      <c r="J144" s="847" t="s">
        <v>1064</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x14ac:dyDescent="0.3">
      <c r="B145" s="842" t="str">
        <f>B144</f>
        <v>TRABGS00</v>
      </c>
      <c r="C145" s="842"/>
      <c r="D145" s="849"/>
      <c r="E145" s="842"/>
      <c r="F145" s="842"/>
      <c r="G145" s="842"/>
      <c r="H145" s="850">
        <f>$K$3</f>
        <v>2019</v>
      </c>
      <c r="I145" s="842"/>
      <c r="J145" s="851" t="s">
        <v>1065</v>
      </c>
      <c r="K145" s="851" t="s">
        <v>85</v>
      </c>
      <c r="L145" s="852"/>
      <c r="M145" s="852"/>
      <c r="N145" s="852"/>
      <c r="O145" s="852"/>
      <c r="P145" s="852"/>
      <c r="Q145" s="852"/>
      <c r="R145" s="852"/>
      <c r="S145" s="852"/>
      <c r="T145" s="852"/>
      <c r="U145" s="852"/>
      <c r="V145" s="852"/>
      <c r="W145" s="852"/>
      <c r="X145" s="852"/>
      <c r="Y145" s="852"/>
      <c r="Z145" s="852"/>
      <c r="BO145" s="23"/>
    </row>
    <row r="146" spans="1:67" s="834" customFormat="1" x14ac:dyDescent="0.3">
      <c r="B146" s="853" t="str">
        <f>B144</f>
        <v>TRABGS00</v>
      </c>
      <c r="C146" s="853"/>
      <c r="D146" s="854"/>
      <c r="E146" s="853"/>
      <c r="F146" s="853"/>
      <c r="G146" s="853"/>
      <c r="H146" s="855">
        <f>$K$5</f>
        <v>2050</v>
      </c>
      <c r="I146" s="842"/>
      <c r="J146" s="856" t="s">
        <v>1065</v>
      </c>
      <c r="K146" s="856" t="s">
        <v>85</v>
      </c>
      <c r="L146" s="857"/>
      <c r="M146" s="857"/>
      <c r="N146" s="857"/>
      <c r="O146" s="857"/>
      <c r="P146" s="857"/>
      <c r="Q146" s="857"/>
      <c r="R146" s="857"/>
      <c r="S146" s="857"/>
      <c r="T146" s="857"/>
      <c r="U146" s="857"/>
      <c r="V146" s="857"/>
      <c r="W146" s="857"/>
      <c r="X146" s="857"/>
      <c r="Y146" s="857"/>
      <c r="Z146" s="857"/>
      <c r="BO146" s="23"/>
    </row>
    <row r="147" spans="1:67" s="834" customFormat="1" x14ac:dyDescent="0.3">
      <c r="A147" s="841"/>
      <c r="B147" s="842" t="str">
        <f>C147</f>
        <v>TRABJF00</v>
      </c>
      <c r="C147" s="842" t="s">
        <v>920</v>
      </c>
      <c r="D147" s="843" t="str">
        <f>CONCATENATE("Fuel Tech - ",LOOKUP(F147,TRA_Comm!$C$6:$C$28,TRA_Comm!$D$6:$D$28))</f>
        <v>Fuel Tech - Bio Jet Fuel (TRA)</v>
      </c>
      <c r="E147" s="842" t="s">
        <v>1069</v>
      </c>
      <c r="F147" s="842" t="s">
        <v>998</v>
      </c>
      <c r="G147" s="844"/>
      <c r="H147" s="845"/>
      <c r="I147" s="846"/>
      <c r="J147" s="847" t="s">
        <v>1064</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x14ac:dyDescent="0.3">
      <c r="B148" s="842" t="str">
        <f>B147</f>
        <v>TRABJF00</v>
      </c>
      <c r="C148" s="842"/>
      <c r="D148" s="849"/>
      <c r="E148" s="842"/>
      <c r="F148" s="842"/>
      <c r="G148" s="842"/>
      <c r="H148" s="850">
        <f>$K$3</f>
        <v>2019</v>
      </c>
      <c r="I148" s="842"/>
      <c r="J148" s="851" t="s">
        <v>1065</v>
      </c>
      <c r="K148" s="851" t="s">
        <v>85</v>
      </c>
      <c r="L148" s="852"/>
      <c r="M148" s="852"/>
      <c r="N148" s="852"/>
      <c r="O148" s="852"/>
      <c r="P148" s="852"/>
      <c r="Q148" s="852"/>
      <c r="R148" s="852"/>
      <c r="S148" s="852"/>
      <c r="T148" s="852"/>
      <c r="U148" s="852"/>
      <c r="V148" s="852"/>
      <c r="W148" s="852"/>
      <c r="X148" s="852"/>
      <c r="Y148" s="852"/>
      <c r="Z148" s="852"/>
      <c r="BO148" s="23"/>
    </row>
    <row r="149" spans="1:67" s="834" customFormat="1" x14ac:dyDescent="0.3">
      <c r="B149" s="853" t="str">
        <f>B147</f>
        <v>TRABJF00</v>
      </c>
      <c r="C149" s="853"/>
      <c r="D149" s="854"/>
      <c r="E149" s="853"/>
      <c r="F149" s="853"/>
      <c r="G149" s="853"/>
      <c r="H149" s="855">
        <f>$K$5</f>
        <v>2050</v>
      </c>
      <c r="I149" s="842"/>
      <c r="J149" s="856" t="s">
        <v>1065</v>
      </c>
      <c r="K149" s="856" t="s">
        <v>85</v>
      </c>
      <c r="L149" s="857"/>
      <c r="M149" s="857"/>
      <c r="N149" s="857"/>
      <c r="O149" s="857"/>
      <c r="P149" s="857"/>
      <c r="Q149" s="857"/>
      <c r="R149" s="857"/>
      <c r="S149" s="857"/>
      <c r="T149" s="857"/>
      <c r="U149" s="857"/>
      <c r="V149" s="857"/>
      <c r="W149" s="857"/>
      <c r="X149" s="857"/>
      <c r="Y149" s="857"/>
      <c r="Z149" s="857"/>
      <c r="BO149" s="23"/>
    </row>
    <row r="150" spans="1:67" s="834" customFormat="1" x14ac:dyDescent="0.3">
      <c r="A150" s="841"/>
      <c r="B150" s="842" t="str">
        <f>C150</f>
        <v>TRADME00</v>
      </c>
      <c r="C150" s="842" t="s">
        <v>923</v>
      </c>
      <c r="D150" s="843" t="str">
        <f>CONCATENATE("Fuel Tech - ",LOOKUP(F150,TRA_Comm!$C$6:$C$28,TRA_Comm!$D$6:$D$28))</f>
        <v>Fuel Tech - Dimethyle Ether (TRA)</v>
      </c>
      <c r="E150" s="842" t="s">
        <v>1073</v>
      </c>
      <c r="F150" s="842" t="s">
        <v>1000</v>
      </c>
      <c r="G150" s="844"/>
      <c r="H150" s="845"/>
      <c r="I150" s="846"/>
      <c r="J150" s="847" t="s">
        <v>1064</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x14ac:dyDescent="0.3">
      <c r="B151" s="842" t="str">
        <f>B150</f>
        <v>TRADME00</v>
      </c>
      <c r="C151" s="842"/>
      <c r="D151" s="849"/>
      <c r="E151" s="842"/>
      <c r="F151" s="842"/>
      <c r="G151" s="842"/>
      <c r="H151" s="850">
        <f>$K$3</f>
        <v>2019</v>
      </c>
      <c r="I151" s="842"/>
      <c r="J151" s="851" t="s">
        <v>1065</v>
      </c>
      <c r="K151" s="851" t="s">
        <v>85</v>
      </c>
      <c r="L151" s="852"/>
      <c r="M151" s="852"/>
      <c r="N151" s="852"/>
      <c r="O151" s="852"/>
      <c r="P151" s="852"/>
      <c r="Q151" s="852"/>
      <c r="R151" s="852"/>
      <c r="S151" s="852"/>
      <c r="T151" s="852"/>
      <c r="U151" s="852"/>
      <c r="V151" s="852"/>
      <c r="W151" s="852"/>
      <c r="X151" s="852"/>
      <c r="Y151" s="852"/>
      <c r="Z151" s="852"/>
      <c r="BO151" s="23"/>
    </row>
    <row r="152" spans="1:67" s="834" customFormat="1" x14ac:dyDescent="0.3">
      <c r="B152" s="853" t="str">
        <f>B150</f>
        <v>TRADME00</v>
      </c>
      <c r="C152" s="853"/>
      <c r="D152" s="854"/>
      <c r="E152" s="853"/>
      <c r="F152" s="853"/>
      <c r="G152" s="853"/>
      <c r="H152" s="855">
        <f>$K$5</f>
        <v>2050</v>
      </c>
      <c r="I152" s="842"/>
      <c r="J152" s="856" t="s">
        <v>1065</v>
      </c>
      <c r="K152" s="856" t="s">
        <v>85</v>
      </c>
      <c r="L152" s="857"/>
      <c r="M152" s="857"/>
      <c r="N152" s="857"/>
      <c r="O152" s="857"/>
      <c r="P152" s="857"/>
      <c r="Q152" s="857"/>
      <c r="R152" s="857"/>
      <c r="S152" s="857"/>
      <c r="T152" s="857"/>
      <c r="U152" s="857"/>
      <c r="V152" s="857"/>
      <c r="W152" s="857"/>
      <c r="X152" s="857"/>
      <c r="Y152" s="857"/>
      <c r="Z152" s="857"/>
      <c r="BO152" s="23"/>
    </row>
    <row r="153" spans="1:67" s="834" customFormat="1" x14ac:dyDescent="0.3">
      <c r="A153" s="841"/>
      <c r="B153" s="842" t="str">
        <f>C153</f>
        <v>TRAETH00</v>
      </c>
      <c r="C153" s="842" t="str">
        <f>CONCATENATE(F153,"00")</f>
        <v>TRAETH00</v>
      </c>
      <c r="D153" s="843" t="str">
        <f>CONCATENATE("Fuel Tech - ",LOOKUP(F153,TRA_Comm!$C$6:$C$28,TRA_Comm!$D$6:$D$28))</f>
        <v>Fuel Tech - Ethanol (TRA)</v>
      </c>
      <c r="E153" s="842" t="s">
        <v>1095</v>
      </c>
      <c r="F153" s="842" t="s">
        <v>1010</v>
      </c>
      <c r="G153" s="844"/>
      <c r="H153" s="845"/>
      <c r="I153" s="846"/>
      <c r="J153" s="847" t="s">
        <v>1064</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x14ac:dyDescent="0.3">
      <c r="B154" s="842" t="str">
        <f>B153</f>
        <v>TRAETH00</v>
      </c>
      <c r="C154" s="842"/>
      <c r="D154" s="849"/>
      <c r="E154" s="842"/>
      <c r="F154" s="842" t="s">
        <v>1012</v>
      </c>
      <c r="G154" s="842"/>
      <c r="H154" s="850">
        <f>$K$3</f>
        <v>2019</v>
      </c>
      <c r="I154" s="842"/>
      <c r="J154" s="851" t="s">
        <v>1065</v>
      </c>
      <c r="K154" s="851" t="s">
        <v>85</v>
      </c>
      <c r="L154" s="852"/>
      <c r="M154" s="852"/>
      <c r="N154" s="852"/>
      <c r="O154" s="852"/>
      <c r="P154" s="852"/>
      <c r="Q154" s="852"/>
      <c r="R154" s="852"/>
      <c r="S154" s="852"/>
      <c r="T154" s="852"/>
      <c r="U154" s="852"/>
      <c r="V154" s="852"/>
      <c r="W154" s="852"/>
      <c r="X154" s="852"/>
      <c r="Y154" s="852"/>
      <c r="Z154" s="852"/>
      <c r="BO154" s="23"/>
    </row>
    <row r="155" spans="1:67" s="834" customFormat="1" x14ac:dyDescent="0.3">
      <c r="B155" s="853" t="str">
        <f>B153</f>
        <v>TRAETH00</v>
      </c>
      <c r="C155" s="853"/>
      <c r="D155" s="854"/>
      <c r="E155" s="853"/>
      <c r="F155" s="853"/>
      <c r="G155" s="853"/>
      <c r="H155" s="855">
        <f>$K$5</f>
        <v>2050</v>
      </c>
      <c r="I155" s="842"/>
      <c r="J155" s="856" t="s">
        <v>1065</v>
      </c>
      <c r="K155" s="856" t="s">
        <v>85</v>
      </c>
      <c r="L155" s="857"/>
      <c r="M155" s="857"/>
      <c r="N155" s="857"/>
      <c r="O155" s="857"/>
      <c r="P155" s="857"/>
      <c r="Q155" s="857"/>
      <c r="R155" s="857"/>
      <c r="S155" s="857"/>
      <c r="T155" s="857"/>
      <c r="U155" s="857"/>
      <c r="V155" s="857"/>
      <c r="W155" s="857"/>
      <c r="X155" s="857"/>
      <c r="Y155" s="857"/>
      <c r="Z155" s="857"/>
      <c r="BO155" s="23"/>
    </row>
    <row r="156" spans="1:67" s="834" customFormat="1" x14ac:dyDescent="0.3">
      <c r="A156" s="841"/>
      <c r="B156" s="842" t="str">
        <f>C156</f>
        <v>TRAH2G00</v>
      </c>
      <c r="C156" s="842" t="str">
        <f>CONCATENATE(F156,"00")</f>
        <v>TRAH2G00</v>
      </c>
      <c r="D156" s="843" t="str">
        <f>CONCATENATE("Fuel Tech - ",LOOKUP(F156,TRA_Comm!$C$6:$C$28,TRA_Comm!$D$6:$D$28))</f>
        <v>Fuel Tech - H2 (gaseous) (TRA)</v>
      </c>
      <c r="E156" s="842" t="s">
        <v>1083</v>
      </c>
      <c r="F156" s="842" t="s">
        <v>1016</v>
      </c>
      <c r="G156" s="844"/>
      <c r="H156" s="845"/>
      <c r="I156" s="844"/>
      <c r="J156" s="847" t="s">
        <v>1064</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x14ac:dyDescent="0.3">
      <c r="B157" s="842" t="str">
        <f>B156</f>
        <v>TRAH2G00</v>
      </c>
      <c r="C157" s="842"/>
      <c r="D157" s="843"/>
      <c r="E157" s="842"/>
      <c r="F157" s="842"/>
      <c r="G157" s="842"/>
      <c r="H157" s="850">
        <f>$K$3</f>
        <v>2019</v>
      </c>
      <c r="I157" s="842"/>
      <c r="J157" s="851" t="s">
        <v>1065</v>
      </c>
      <c r="K157" s="851" t="s">
        <v>85</v>
      </c>
      <c r="L157" s="852"/>
      <c r="M157" s="852"/>
      <c r="N157" s="852"/>
      <c r="O157" s="852"/>
      <c r="P157" s="852"/>
      <c r="Q157" s="852"/>
      <c r="R157" s="852"/>
      <c r="S157" s="852"/>
      <c r="T157" s="852"/>
      <c r="U157" s="852"/>
      <c r="V157" s="852"/>
      <c r="W157" s="852"/>
      <c r="X157" s="852"/>
      <c r="Y157" s="852"/>
      <c r="Z157" s="852"/>
      <c r="BO157" s="23"/>
    </row>
    <row r="158" spans="1:67" s="834" customFormat="1" x14ac:dyDescent="0.3">
      <c r="B158" s="853" t="str">
        <f>B157</f>
        <v>TRAH2G00</v>
      </c>
      <c r="C158" s="853"/>
      <c r="D158" s="858"/>
      <c r="E158" s="853"/>
      <c r="F158" s="853"/>
      <c r="G158" s="853"/>
      <c r="H158" s="855">
        <f>$K$5</f>
        <v>2050</v>
      </c>
      <c r="I158" s="853"/>
      <c r="J158" s="856" t="s">
        <v>1065</v>
      </c>
      <c r="K158" s="856" t="s">
        <v>85</v>
      </c>
      <c r="L158" s="857"/>
      <c r="M158" s="857"/>
      <c r="N158" s="857"/>
      <c r="O158" s="857"/>
      <c r="P158" s="857"/>
      <c r="Q158" s="857"/>
      <c r="R158" s="857"/>
      <c r="S158" s="857"/>
      <c r="T158" s="857"/>
      <c r="U158" s="857"/>
      <c r="V158" s="857"/>
      <c r="W158" s="857"/>
      <c r="X158" s="857"/>
      <c r="Y158" s="857"/>
      <c r="Z158" s="857"/>
      <c r="BO158" s="23"/>
    </row>
    <row r="159" spans="1:67" s="834" customFormat="1" x14ac:dyDescent="0.3">
      <c r="A159" s="841"/>
      <c r="B159" s="842" t="str">
        <f>C159</f>
        <v>TRANGS00</v>
      </c>
      <c r="C159" s="842" t="str">
        <f>CONCATENATE(F159,"00")</f>
        <v>TRANGS00</v>
      </c>
      <c r="D159" s="843" t="str">
        <f>CONCATENATE("Fuel Tech - ",LOOKUP(F159,TRA_Comm!$C$6:$C$28,TRA_Comm!$D$6:$D$28))</f>
        <v>Fuel Tech - Natural Gas (TRA)</v>
      </c>
      <c r="E159" s="842" t="s">
        <v>1084</v>
      </c>
      <c r="F159" s="842" t="s">
        <v>1039</v>
      </c>
      <c r="G159" s="859"/>
      <c r="H159" s="850"/>
      <c r="I159" s="859"/>
      <c r="J159" s="859" t="s">
        <v>1064</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x14ac:dyDescent="0.3">
      <c r="B160" s="842" t="str">
        <f>B159</f>
        <v>TRANGS00</v>
      </c>
      <c r="C160" s="842"/>
      <c r="D160" s="849"/>
      <c r="E160" s="842"/>
      <c r="F160" s="842"/>
      <c r="G160" s="842"/>
      <c r="H160" s="850">
        <f>$K$3</f>
        <v>2019</v>
      </c>
      <c r="I160" s="842"/>
      <c r="J160" s="851" t="s">
        <v>1065</v>
      </c>
      <c r="K160" s="851" t="s">
        <v>85</v>
      </c>
      <c r="L160" s="852"/>
      <c r="M160" s="852"/>
      <c r="N160" s="852"/>
      <c r="O160" s="852"/>
      <c r="P160" s="852"/>
      <c r="Q160" s="852"/>
      <c r="R160" s="852"/>
      <c r="S160" s="852"/>
      <c r="T160" s="852"/>
      <c r="U160" s="852"/>
      <c r="V160" s="852"/>
      <c r="W160" s="852"/>
      <c r="X160" s="852"/>
      <c r="Y160" s="852"/>
      <c r="Z160" s="852"/>
      <c r="BO160" s="23"/>
    </row>
    <row r="161" spans="1:67" s="834" customFormat="1" x14ac:dyDescent="0.3">
      <c r="B161" s="853" t="str">
        <f>B160</f>
        <v>TRANGS00</v>
      </c>
      <c r="C161" s="853"/>
      <c r="D161" s="854"/>
      <c r="E161" s="853"/>
      <c r="F161" s="853"/>
      <c r="G161" s="853"/>
      <c r="H161" s="855">
        <f>$K$5</f>
        <v>2050</v>
      </c>
      <c r="I161" s="842"/>
      <c r="J161" s="856" t="s">
        <v>1065</v>
      </c>
      <c r="K161" s="856" t="s">
        <v>85</v>
      </c>
      <c r="L161" s="857"/>
      <c r="M161" s="857"/>
      <c r="N161" s="857"/>
      <c r="O161" s="857"/>
      <c r="P161" s="857"/>
      <c r="Q161" s="857"/>
      <c r="R161" s="857"/>
      <c r="S161" s="857"/>
      <c r="T161" s="857"/>
      <c r="U161" s="857"/>
      <c r="V161" s="857"/>
      <c r="W161" s="857"/>
      <c r="X161" s="857"/>
      <c r="Y161" s="857"/>
      <c r="Z161" s="857"/>
      <c r="BO161" s="23"/>
    </row>
    <row r="162" spans="1:67" s="834" customFormat="1" x14ac:dyDescent="0.3">
      <c r="A162" s="841"/>
      <c r="B162" s="842" t="str">
        <f>C162</f>
        <v>TRAHUM00</v>
      </c>
      <c r="C162" s="842" t="str">
        <f>CONCATENATE(F162,"00")</f>
        <v>TRAHUM00</v>
      </c>
      <c r="D162" s="843" t="str">
        <f>CONCATENATE("Fuel Tech - ",LOOKUP(F162,TRA_Comm!$C$6:$C$28,TRA_Comm!$D$6:$D$28))</f>
        <v>Fuel Tech - Human power</v>
      </c>
      <c r="E162" s="842" t="s">
        <v>1085</v>
      </c>
      <c r="F162" s="842" t="s">
        <v>681</v>
      </c>
      <c r="G162" s="844"/>
      <c r="H162" s="845"/>
      <c r="I162" s="846"/>
      <c r="J162" s="847" t="s">
        <v>1064</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1087</v>
      </c>
      <c r="BO162" s="23"/>
    </row>
    <row r="163" spans="1:67" s="834" customFormat="1" x14ac:dyDescent="0.3">
      <c r="B163" s="842" t="str">
        <f>B162</f>
        <v>TRAHUM00</v>
      </c>
      <c r="C163" s="842"/>
      <c r="D163" s="849"/>
      <c r="E163" s="842"/>
      <c r="F163" s="842"/>
      <c r="G163" s="842"/>
      <c r="H163" s="850">
        <f>$K$3</f>
        <v>2019</v>
      </c>
      <c r="I163" s="842"/>
      <c r="J163" s="851" t="s">
        <v>1065</v>
      </c>
      <c r="K163" s="851" t="s">
        <v>85</v>
      </c>
      <c r="L163" s="852"/>
      <c r="M163" s="852"/>
      <c r="N163" s="852"/>
      <c r="O163" s="852"/>
      <c r="P163" s="852"/>
      <c r="Q163" s="852"/>
      <c r="R163" s="852"/>
      <c r="S163" s="852"/>
      <c r="T163" s="852"/>
      <c r="U163" s="852"/>
      <c r="V163" s="852"/>
      <c r="W163" s="852"/>
      <c r="X163" s="852"/>
      <c r="Y163" s="852"/>
      <c r="Z163" s="852"/>
      <c r="BO163" s="23"/>
    </row>
    <row r="164" spans="1:67" s="834" customFormat="1" x14ac:dyDescent="0.3">
      <c r="B164" s="853" t="str">
        <f>B163</f>
        <v>TRAHUM00</v>
      </c>
      <c r="C164" s="853"/>
      <c r="D164" s="854"/>
      <c r="E164" s="853"/>
      <c r="F164" s="853"/>
      <c r="G164" s="853"/>
      <c r="H164" s="855">
        <f>$K$5</f>
        <v>2050</v>
      </c>
      <c r="I164" s="842"/>
      <c r="J164" s="856" t="s">
        <v>1065</v>
      </c>
      <c r="K164" s="856" t="s">
        <v>85</v>
      </c>
      <c r="L164" s="857"/>
      <c r="M164" s="857"/>
      <c r="N164" s="857"/>
      <c r="O164" s="857"/>
      <c r="P164" s="857"/>
      <c r="Q164" s="857"/>
      <c r="R164" s="857"/>
      <c r="S164" s="857"/>
      <c r="T164" s="857"/>
      <c r="U164" s="857"/>
      <c r="V164" s="857"/>
      <c r="W164" s="857"/>
      <c r="X164" s="857"/>
      <c r="Y164" s="857"/>
      <c r="Z164" s="857"/>
      <c r="BO164" s="23"/>
    </row>
    <row r="165" spans="1:67" s="834" customFormat="1" x14ac:dyDescent="0.3">
      <c r="B165" s="860" t="str">
        <f>C165</f>
        <v>TRADST00</v>
      </c>
      <c r="C165" s="842" t="str">
        <f>CONCATENATE(F165,"00")</f>
        <v>TRADST00</v>
      </c>
      <c r="D165" s="843" t="str">
        <f>CONCATENATE("Fuel Tech - ",LOOKUP(F165,TRA_Comm!$C$6:$C$28,TRA_Comm!$D$6:$D$28))</f>
        <v>Fuel Tech - Diesel (TRA)</v>
      </c>
      <c r="E165" s="842" t="s">
        <v>1086</v>
      </c>
      <c r="F165" s="842" t="s">
        <v>185</v>
      </c>
      <c r="G165" s="842"/>
      <c r="H165" s="845"/>
      <c r="I165" s="846"/>
      <c r="J165" s="847" t="s">
        <v>1064</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x14ac:dyDescent="0.3">
      <c r="B166" s="842" t="str">
        <f>B165</f>
        <v>TRADST00</v>
      </c>
      <c r="C166" s="842"/>
      <c r="D166" s="849"/>
      <c r="E166" s="842"/>
      <c r="F166" s="842"/>
      <c r="G166" s="842"/>
      <c r="H166" s="850">
        <f>$K$3</f>
        <v>2019</v>
      </c>
      <c r="I166" s="842"/>
      <c r="J166" s="851" t="s">
        <v>1065</v>
      </c>
      <c r="K166" s="851" t="s">
        <v>85</v>
      </c>
      <c r="L166" s="852"/>
      <c r="M166" s="852"/>
      <c r="N166" s="852"/>
      <c r="O166" s="852"/>
      <c r="P166" s="852"/>
      <c r="Q166" s="852"/>
      <c r="R166" s="852"/>
      <c r="S166" s="852"/>
      <c r="T166" s="852"/>
      <c r="U166" s="852"/>
      <c r="V166" s="852"/>
      <c r="W166" s="852"/>
      <c r="X166" s="852"/>
      <c r="Y166" s="852"/>
      <c r="Z166" s="852"/>
      <c r="BO166" s="23"/>
    </row>
    <row r="167" spans="1:67" s="834" customFormat="1" x14ac:dyDescent="0.3">
      <c r="B167" s="853" t="str">
        <f>B165</f>
        <v>TRADST00</v>
      </c>
      <c r="C167" s="853"/>
      <c r="D167" s="854"/>
      <c r="E167" s="853"/>
      <c r="F167" s="853"/>
      <c r="G167" s="853"/>
      <c r="H167" s="855">
        <f>$K$5</f>
        <v>2050</v>
      </c>
      <c r="I167" s="842"/>
      <c r="J167" s="856" t="s">
        <v>1065</v>
      </c>
      <c r="K167" s="856" t="s">
        <v>85</v>
      </c>
      <c r="L167" s="857"/>
      <c r="M167" s="857"/>
      <c r="N167" s="857"/>
      <c r="O167" s="857"/>
      <c r="P167" s="857"/>
      <c r="Q167" s="857"/>
      <c r="R167" s="857"/>
      <c r="S167" s="857"/>
      <c r="T167" s="857"/>
      <c r="U167" s="857"/>
      <c r="V167" s="857"/>
      <c r="W167" s="857"/>
      <c r="X167" s="857"/>
      <c r="Y167" s="857"/>
      <c r="Z167" s="857"/>
      <c r="BO167" s="23"/>
    </row>
    <row r="168" spans="1:67" s="834" customFormat="1" x14ac:dyDescent="0.3">
      <c r="A168" s="841"/>
      <c r="B168" s="842" t="str">
        <f>C168</f>
        <v>TRAGSL00</v>
      </c>
      <c r="C168" s="842" t="str">
        <f>CONCATENATE(F168,"00")</f>
        <v>TRAGSL00</v>
      </c>
      <c r="D168" s="843" t="str">
        <f>CONCATENATE("Fuel Tech - ",LOOKUP(F168,TRA_Comm!$C$6:$C$28,TRA_Comm!$D$6:$D$28))</f>
        <v>Fuel Tech - Gasoline (TRA)</v>
      </c>
      <c r="E168" s="842" t="s">
        <v>1088</v>
      </c>
      <c r="F168" s="842" t="s">
        <v>1014</v>
      </c>
      <c r="G168" s="844"/>
      <c r="H168" s="845"/>
      <c r="I168" s="846"/>
      <c r="J168" s="847" t="s">
        <v>1064</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x14ac:dyDescent="0.3">
      <c r="B169" s="842" t="str">
        <f>B168</f>
        <v>TRAGSL00</v>
      </c>
      <c r="C169" s="842"/>
      <c r="D169" s="849"/>
      <c r="E169" s="842"/>
      <c r="F169" s="842"/>
      <c r="G169" s="842"/>
      <c r="H169" s="850">
        <f>$K$3</f>
        <v>2019</v>
      </c>
      <c r="I169" s="842"/>
      <c r="J169" s="851" t="s">
        <v>1065</v>
      </c>
      <c r="K169" s="851" t="s">
        <v>85</v>
      </c>
      <c r="L169" s="852"/>
      <c r="M169" s="852"/>
      <c r="N169" s="852"/>
      <c r="O169" s="852"/>
      <c r="P169" s="852"/>
      <c r="Q169" s="852"/>
      <c r="R169" s="852"/>
      <c r="S169" s="852"/>
      <c r="T169" s="852"/>
      <c r="U169" s="852"/>
      <c r="V169" s="852"/>
      <c r="W169" s="852"/>
      <c r="X169" s="852"/>
      <c r="Y169" s="852"/>
      <c r="Z169" s="852"/>
      <c r="BO169" s="23"/>
    </row>
    <row r="170" spans="1:67" s="834" customFormat="1" x14ac:dyDescent="0.3">
      <c r="B170" s="853" t="str">
        <f>B168</f>
        <v>TRAGSL00</v>
      </c>
      <c r="C170" s="853"/>
      <c r="D170" s="854"/>
      <c r="E170" s="853"/>
      <c r="F170" s="853"/>
      <c r="G170" s="853"/>
      <c r="H170" s="855">
        <f>$K$5</f>
        <v>2050</v>
      </c>
      <c r="I170" s="842"/>
      <c r="J170" s="856" t="s">
        <v>1065</v>
      </c>
      <c r="K170" s="856" t="s">
        <v>85</v>
      </c>
      <c r="L170" s="857"/>
      <c r="M170" s="857"/>
      <c r="N170" s="857"/>
      <c r="O170" s="857"/>
      <c r="P170" s="857"/>
      <c r="Q170" s="857"/>
      <c r="R170" s="857"/>
      <c r="S170" s="857"/>
      <c r="T170" s="857"/>
      <c r="U170" s="857"/>
      <c r="V170" s="857"/>
      <c r="W170" s="857"/>
      <c r="X170" s="857"/>
      <c r="Y170" s="857"/>
      <c r="Z170" s="857"/>
      <c r="BO170" s="23"/>
    </row>
    <row r="171" spans="1:67" s="834" customFormat="1" x14ac:dyDescent="0.3">
      <c r="A171" s="841"/>
      <c r="B171" s="842" t="str">
        <f>C171</f>
        <v>TRAKER00</v>
      </c>
      <c r="C171" s="842" t="str">
        <f>CONCATENATE(F171,"00")</f>
        <v>TRAKER00</v>
      </c>
      <c r="D171" s="843" t="str">
        <f>CONCATENATE("Fuel Tech - ",LOOKUP(F171,TRA_Comm!$C$6:$C$28,TRA_Comm!$D$6:$D$28))</f>
        <v>Fuel Tech - Kerosene - Jet Fuels (TRA)</v>
      </c>
      <c r="E171" s="842" t="s">
        <v>1089</v>
      </c>
      <c r="F171" s="842" t="s">
        <v>1029</v>
      </c>
      <c r="G171" s="844"/>
      <c r="H171" s="845"/>
      <c r="I171" s="846"/>
      <c r="J171" s="847" t="s">
        <v>1064</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x14ac:dyDescent="0.3">
      <c r="B172" s="842" t="str">
        <f>B171</f>
        <v>TRAKER00</v>
      </c>
      <c r="C172" s="842"/>
      <c r="D172" s="849"/>
      <c r="E172" s="842"/>
      <c r="F172" s="842"/>
      <c r="G172" s="842"/>
      <c r="H172" s="850">
        <f>$K$3</f>
        <v>2019</v>
      </c>
      <c r="I172" s="842"/>
      <c r="J172" s="851" t="s">
        <v>1065</v>
      </c>
      <c r="K172" s="851" t="s">
        <v>85</v>
      </c>
      <c r="L172" s="852"/>
      <c r="M172" s="852"/>
      <c r="N172" s="852"/>
      <c r="O172" s="852"/>
      <c r="P172" s="852"/>
      <c r="Q172" s="852"/>
      <c r="R172" s="852"/>
      <c r="S172" s="852"/>
      <c r="T172" s="852"/>
      <c r="U172" s="852"/>
      <c r="V172" s="852"/>
      <c r="W172" s="852"/>
      <c r="X172" s="852"/>
      <c r="Y172" s="852"/>
      <c r="Z172" s="852"/>
      <c r="BO172" s="23"/>
    </row>
    <row r="173" spans="1:67" s="834" customFormat="1" x14ac:dyDescent="0.3">
      <c r="B173" s="853" t="str">
        <f>B172</f>
        <v>TRAKER00</v>
      </c>
      <c r="C173" s="853"/>
      <c r="D173" s="854"/>
      <c r="E173" s="853"/>
      <c r="F173" s="853"/>
      <c r="G173" s="853"/>
      <c r="H173" s="855">
        <f>$K$5</f>
        <v>2050</v>
      </c>
      <c r="I173" s="842"/>
      <c r="J173" s="856" t="s">
        <v>1065</v>
      </c>
      <c r="K173" s="856" t="s">
        <v>85</v>
      </c>
      <c r="L173" s="857"/>
      <c r="M173" s="857"/>
      <c r="N173" s="857"/>
      <c r="O173" s="857"/>
      <c r="P173" s="857"/>
      <c r="Q173" s="857"/>
      <c r="R173" s="857"/>
      <c r="S173" s="857"/>
      <c r="T173" s="857"/>
      <c r="U173" s="857"/>
      <c r="V173" s="857"/>
      <c r="W173" s="857"/>
      <c r="X173" s="857"/>
      <c r="Y173" s="857"/>
      <c r="Z173" s="857"/>
      <c r="BO173" s="23"/>
    </row>
    <row r="174" spans="1:67" s="834" customFormat="1" x14ac:dyDescent="0.3">
      <c r="A174" s="841"/>
      <c r="B174" s="842" t="str">
        <f>C174</f>
        <v>TRAHFO00</v>
      </c>
      <c r="C174" s="842" t="str">
        <f>CONCATENATE(F174,"00")</f>
        <v>TRAHFO00</v>
      </c>
      <c r="D174" s="843" t="str">
        <f>CONCATENATE("Fuel Tech - ",LOOKUP(F174,TRA_Comm!$C$6:$C$28,TRA_Comm!$D$6:$D$28))</f>
        <v>Fuel Tech - Heavy Fuel Oil (TRA)</v>
      </c>
      <c r="E174" s="842" t="s">
        <v>1090</v>
      </c>
      <c r="F174" s="842" t="s">
        <v>1023</v>
      </c>
      <c r="G174" s="844"/>
      <c r="H174" s="845"/>
      <c r="I174" s="846"/>
      <c r="J174" s="847" t="s">
        <v>1064</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x14ac:dyDescent="0.3">
      <c r="B175" s="842" t="str">
        <f>B174</f>
        <v>TRAHFO00</v>
      </c>
      <c r="C175" s="842"/>
      <c r="D175" s="849"/>
      <c r="E175" s="842"/>
      <c r="F175" s="842"/>
      <c r="G175" s="842"/>
      <c r="H175" s="850">
        <f>$K$3</f>
        <v>2019</v>
      </c>
      <c r="I175" s="842"/>
      <c r="J175" s="851" t="s">
        <v>1065</v>
      </c>
      <c r="K175" s="851" t="s">
        <v>85</v>
      </c>
      <c r="L175" s="852"/>
      <c r="M175" s="852"/>
      <c r="N175" s="852"/>
      <c r="O175" s="852"/>
      <c r="P175" s="852"/>
      <c r="Q175" s="852"/>
      <c r="R175" s="852"/>
      <c r="S175" s="852"/>
      <c r="T175" s="852"/>
      <c r="U175" s="852"/>
      <c r="V175" s="852"/>
      <c r="W175" s="852"/>
      <c r="X175" s="852"/>
      <c r="Y175" s="852"/>
      <c r="Z175" s="852"/>
      <c r="BO175" s="23"/>
    </row>
    <row r="176" spans="1:67" s="834" customFormat="1" x14ac:dyDescent="0.3">
      <c r="B176" s="853" t="str">
        <f>B175</f>
        <v>TRAHFO00</v>
      </c>
      <c r="C176" s="853"/>
      <c r="D176" s="854"/>
      <c r="E176" s="853"/>
      <c r="F176" s="853"/>
      <c r="G176" s="853"/>
      <c r="H176" s="855">
        <f>$K$5</f>
        <v>2050</v>
      </c>
      <c r="I176" s="842"/>
      <c r="J176" s="856" t="s">
        <v>1065</v>
      </c>
      <c r="K176" s="856" t="s">
        <v>85</v>
      </c>
      <c r="L176" s="857"/>
      <c r="M176" s="857"/>
      <c r="N176" s="857"/>
      <c r="O176" s="857"/>
      <c r="P176" s="857"/>
      <c r="Q176" s="857"/>
      <c r="R176" s="857"/>
      <c r="S176" s="857"/>
      <c r="T176" s="857"/>
      <c r="U176" s="857"/>
      <c r="V176" s="857"/>
      <c r="W176" s="857"/>
      <c r="X176" s="857"/>
      <c r="Y176" s="857"/>
      <c r="Z176" s="857"/>
      <c r="BO176" s="23"/>
    </row>
    <row r="177" spans="1:67" s="834" customFormat="1" x14ac:dyDescent="0.3">
      <c r="A177" s="841"/>
      <c r="B177" s="842" t="str">
        <f>C177</f>
        <v>TRALFO00</v>
      </c>
      <c r="C177" s="842" t="str">
        <f>CONCATENATE(F177,"00")</f>
        <v>TRALFO00</v>
      </c>
      <c r="D177" s="843" t="str">
        <f>CONCATENATE("Fuel Tech - ",LOOKUP(F177,TRA_Comm!$C$6:$C$28,TRA_Comm!$D$6:$D$28))</f>
        <v>Fuel Tech - Light Fuel Oil (TRA)</v>
      </c>
      <c r="E177" s="842" t="s">
        <v>1091</v>
      </c>
      <c r="F177" s="842" t="s">
        <v>1031</v>
      </c>
      <c r="G177" s="844"/>
      <c r="H177" s="845"/>
      <c r="I177" s="846"/>
      <c r="J177" s="847" t="s">
        <v>1064</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x14ac:dyDescent="0.3">
      <c r="B178" s="842" t="str">
        <f>B177</f>
        <v>TRALFO00</v>
      </c>
      <c r="C178" s="842"/>
      <c r="D178" s="849"/>
      <c r="E178" s="842"/>
      <c r="F178" s="842"/>
      <c r="G178" s="842"/>
      <c r="H178" s="850">
        <f>$K$3</f>
        <v>2019</v>
      </c>
      <c r="I178" s="842"/>
      <c r="J178" s="851" t="s">
        <v>1065</v>
      </c>
      <c r="K178" s="851" t="s">
        <v>85</v>
      </c>
      <c r="L178" s="852"/>
      <c r="M178" s="852"/>
      <c r="N178" s="852"/>
      <c r="O178" s="852"/>
      <c r="P178" s="852"/>
      <c r="Q178" s="852"/>
      <c r="R178" s="852"/>
      <c r="S178" s="852"/>
      <c r="T178" s="852"/>
      <c r="U178" s="852"/>
      <c r="V178" s="852"/>
      <c r="W178" s="852"/>
      <c r="X178" s="852"/>
      <c r="Y178" s="852"/>
      <c r="Z178" s="852"/>
      <c r="BO178" s="23"/>
    </row>
    <row r="179" spans="1:67" s="834" customFormat="1" x14ac:dyDescent="0.3">
      <c r="B179" s="853" t="str">
        <f>B178</f>
        <v>TRALFO00</v>
      </c>
      <c r="C179" s="853"/>
      <c r="D179" s="854"/>
      <c r="E179" s="853"/>
      <c r="F179" s="853"/>
      <c r="G179" s="853"/>
      <c r="H179" s="855">
        <f>$K$5</f>
        <v>2050</v>
      </c>
      <c r="I179" s="853"/>
      <c r="J179" s="856" t="s">
        <v>1065</v>
      </c>
      <c r="K179" s="856" t="s">
        <v>85</v>
      </c>
      <c r="L179" s="857"/>
      <c r="M179" s="857"/>
      <c r="N179" s="857"/>
      <c r="O179" s="857"/>
      <c r="P179" s="857"/>
      <c r="Q179" s="857"/>
      <c r="R179" s="857"/>
      <c r="S179" s="857"/>
      <c r="T179" s="857"/>
      <c r="U179" s="857"/>
      <c r="V179" s="857"/>
      <c r="W179" s="857"/>
      <c r="X179" s="857"/>
      <c r="Y179" s="857"/>
      <c r="Z179" s="857"/>
      <c r="BO179" s="23"/>
    </row>
    <row r="180" spans="1:67" x14ac:dyDescent="0.3">
      <c r="A180" s="841"/>
      <c r="B180" s="842" t="str">
        <f>C180</f>
        <v>TRALPG00</v>
      </c>
      <c r="C180" s="842" t="str">
        <f>CONCATENATE(F180,"00")</f>
        <v>TRALPG00</v>
      </c>
      <c r="D180" s="843" t="str">
        <f>CONCATENATE("Fuel Tech - ",LOOKUP(F180,TRA_Comm!$C$6:$C$28,TRA_Comm!$D$6:$D$28))</f>
        <v>Fuel Tech - Liquified Petroleum Gas (TRA)</v>
      </c>
      <c r="E180" s="842" t="s">
        <v>1092</v>
      </c>
      <c r="F180" s="842" t="s">
        <v>1033</v>
      </c>
      <c r="G180" s="859"/>
      <c r="H180" s="850"/>
      <c r="I180" s="859"/>
      <c r="J180" s="859" t="s">
        <v>1064</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x14ac:dyDescent="0.3">
      <c r="A181" s="834"/>
      <c r="B181" s="842" t="str">
        <f>B180</f>
        <v>TRALPG00</v>
      </c>
      <c r="C181" s="842"/>
      <c r="D181" s="849"/>
      <c r="E181" s="842"/>
      <c r="F181" s="842"/>
      <c r="G181" s="842"/>
      <c r="H181" s="850">
        <f>$K$3</f>
        <v>2019</v>
      </c>
      <c r="I181" s="842"/>
      <c r="J181" s="851" t="s">
        <v>1065</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x14ac:dyDescent="0.3">
      <c r="A182" s="834"/>
      <c r="B182" s="853" t="str">
        <f>B181</f>
        <v>TRALPG00</v>
      </c>
      <c r="C182" s="853"/>
      <c r="D182" s="854"/>
      <c r="E182" s="853"/>
      <c r="F182" s="853"/>
      <c r="G182" s="853"/>
      <c r="H182" s="855">
        <f>$K$5</f>
        <v>2050</v>
      </c>
      <c r="I182" s="853"/>
      <c r="J182" s="856" t="s">
        <v>1065</v>
      </c>
      <c r="K182" s="856" t="s">
        <v>85</v>
      </c>
      <c r="L182" s="857"/>
      <c r="M182" s="857"/>
      <c r="N182" s="857"/>
      <c r="O182" s="857"/>
      <c r="P182" s="857"/>
      <c r="Q182" s="857"/>
      <c r="R182" s="857"/>
      <c r="S182" s="857"/>
      <c r="T182" s="857"/>
      <c r="U182" s="857"/>
      <c r="V182" s="857"/>
      <c r="W182" s="857"/>
      <c r="X182" s="857"/>
      <c r="Y182" s="857"/>
      <c r="Z182" s="857"/>
      <c r="AA182" s="834"/>
      <c r="AB182" s="19"/>
    </row>
    <row r="183" spans="1:67" x14ac:dyDescent="0.3">
      <c r="A183" s="841"/>
      <c r="B183" s="842" t="str">
        <f>C183</f>
        <v>TRAMTH00</v>
      </c>
      <c r="C183" s="842" t="str">
        <f>CONCATENATE(F183,"00")</f>
        <v>TRAMTH00</v>
      </c>
      <c r="D183" s="843" t="str">
        <f>CONCATENATE("Fuel Tech - ",LOOKUP(F183,TRA_Comm!$C$6:$C$28,TRA_Comm!$D$6:$D$28))</f>
        <v>Fuel Tech - Methanol (TRA)</v>
      </c>
      <c r="E183" s="842" t="s">
        <v>1093</v>
      </c>
      <c r="F183" s="842" t="s">
        <v>1035</v>
      </c>
      <c r="G183" s="859"/>
      <c r="H183" s="850"/>
      <c r="I183" s="859"/>
      <c r="J183" s="859" t="s">
        <v>1064</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x14ac:dyDescent="0.3">
      <c r="A184" s="834"/>
      <c r="B184" s="842" t="str">
        <f>B183</f>
        <v>TRAMTH00</v>
      </c>
      <c r="C184" s="842"/>
      <c r="D184" s="849"/>
      <c r="E184" s="842"/>
      <c r="F184" s="842"/>
      <c r="G184" s="842"/>
      <c r="H184" s="850">
        <f>$K$3</f>
        <v>2019</v>
      </c>
      <c r="I184" s="842"/>
      <c r="J184" s="851" t="s">
        <v>1065</v>
      </c>
      <c r="K184" s="851" t="s">
        <v>85</v>
      </c>
      <c r="L184" s="852"/>
      <c r="M184" s="852"/>
      <c r="N184" s="852"/>
      <c r="O184" s="852"/>
      <c r="P184" s="852"/>
      <c r="Q184" s="852"/>
      <c r="R184" s="852"/>
      <c r="S184" s="852"/>
      <c r="T184" s="852"/>
      <c r="U184" s="852"/>
      <c r="V184" s="852"/>
      <c r="W184" s="852"/>
      <c r="X184" s="852"/>
      <c r="Y184" s="852"/>
      <c r="Z184" s="852"/>
      <c r="AA184" s="834"/>
      <c r="AB184" s="19"/>
    </row>
    <row r="185" spans="1:67" x14ac:dyDescent="0.3">
      <c r="A185" s="834"/>
      <c r="B185" s="853" t="str">
        <f>B184</f>
        <v>TRAMTH00</v>
      </c>
      <c r="C185" s="853"/>
      <c r="D185" s="854"/>
      <c r="E185" s="853"/>
      <c r="F185" s="853"/>
      <c r="G185" s="853"/>
      <c r="H185" s="855">
        <f>$K$5</f>
        <v>2050</v>
      </c>
      <c r="I185" s="853"/>
      <c r="J185" s="856" t="s">
        <v>1065</v>
      </c>
      <c r="K185" s="856" t="s">
        <v>85</v>
      </c>
      <c r="L185" s="857"/>
      <c r="M185" s="857"/>
      <c r="N185" s="857"/>
      <c r="O185" s="857"/>
      <c r="P185" s="857"/>
      <c r="Q185" s="857"/>
      <c r="R185" s="857"/>
      <c r="S185" s="857"/>
      <c r="T185" s="857"/>
      <c r="U185" s="857"/>
      <c r="V185" s="857"/>
      <c r="W185" s="857"/>
      <c r="X185" s="857"/>
      <c r="Y185" s="857"/>
      <c r="Z185" s="857"/>
      <c r="AA185" s="834"/>
      <c r="AB185" s="42" t="s">
        <v>1059</v>
      </c>
      <c r="AC185" s="42" t="s">
        <v>1060</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1096</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1051</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1053</v>
      </c>
      <c r="C192" s="639" t="s">
        <v>104</v>
      </c>
      <c r="D192" s="639" t="s">
        <v>1054</v>
      </c>
      <c r="E192" s="639" t="s">
        <v>673</v>
      </c>
      <c r="F192" s="639" t="s">
        <v>674</v>
      </c>
      <c r="G192" s="639" t="s">
        <v>1055</v>
      </c>
      <c r="H192" s="641" t="s">
        <v>1056</v>
      </c>
      <c r="I192" s="42" t="s">
        <v>982</v>
      </c>
      <c r="J192" s="42" t="s">
        <v>1057</v>
      </c>
      <c r="K192" s="42" t="s">
        <v>1058</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1064</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1097</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1098</v>
      </c>
      <c r="K195" s="735" t="s">
        <v>1099</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990</v>
      </c>
      <c r="G196" s="739"/>
      <c r="H196" s="739"/>
      <c r="I196" s="740"/>
      <c r="J196" s="741" t="s">
        <v>1064</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1097</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1098</v>
      </c>
      <c r="K198" s="735" t="s">
        <v>1099</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992</v>
      </c>
      <c r="G199" s="739"/>
      <c r="H199" s="739"/>
      <c r="I199" s="740"/>
      <c r="J199" s="741" t="s">
        <v>1064</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1097</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1098</v>
      </c>
      <c r="K201" s="735" t="s">
        <v>1099</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1064</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1097</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1098</v>
      </c>
      <c r="K204" s="747" t="s">
        <v>1099</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996</v>
      </c>
      <c r="G205" s="739"/>
      <c r="H205" s="739"/>
      <c r="I205" s="740"/>
      <c r="J205" s="741" t="s">
        <v>1064</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1097</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1098</v>
      </c>
      <c r="K207" s="747" t="s">
        <v>1099</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1064</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1097</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1098</v>
      </c>
      <c r="K210" s="747" t="s">
        <v>1099</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925</v>
      </c>
      <c r="D211" s="738" t="str">
        <f>REPLACE(D47,1,9,"Fuel Tech New")</f>
        <v>Fuel Tech New - Dimethyle Ether (TRA)</v>
      </c>
      <c r="E211" s="324" t="s">
        <v>1073</v>
      </c>
      <c r="F211" s="739" t="s">
        <v>1000</v>
      </c>
      <c r="G211" s="739"/>
      <c r="H211" s="739"/>
      <c r="I211" s="740"/>
      <c r="J211" s="741" t="s">
        <v>1064</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1097</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1098</v>
      </c>
      <c r="K213" s="735" t="s">
        <v>1099</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1064</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1097</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1098</v>
      </c>
      <c r="K216" s="735" t="s">
        <v>1099</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1012</v>
      </c>
      <c r="G217" s="739"/>
      <c r="H217" s="739"/>
      <c r="I217" s="740"/>
      <c r="J217" s="741" t="s">
        <v>1064</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1097</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1098</v>
      </c>
      <c r="K219" s="735" t="s">
        <v>1099</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1083</v>
      </c>
      <c r="F220" s="739" t="str">
        <f>F65</f>
        <v>TRAH2G</v>
      </c>
      <c r="G220" s="739"/>
      <c r="H220" s="739"/>
      <c r="I220" s="740"/>
      <c r="J220" s="741" t="s">
        <v>1064</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1097</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1098</v>
      </c>
      <c r="K222" s="735" t="s">
        <v>1099</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1064</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1097</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1098</v>
      </c>
      <c r="K225" s="735" t="s">
        <v>1099</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1064</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1097</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1098</v>
      </c>
      <c r="K228" s="735" t="s">
        <v>1099</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1086</v>
      </c>
      <c r="F229" s="739" t="s">
        <v>1002</v>
      </c>
      <c r="G229" s="739"/>
      <c r="H229" s="739"/>
      <c r="I229" s="740"/>
      <c r="J229" s="741" t="s">
        <v>1064</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1097</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1098</v>
      </c>
      <c r="K231" s="735" t="s">
        <v>1099</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1064</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1097</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1098</v>
      </c>
      <c r="K234" s="735" t="s">
        <v>1099</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1064</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1097</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1098</v>
      </c>
      <c r="K237" s="735" t="s">
        <v>1099</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1064</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1097</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1098</v>
      </c>
      <c r="K240" s="735" t="s">
        <v>1099</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1064</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1097</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1098</v>
      </c>
      <c r="K243" s="735" t="s">
        <v>1099</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1064</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1097</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1098</v>
      </c>
      <c r="K246" s="735" t="s">
        <v>1099</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1064</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1097</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1098</v>
      </c>
      <c r="K249" s="735" t="s">
        <v>1099</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1064</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1097</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1098</v>
      </c>
      <c r="K252" s="735" t="s">
        <v>1099</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1093</v>
      </c>
      <c r="F253" s="739" t="s">
        <v>1037</v>
      </c>
      <c r="G253" s="739"/>
      <c r="H253" s="739"/>
      <c r="I253" s="740"/>
      <c r="J253" s="741" t="s">
        <v>1064</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1097</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1098</v>
      </c>
      <c r="K255" s="735" t="s">
        <v>1099</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67" x14ac:dyDescent="0.3">
      <c r="B257" s="42" t="s">
        <v>1100</v>
      </c>
      <c r="C257" s="42"/>
      <c r="D257" s="42"/>
      <c r="AB257" s="19"/>
    </row>
    <row r="258" spans="1:67" x14ac:dyDescent="0.3">
      <c r="C258" s="12"/>
      <c r="D258" s="12"/>
      <c r="AB258" s="19"/>
    </row>
    <row r="259" spans="1:67" x14ac:dyDescent="0.3">
      <c r="C259" s="12"/>
      <c r="D259" s="12"/>
      <c r="G259" s="41"/>
      <c r="H259" s="51"/>
      <c r="I259" s="41"/>
      <c r="J259" s="40" t="s">
        <v>1051</v>
      </c>
      <c r="K259" s="40"/>
      <c r="P259" s="41"/>
      <c r="AB259" s="19"/>
    </row>
    <row r="260" spans="1:67" x14ac:dyDescent="0.3">
      <c r="B260" s="52" t="s">
        <v>1053</v>
      </c>
      <c r="C260" s="42" t="s">
        <v>104</v>
      </c>
      <c r="D260" s="42" t="s">
        <v>1054</v>
      </c>
      <c r="E260" s="42" t="s">
        <v>673</v>
      </c>
      <c r="F260" s="103" t="s">
        <v>674</v>
      </c>
      <c r="G260" s="42" t="s">
        <v>1055</v>
      </c>
      <c r="H260" s="98" t="s">
        <v>1056</v>
      </c>
      <c r="I260" s="42" t="s">
        <v>982</v>
      </c>
      <c r="J260" s="42" t="s">
        <v>1057</v>
      </c>
      <c r="K260" s="42" t="s">
        <v>1058</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3">
      <c r="A261"/>
      <c r="B261" s="171"/>
      <c r="C261" s="171"/>
      <c r="D261" s="171" t="s">
        <v>1062</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x14ac:dyDescent="0.3">
      <c r="A262" s="19"/>
      <c r="B262" s="219" t="str">
        <f>C262</f>
        <v>TRAELC00</v>
      </c>
      <c r="C262" s="224" t="str">
        <f>CONCATENATE(F262,"00")</f>
        <v>TRAELC00</v>
      </c>
      <c r="D262" s="225" t="s">
        <v>1101</v>
      </c>
      <c r="E262" s="173" t="s">
        <v>1102</v>
      </c>
      <c r="F262" s="173" t="s">
        <v>683</v>
      </c>
      <c r="G262" s="224"/>
      <c r="H262" s="241"/>
      <c r="I262" s="173"/>
      <c r="J262" s="239" t="s">
        <v>1064</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BN262" s="19"/>
    </row>
    <row r="263" spans="1:67" x14ac:dyDescent="0.3">
      <c r="A263" s="19"/>
      <c r="B263" s="219" t="str">
        <f>B262</f>
        <v>TRAELC00</v>
      </c>
      <c r="C263" s="224"/>
      <c r="D263" s="230"/>
      <c r="E263" s="224"/>
      <c r="F263" s="224"/>
      <c r="G263" s="224"/>
      <c r="H263" s="231">
        <f>$K$3</f>
        <v>2019</v>
      </c>
      <c r="I263" s="224"/>
      <c r="J263" s="232" t="s">
        <v>1065</v>
      </c>
      <c r="K263" s="232" t="s">
        <v>85</v>
      </c>
      <c r="L263" s="636">
        <v>1</v>
      </c>
      <c r="M263" s="636">
        <v>1</v>
      </c>
      <c r="N263" s="636">
        <v>1</v>
      </c>
      <c r="O263" s="636">
        <v>1</v>
      </c>
      <c r="P263" s="636">
        <v>1</v>
      </c>
      <c r="Q263" s="636">
        <v>1</v>
      </c>
      <c r="R263" s="636">
        <v>1</v>
      </c>
      <c r="S263" s="636">
        <v>1</v>
      </c>
      <c r="T263" s="636">
        <v>1</v>
      </c>
      <c r="U263" s="636">
        <v>1</v>
      </c>
      <c r="V263" s="636">
        <v>1</v>
      </c>
      <c r="W263" s="636">
        <v>1</v>
      </c>
      <c r="X263" s="636">
        <v>1</v>
      </c>
      <c r="Y263" s="636">
        <v>1</v>
      </c>
      <c r="Z263" s="636">
        <v>1</v>
      </c>
      <c r="AB263" s="19"/>
    </row>
    <row r="264" spans="1:67" x14ac:dyDescent="0.3">
      <c r="A264" s="19"/>
      <c r="B264" s="219" t="str">
        <f>B263</f>
        <v>TRAELC00</v>
      </c>
      <c r="C264" s="224"/>
      <c r="D264" s="230"/>
      <c r="E264" s="224"/>
      <c r="F264" s="224"/>
      <c r="G264" s="224"/>
      <c r="H264" s="231">
        <v>2020</v>
      </c>
      <c r="I264" s="224"/>
      <c r="J264" s="232" t="s">
        <v>1065</v>
      </c>
      <c r="K264" s="232" t="s">
        <v>85</v>
      </c>
      <c r="L264" s="636">
        <f t="shared" ref="L264:Z267" si="225">L$263*LOOKUP($H264, $AF$47:$AF$50, AG$47:AG$50)</f>
        <v>0.8</v>
      </c>
      <c r="M264" s="636">
        <f t="shared" si="225"/>
        <v>0.8</v>
      </c>
      <c r="N264" s="636">
        <f t="shared" si="225"/>
        <v>0.8</v>
      </c>
      <c r="O264" s="636">
        <f t="shared" si="225"/>
        <v>0.8</v>
      </c>
      <c r="P264" s="636">
        <f t="shared" si="225"/>
        <v>0.8</v>
      </c>
      <c r="Q264" s="636">
        <f t="shared" si="225"/>
        <v>0.8</v>
      </c>
      <c r="R264" s="636">
        <f t="shared" si="225"/>
        <v>0.8</v>
      </c>
      <c r="S264" s="636">
        <f t="shared" si="225"/>
        <v>0.8</v>
      </c>
      <c r="T264" s="636">
        <f t="shared" si="225"/>
        <v>0.8</v>
      </c>
      <c r="U264" s="636">
        <f t="shared" si="225"/>
        <v>0.8</v>
      </c>
      <c r="V264" s="636">
        <f t="shared" si="225"/>
        <v>0.8</v>
      </c>
      <c r="W264" s="636">
        <f t="shared" si="225"/>
        <v>0.8</v>
      </c>
      <c r="X264" s="636">
        <f t="shared" si="225"/>
        <v>0.8</v>
      </c>
      <c r="Y264" s="636">
        <f t="shared" si="225"/>
        <v>0.8</v>
      </c>
      <c r="Z264" s="636">
        <f t="shared" si="225"/>
        <v>0.8</v>
      </c>
      <c r="AB264" s="19"/>
    </row>
    <row r="265" spans="1:67" x14ac:dyDescent="0.3">
      <c r="A265" s="19"/>
      <c r="B265" s="219" t="str">
        <f t="shared" ref="B265:B267" si="226">B264</f>
        <v>TRAELC00</v>
      </c>
      <c r="C265" s="224"/>
      <c r="D265" s="230"/>
      <c r="E265" s="224"/>
      <c r="F265" s="224"/>
      <c r="G265" s="224"/>
      <c r="H265" s="231">
        <v>2030</v>
      </c>
      <c r="I265" s="224"/>
      <c r="J265" s="232" t="s">
        <v>1065</v>
      </c>
      <c r="K265" s="232" t="s">
        <v>85</v>
      </c>
      <c r="L265" s="636">
        <f t="shared" si="225"/>
        <v>0.4</v>
      </c>
      <c r="M265" s="636">
        <f t="shared" si="225"/>
        <v>0.4</v>
      </c>
      <c r="N265" s="636">
        <f t="shared" si="225"/>
        <v>0.4</v>
      </c>
      <c r="O265" s="636">
        <f t="shared" si="225"/>
        <v>0.4</v>
      </c>
      <c r="P265" s="636">
        <f t="shared" si="225"/>
        <v>0.4</v>
      </c>
      <c r="Q265" s="636">
        <f t="shared" si="225"/>
        <v>0.4</v>
      </c>
      <c r="R265" s="636">
        <f t="shared" si="225"/>
        <v>0.4</v>
      </c>
      <c r="S265" s="636">
        <f t="shared" si="225"/>
        <v>0.4</v>
      </c>
      <c r="T265" s="636">
        <f t="shared" si="225"/>
        <v>0.4</v>
      </c>
      <c r="U265" s="636">
        <f t="shared" si="225"/>
        <v>0.4</v>
      </c>
      <c r="V265" s="636">
        <f t="shared" si="225"/>
        <v>0.4</v>
      </c>
      <c r="W265" s="636">
        <f t="shared" si="225"/>
        <v>0.4</v>
      </c>
      <c r="X265" s="636">
        <f t="shared" si="225"/>
        <v>0.4</v>
      </c>
      <c r="Y265" s="636">
        <f t="shared" si="225"/>
        <v>0.4</v>
      </c>
      <c r="Z265" s="636">
        <f t="shared" si="225"/>
        <v>0.4</v>
      </c>
      <c r="AB265" s="19"/>
      <c r="AR265" s="97"/>
      <c r="AS265" s="19"/>
      <c r="AT265" s="19"/>
      <c r="AU265" s="19"/>
      <c r="AV265" s="19"/>
      <c r="AW265" s="19"/>
      <c r="AX265" s="19"/>
      <c r="AY265" s="19"/>
      <c r="AZ265" s="19"/>
      <c r="BA265" s="19"/>
      <c r="BB265" s="19"/>
      <c r="BC265" s="19"/>
      <c r="BD265" s="19"/>
      <c r="BE265" s="19"/>
      <c r="BF265" s="19"/>
      <c r="BG265" s="19"/>
      <c r="BH265" s="19"/>
      <c r="BI265" s="19"/>
      <c r="BJ265" s="19"/>
      <c r="BK265" s="19"/>
      <c r="BL265" s="19"/>
      <c r="BM265" s="19"/>
    </row>
    <row r="266" spans="1:67" x14ac:dyDescent="0.3">
      <c r="A266" s="19"/>
      <c r="B266" s="219" t="str">
        <f t="shared" si="226"/>
        <v>TRAELC00</v>
      </c>
      <c r="C266" s="224"/>
      <c r="D266" s="230"/>
      <c r="E266" s="224"/>
      <c r="F266" s="224"/>
      <c r="G266" s="224"/>
      <c r="H266" s="231">
        <v>2040</v>
      </c>
      <c r="I266" s="224"/>
      <c r="J266" s="232" t="s">
        <v>1065</v>
      </c>
      <c r="K266" s="232" t="s">
        <v>85</v>
      </c>
      <c r="L266" s="636">
        <f t="shared" si="225"/>
        <v>0</v>
      </c>
      <c r="M266" s="636">
        <f t="shared" si="225"/>
        <v>0</v>
      </c>
      <c r="N266" s="636">
        <f t="shared" si="225"/>
        <v>0</v>
      </c>
      <c r="O266" s="636">
        <f t="shared" si="225"/>
        <v>0</v>
      </c>
      <c r="P266" s="636">
        <f t="shared" si="225"/>
        <v>0</v>
      </c>
      <c r="Q266" s="636">
        <f t="shared" si="225"/>
        <v>0</v>
      </c>
      <c r="R266" s="636">
        <f t="shared" si="225"/>
        <v>0</v>
      </c>
      <c r="S266" s="636">
        <f t="shared" si="225"/>
        <v>0</v>
      </c>
      <c r="T266" s="636">
        <f t="shared" si="225"/>
        <v>0</v>
      </c>
      <c r="U266" s="636">
        <f t="shared" si="225"/>
        <v>0</v>
      </c>
      <c r="V266" s="636">
        <f t="shared" si="225"/>
        <v>0</v>
      </c>
      <c r="W266" s="636">
        <f t="shared" si="225"/>
        <v>0</v>
      </c>
      <c r="X266" s="636">
        <f t="shared" si="225"/>
        <v>0</v>
      </c>
      <c r="Y266" s="636">
        <f t="shared" si="225"/>
        <v>0</v>
      </c>
      <c r="Z266" s="636">
        <f t="shared" si="225"/>
        <v>0</v>
      </c>
      <c r="AB266" s="19"/>
    </row>
    <row r="267" spans="1:67" s="19" customFormat="1" x14ac:dyDescent="0.3">
      <c r="B267" s="233" t="str">
        <f t="shared" si="226"/>
        <v>TRAELC00</v>
      </c>
      <c r="C267" s="234"/>
      <c r="D267" s="235"/>
      <c r="E267" s="234"/>
      <c r="F267" s="234"/>
      <c r="G267" s="234"/>
      <c r="H267" s="236">
        <f>$K$5</f>
        <v>2050</v>
      </c>
      <c r="I267" s="234"/>
      <c r="J267" s="237" t="s">
        <v>1065</v>
      </c>
      <c r="K267" s="237" t="s">
        <v>85</v>
      </c>
      <c r="L267" s="637">
        <f t="shared" si="225"/>
        <v>0</v>
      </c>
      <c r="M267" s="637">
        <f t="shared" si="225"/>
        <v>0</v>
      </c>
      <c r="N267" s="637">
        <f t="shared" si="225"/>
        <v>0</v>
      </c>
      <c r="O267" s="637">
        <f t="shared" si="225"/>
        <v>0</v>
      </c>
      <c r="P267" s="637">
        <f t="shared" si="225"/>
        <v>0</v>
      </c>
      <c r="Q267" s="637">
        <f t="shared" si="225"/>
        <v>0</v>
      </c>
      <c r="R267" s="637">
        <f t="shared" si="225"/>
        <v>0</v>
      </c>
      <c r="S267" s="637">
        <f t="shared" si="225"/>
        <v>0</v>
      </c>
      <c r="T267" s="637">
        <f t="shared" si="225"/>
        <v>0</v>
      </c>
      <c r="U267" s="637">
        <f t="shared" si="225"/>
        <v>0</v>
      </c>
      <c r="V267" s="637">
        <f t="shared" si="225"/>
        <v>0</v>
      </c>
      <c r="W267" s="637">
        <f t="shared" si="225"/>
        <v>0</v>
      </c>
      <c r="X267" s="637">
        <f t="shared" si="225"/>
        <v>0</v>
      </c>
      <c r="Y267" s="637">
        <f t="shared" si="225"/>
        <v>0</v>
      </c>
      <c r="Z267" s="637">
        <f t="shared" si="225"/>
        <v>0</v>
      </c>
      <c r="AA267" s="41"/>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s="23"/>
    </row>
    <row r="268" spans="1:67" s="19" customFormat="1" x14ac:dyDescent="0.3">
      <c r="B268" s="219" t="str">
        <f>C268</f>
        <v>TRAELR00</v>
      </c>
      <c r="C268" s="224" t="s">
        <v>935</v>
      </c>
      <c r="D268" s="225" t="s">
        <v>1103</v>
      </c>
      <c r="E268" s="173" t="s">
        <v>1102</v>
      </c>
      <c r="F268" s="173" t="s">
        <v>1008</v>
      </c>
      <c r="G268" s="224"/>
      <c r="H268" s="241"/>
      <c r="I268" s="173"/>
      <c r="J268" s="239" t="s">
        <v>1064</v>
      </c>
      <c r="K268" s="239"/>
      <c r="L268" s="635">
        <v>1</v>
      </c>
      <c r="M268" s="635">
        <f>L268</f>
        <v>1</v>
      </c>
      <c r="N268" s="635">
        <f t="shared" ref="N268" si="227">M268</f>
        <v>1</v>
      </c>
      <c r="O268" s="635">
        <f t="shared" ref="O268" si="228">N268</f>
        <v>1</v>
      </c>
      <c r="P268" s="635">
        <f t="shared" ref="P268" si="229">O268</f>
        <v>1</v>
      </c>
      <c r="Q268" s="635">
        <f t="shared" ref="Q268" si="230">P268</f>
        <v>1</v>
      </c>
      <c r="R268" s="635">
        <f t="shared" ref="R268" si="231">Q268</f>
        <v>1</v>
      </c>
      <c r="S268" s="635">
        <f t="shared" ref="S268" si="232">R268</f>
        <v>1</v>
      </c>
      <c r="T268" s="635">
        <f t="shared" ref="T268" si="233">S268</f>
        <v>1</v>
      </c>
      <c r="U268" s="635">
        <f t="shared" ref="U268" si="234">T268</f>
        <v>1</v>
      </c>
      <c r="V268" s="635">
        <f t="shared" ref="V268" si="235">U268</f>
        <v>1</v>
      </c>
      <c r="W268" s="635">
        <f t="shared" ref="W268" si="236">V268</f>
        <v>1</v>
      </c>
      <c r="X268" s="635">
        <f t="shared" ref="X268" si="237">W268</f>
        <v>1</v>
      </c>
      <c r="Y268" s="635">
        <f t="shared" ref="Y268" si="238">X268</f>
        <v>1</v>
      </c>
      <c r="Z268" s="635">
        <f t="shared" ref="Z268" si="239">Y268</f>
        <v>1</v>
      </c>
      <c r="AA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O268" s="23"/>
    </row>
    <row r="269" spans="1:67" s="19" customFormat="1" x14ac:dyDescent="0.3">
      <c r="B269" s="219" t="str">
        <f>B268</f>
        <v>TRAELR00</v>
      </c>
      <c r="C269" s="224"/>
      <c r="D269" s="230"/>
      <c r="E269" s="224"/>
      <c r="F269" s="224"/>
      <c r="G269" s="224"/>
      <c r="H269" s="231">
        <f>$K$3</f>
        <v>2019</v>
      </c>
      <c r="I269" s="224"/>
      <c r="J269" s="232" t="s">
        <v>1065</v>
      </c>
      <c r="K269" s="232" t="s">
        <v>85</v>
      </c>
      <c r="L269" s="636">
        <f t="shared" ref="L269:Z269" si="240">LOOKUP($F268, $AE$11:$AE$34, AG$11:AG$34*$L$6)</f>
        <v>0</v>
      </c>
      <c r="M269" s="636">
        <f t="shared" si="240"/>
        <v>0</v>
      </c>
      <c r="N269" s="636">
        <f t="shared" si="240"/>
        <v>0</v>
      </c>
      <c r="O269" s="636">
        <f t="shared" si="240"/>
        <v>0</v>
      </c>
      <c r="P269" s="636">
        <f t="shared" si="240"/>
        <v>0</v>
      </c>
      <c r="Q269" s="636">
        <f t="shared" si="240"/>
        <v>0</v>
      </c>
      <c r="R269" s="636">
        <f t="shared" si="240"/>
        <v>0</v>
      </c>
      <c r="S269" s="636">
        <f t="shared" si="240"/>
        <v>0</v>
      </c>
      <c r="T269" s="636">
        <f t="shared" si="240"/>
        <v>0</v>
      </c>
      <c r="U269" s="636">
        <f t="shared" si="240"/>
        <v>0</v>
      </c>
      <c r="V269" s="636">
        <f t="shared" si="240"/>
        <v>0</v>
      </c>
      <c r="W269" s="636">
        <f t="shared" si="240"/>
        <v>0</v>
      </c>
      <c r="X269" s="636">
        <f t="shared" si="240"/>
        <v>0</v>
      </c>
      <c r="Y269" s="636">
        <f t="shared" si="240"/>
        <v>0</v>
      </c>
      <c r="Z269" s="636">
        <f t="shared" si="240"/>
        <v>0</v>
      </c>
      <c r="AA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O269" s="23"/>
    </row>
    <row r="270" spans="1:67" x14ac:dyDescent="0.3">
      <c r="A270" s="19"/>
      <c r="B270" s="219" t="str">
        <f>B269</f>
        <v>TRAELR00</v>
      </c>
      <c r="C270" s="224"/>
      <c r="D270" s="230"/>
      <c r="E270" s="224"/>
      <c r="F270" s="224"/>
      <c r="G270" s="224"/>
      <c r="H270" s="231">
        <v>2020</v>
      </c>
      <c r="I270" s="224"/>
      <c r="J270" s="232" t="s">
        <v>1065</v>
      </c>
      <c r="K270" s="232" t="s">
        <v>85</v>
      </c>
      <c r="L270" s="636">
        <f>L269</f>
        <v>0</v>
      </c>
      <c r="M270" s="636">
        <f t="shared" ref="M270:Z273" si="241">M269</f>
        <v>0</v>
      </c>
      <c r="N270" s="636">
        <f t="shared" si="241"/>
        <v>0</v>
      </c>
      <c r="O270" s="636">
        <f t="shared" si="241"/>
        <v>0</v>
      </c>
      <c r="P270" s="636">
        <f t="shared" si="241"/>
        <v>0</v>
      </c>
      <c r="Q270" s="636">
        <f t="shared" si="241"/>
        <v>0</v>
      </c>
      <c r="R270" s="636">
        <f t="shared" si="241"/>
        <v>0</v>
      </c>
      <c r="S270" s="636">
        <f t="shared" si="241"/>
        <v>0</v>
      </c>
      <c r="T270" s="636">
        <f t="shared" si="241"/>
        <v>0</v>
      </c>
      <c r="U270" s="636">
        <f t="shared" si="241"/>
        <v>0</v>
      </c>
      <c r="V270" s="636">
        <f t="shared" si="241"/>
        <v>0</v>
      </c>
      <c r="W270" s="636">
        <f t="shared" si="241"/>
        <v>0</v>
      </c>
      <c r="X270" s="636">
        <f t="shared" si="241"/>
        <v>0</v>
      </c>
      <c r="Y270" s="636">
        <f t="shared" si="241"/>
        <v>0</v>
      </c>
      <c r="Z270" s="636">
        <f t="shared" si="241"/>
        <v>0</v>
      </c>
      <c r="AB270" s="19"/>
      <c r="BN270" s="19"/>
    </row>
    <row r="271" spans="1:67" x14ac:dyDescent="0.3">
      <c r="A271" s="19"/>
      <c r="B271" s="219" t="str">
        <f t="shared" ref="B271:B273" si="242">B270</f>
        <v>TRAELR00</v>
      </c>
      <c r="C271" s="224"/>
      <c r="D271" s="230"/>
      <c r="E271" s="224"/>
      <c r="F271" s="224"/>
      <c r="G271" s="224"/>
      <c r="H271" s="231">
        <v>2030</v>
      </c>
      <c r="I271" s="224"/>
      <c r="J271" s="232" t="s">
        <v>1065</v>
      </c>
      <c r="K271" s="232" t="s">
        <v>85</v>
      </c>
      <c r="L271" s="636">
        <f t="shared" ref="L271:L273" si="243">L270</f>
        <v>0</v>
      </c>
      <c r="M271" s="636">
        <f t="shared" si="241"/>
        <v>0</v>
      </c>
      <c r="N271" s="636">
        <f t="shared" si="241"/>
        <v>0</v>
      </c>
      <c r="O271" s="636">
        <f t="shared" si="241"/>
        <v>0</v>
      </c>
      <c r="P271" s="636">
        <f t="shared" si="241"/>
        <v>0</v>
      </c>
      <c r="Q271" s="636">
        <f t="shared" si="241"/>
        <v>0</v>
      </c>
      <c r="R271" s="636">
        <f t="shared" si="241"/>
        <v>0</v>
      </c>
      <c r="S271" s="636">
        <f t="shared" si="241"/>
        <v>0</v>
      </c>
      <c r="T271" s="636">
        <f t="shared" si="241"/>
        <v>0</v>
      </c>
      <c r="U271" s="636">
        <f t="shared" si="241"/>
        <v>0</v>
      </c>
      <c r="V271" s="636">
        <f t="shared" si="241"/>
        <v>0</v>
      </c>
      <c r="W271" s="636">
        <f t="shared" si="241"/>
        <v>0</v>
      </c>
      <c r="X271" s="636">
        <f t="shared" si="241"/>
        <v>0</v>
      </c>
      <c r="Y271" s="636">
        <f t="shared" si="241"/>
        <v>0</v>
      </c>
      <c r="Z271" s="636">
        <f t="shared" si="241"/>
        <v>0</v>
      </c>
      <c r="AB271" s="19"/>
      <c r="AR271" s="97"/>
      <c r="AS271" s="19"/>
      <c r="AT271" s="19"/>
      <c r="AU271" s="19"/>
      <c r="AV271" s="19"/>
      <c r="AW271" s="19"/>
      <c r="AX271" s="19"/>
      <c r="AY271" s="19"/>
      <c r="AZ271" s="19"/>
      <c r="BA271" s="19"/>
      <c r="BB271" s="19"/>
      <c r="BC271" s="19"/>
      <c r="BD271" s="19"/>
      <c r="BE271" s="19"/>
      <c r="BF271" s="19"/>
      <c r="BG271" s="19"/>
      <c r="BH271" s="19"/>
      <c r="BI271" s="19"/>
      <c r="BJ271" s="19"/>
      <c r="BK271" s="19"/>
      <c r="BL271" s="19"/>
      <c r="BM271" s="19"/>
    </row>
    <row r="272" spans="1:67" x14ac:dyDescent="0.3">
      <c r="A272" s="19"/>
      <c r="B272" s="219" t="str">
        <f t="shared" si="242"/>
        <v>TRAELR00</v>
      </c>
      <c r="C272" s="224"/>
      <c r="D272" s="230"/>
      <c r="E272" s="224"/>
      <c r="F272" s="224"/>
      <c r="G272" s="224"/>
      <c r="H272" s="231">
        <v>2040</v>
      </c>
      <c r="I272" s="224"/>
      <c r="J272" s="232" t="s">
        <v>1065</v>
      </c>
      <c r="K272" s="232" t="s">
        <v>85</v>
      </c>
      <c r="L272" s="636">
        <f t="shared" si="243"/>
        <v>0</v>
      </c>
      <c r="M272" s="636">
        <f t="shared" si="241"/>
        <v>0</v>
      </c>
      <c r="N272" s="636">
        <f t="shared" si="241"/>
        <v>0</v>
      </c>
      <c r="O272" s="636">
        <f t="shared" si="241"/>
        <v>0</v>
      </c>
      <c r="P272" s="636">
        <f t="shared" si="241"/>
        <v>0</v>
      </c>
      <c r="Q272" s="636">
        <f t="shared" si="241"/>
        <v>0</v>
      </c>
      <c r="R272" s="636">
        <f t="shared" si="241"/>
        <v>0</v>
      </c>
      <c r="S272" s="636">
        <f t="shared" si="241"/>
        <v>0</v>
      </c>
      <c r="T272" s="636">
        <f t="shared" si="241"/>
        <v>0</v>
      </c>
      <c r="U272" s="636">
        <f t="shared" si="241"/>
        <v>0</v>
      </c>
      <c r="V272" s="636">
        <f t="shared" si="241"/>
        <v>0</v>
      </c>
      <c r="W272" s="636">
        <f t="shared" si="241"/>
        <v>0</v>
      </c>
      <c r="X272" s="636">
        <f t="shared" si="241"/>
        <v>0</v>
      </c>
      <c r="Y272" s="636">
        <f t="shared" si="241"/>
        <v>0</v>
      </c>
      <c r="Z272" s="636">
        <f t="shared" si="241"/>
        <v>0</v>
      </c>
      <c r="AR272" s="97"/>
      <c r="AS272" s="19"/>
      <c r="AT272" s="19"/>
      <c r="AU272" s="19"/>
      <c r="AV272" s="19"/>
      <c r="AW272" s="19"/>
      <c r="AX272" s="19"/>
      <c r="AY272" s="19"/>
      <c r="AZ272" s="19"/>
      <c r="BA272" s="19"/>
      <c r="BB272" s="19"/>
      <c r="BC272" s="19"/>
      <c r="BD272" s="19"/>
      <c r="BE272" s="19"/>
      <c r="BF272" s="19"/>
      <c r="BG272" s="19"/>
      <c r="BH272" s="19"/>
      <c r="BI272" s="19"/>
      <c r="BJ272" s="19"/>
      <c r="BK272" s="19"/>
      <c r="BL272" s="19"/>
      <c r="BM272" s="19"/>
    </row>
    <row r="273" spans="1:67" x14ac:dyDescent="0.3">
      <c r="A273" s="19"/>
      <c r="B273" s="233" t="str">
        <f t="shared" si="242"/>
        <v>TRAELR00</v>
      </c>
      <c r="C273" s="234"/>
      <c r="D273" s="235"/>
      <c r="E273" s="234"/>
      <c r="F273" s="234"/>
      <c r="G273" s="234"/>
      <c r="H273" s="236">
        <f>$K$5</f>
        <v>2050</v>
      </c>
      <c r="I273" s="234"/>
      <c r="J273" s="237" t="s">
        <v>1065</v>
      </c>
      <c r="K273" s="237" t="s">
        <v>85</v>
      </c>
      <c r="L273" s="637">
        <f t="shared" si="243"/>
        <v>0</v>
      </c>
      <c r="M273" s="637">
        <f t="shared" si="241"/>
        <v>0</v>
      </c>
      <c r="N273" s="637">
        <f t="shared" si="241"/>
        <v>0</v>
      </c>
      <c r="O273" s="637">
        <f t="shared" si="241"/>
        <v>0</v>
      </c>
      <c r="P273" s="637">
        <f t="shared" si="241"/>
        <v>0</v>
      </c>
      <c r="Q273" s="637">
        <f t="shared" si="241"/>
        <v>0</v>
      </c>
      <c r="R273" s="637">
        <f t="shared" si="241"/>
        <v>0</v>
      </c>
      <c r="S273" s="637">
        <f t="shared" si="241"/>
        <v>0</v>
      </c>
      <c r="T273" s="637">
        <f t="shared" si="241"/>
        <v>0</v>
      </c>
      <c r="U273" s="637">
        <f t="shared" si="241"/>
        <v>0</v>
      </c>
      <c r="V273" s="637">
        <f t="shared" si="241"/>
        <v>0</v>
      </c>
      <c r="W273" s="637">
        <f t="shared" si="241"/>
        <v>0</v>
      </c>
      <c r="X273" s="637">
        <f t="shared" si="241"/>
        <v>0</v>
      </c>
      <c r="Y273" s="637">
        <f t="shared" si="241"/>
        <v>0</v>
      </c>
      <c r="Z273" s="637">
        <f t="shared" si="241"/>
        <v>0</v>
      </c>
      <c r="AA273" s="41"/>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s="19" customFormat="1" x14ac:dyDescent="0.3">
      <c r="C274"/>
      <c r="D274" s="3"/>
      <c r="E274"/>
      <c r="F274"/>
      <c r="G274"/>
      <c r="H274" s="96"/>
      <c r="I274"/>
      <c r="J274" s="719"/>
      <c r="K274" s="719"/>
      <c r="L274" s="732"/>
      <c r="M274" s="732"/>
      <c r="N274" s="732"/>
      <c r="O274" s="732"/>
      <c r="P274" s="732"/>
      <c r="Q274" s="732"/>
      <c r="R274" s="732"/>
      <c r="S274" s="732"/>
      <c r="T274" s="732"/>
      <c r="U274" s="732"/>
      <c r="V274" s="732"/>
      <c r="W274" s="732"/>
      <c r="X274" s="732"/>
      <c r="Y274" s="732"/>
      <c r="Z274" s="732"/>
      <c r="AA274" s="41"/>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s="23"/>
    </row>
    <row r="275" spans="1:67" x14ac:dyDescent="0.3">
      <c r="A275" s="19"/>
      <c r="B275" s="19"/>
      <c r="D275" s="3"/>
      <c r="J275" s="719"/>
      <c r="K275" s="719"/>
      <c r="L275" s="732"/>
      <c r="M275" s="732"/>
      <c r="N275" s="732"/>
      <c r="O275" s="732"/>
      <c r="P275" s="732"/>
      <c r="Q275" s="732"/>
      <c r="R275" s="732"/>
      <c r="S275" s="732"/>
      <c r="T275" s="732"/>
      <c r="U275" s="732"/>
      <c r="V275" s="732"/>
      <c r="W275" s="732"/>
      <c r="X275" s="732"/>
      <c r="Y275" s="732"/>
      <c r="Z275" s="732"/>
      <c r="AA275" s="41"/>
      <c r="BN275" s="19"/>
    </row>
    <row r="276" spans="1:67" x14ac:dyDescent="0.3">
      <c r="C276" s="12"/>
      <c r="D276" s="12"/>
      <c r="G276" s="41"/>
      <c r="H276" s="51"/>
      <c r="I276" s="41"/>
      <c r="J276" s="40" t="s">
        <v>1051</v>
      </c>
      <c r="K276" s="40"/>
      <c r="P276" s="41"/>
      <c r="AB276" s="19"/>
    </row>
    <row r="277" spans="1:67" s="19" customFormat="1" x14ac:dyDescent="0.3">
      <c r="A277"/>
      <c r="B277" s="52" t="s">
        <v>1053</v>
      </c>
      <c r="C277" s="42" t="s">
        <v>104</v>
      </c>
      <c r="D277" s="42" t="s">
        <v>1054</v>
      </c>
      <c r="E277" s="42" t="s">
        <v>673</v>
      </c>
      <c r="F277" s="103" t="s">
        <v>674</v>
      </c>
      <c r="G277" s="42" t="s">
        <v>1055</v>
      </c>
      <c r="H277" s="98" t="s">
        <v>1056</v>
      </c>
      <c r="I277" s="42" t="s">
        <v>982</v>
      </c>
      <c r="J277" s="42" t="s">
        <v>1057</v>
      </c>
      <c r="K277" s="42" t="s">
        <v>1058</v>
      </c>
      <c r="L277" s="42" t="str">
        <f t="shared" ref="L277:Z277" si="244">L$2</f>
        <v>Z01</v>
      </c>
      <c r="M277" s="42" t="str">
        <f t="shared" si="244"/>
        <v>Z02</v>
      </c>
      <c r="N277" s="42" t="str">
        <f t="shared" si="244"/>
        <v>Z03</v>
      </c>
      <c r="O277" s="42" t="str">
        <f t="shared" si="244"/>
        <v>Z04</v>
      </c>
      <c r="P277" s="42" t="str">
        <f t="shared" si="244"/>
        <v>Z05</v>
      </c>
      <c r="Q277" s="42" t="str">
        <f t="shared" si="244"/>
        <v>Z06</v>
      </c>
      <c r="R277" s="42" t="str">
        <f t="shared" si="244"/>
        <v>Z07</v>
      </c>
      <c r="S277" s="42" t="str">
        <f t="shared" si="244"/>
        <v>Z08</v>
      </c>
      <c r="T277" s="42" t="str">
        <f t="shared" si="244"/>
        <v>Z09</v>
      </c>
      <c r="U277" s="42" t="str">
        <f t="shared" si="244"/>
        <v>Z10</v>
      </c>
      <c r="V277" s="42" t="str">
        <f t="shared" si="244"/>
        <v>Z11</v>
      </c>
      <c r="W277" s="42" t="str">
        <f t="shared" si="244"/>
        <v>Z12</v>
      </c>
      <c r="X277" s="42" t="str">
        <f t="shared" si="244"/>
        <v>Z13</v>
      </c>
      <c r="Y277" s="42" t="str">
        <f t="shared" si="244"/>
        <v>Z14</v>
      </c>
      <c r="Z277" s="42" t="str">
        <f t="shared" si="244"/>
        <v>Z15</v>
      </c>
      <c r="AA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s="23"/>
    </row>
    <row r="278" spans="1:67" s="19" customFormat="1" x14ac:dyDescent="0.3">
      <c r="B278" s="219" t="str">
        <f>C278</f>
        <v>TRAELC01</v>
      </c>
      <c r="C278" s="224" t="s">
        <v>934</v>
      </c>
      <c r="D278" s="225" t="s">
        <v>1104</v>
      </c>
      <c r="E278" s="173" t="s">
        <v>1102</v>
      </c>
      <c r="F278" s="173" t="s">
        <v>683</v>
      </c>
      <c r="G278" s="224"/>
      <c r="H278" s="241"/>
      <c r="I278" s="173"/>
      <c r="J278" s="239" t="s">
        <v>1064</v>
      </c>
      <c r="K278" s="239"/>
      <c r="L278" s="635">
        <v>1</v>
      </c>
      <c r="M278" s="635">
        <f t="shared" ref="M278" si="245">L278</f>
        <v>1</v>
      </c>
      <c r="N278" s="635">
        <f t="shared" ref="N278" si="246">M278</f>
        <v>1</v>
      </c>
      <c r="O278" s="635">
        <f t="shared" ref="O278" si="247">N278</f>
        <v>1</v>
      </c>
      <c r="P278" s="635">
        <f t="shared" ref="P278" si="248">O278</f>
        <v>1</v>
      </c>
      <c r="Q278" s="635">
        <f t="shared" ref="Q278" si="249">P278</f>
        <v>1</v>
      </c>
      <c r="R278" s="635">
        <f t="shared" ref="R278" si="250">Q278</f>
        <v>1</v>
      </c>
      <c r="S278" s="635">
        <f t="shared" ref="S278" si="251">R278</f>
        <v>1</v>
      </c>
      <c r="T278" s="635">
        <f t="shared" ref="T278" si="252">S278</f>
        <v>1</v>
      </c>
      <c r="U278" s="635">
        <f t="shared" ref="U278" si="253">T278</f>
        <v>1</v>
      </c>
      <c r="V278" s="635">
        <f t="shared" ref="V278" si="254">U278</f>
        <v>1</v>
      </c>
      <c r="W278" s="635">
        <f t="shared" ref="W278" si="255">V278</f>
        <v>1</v>
      </c>
      <c r="X278" s="635">
        <f t="shared" ref="X278" si="256">W278</f>
        <v>1</v>
      </c>
      <c r="Y278" s="635">
        <f t="shared" ref="Y278" si="257">X278</f>
        <v>1</v>
      </c>
      <c r="Z278" s="635">
        <f t="shared" ref="Z278" si="258">Y278</f>
        <v>1</v>
      </c>
      <c r="AA278"/>
      <c r="AB278" s="99"/>
      <c r="AC278" s="719"/>
      <c r="AD278"/>
      <c r="AE278"/>
      <c r="AF278"/>
      <c r="AG278"/>
      <c r="AH278"/>
      <c r="AI278"/>
      <c r="AJ278"/>
      <c r="AK278"/>
      <c r="AL278"/>
      <c r="AM278"/>
      <c r="AN278"/>
      <c r="AO278"/>
      <c r="AP278"/>
      <c r="AQ278"/>
      <c r="AR278" s="97"/>
      <c r="BO278" s="23"/>
    </row>
    <row r="279" spans="1:67" x14ac:dyDescent="0.3">
      <c r="A279" s="19"/>
      <c r="B279" s="219" t="str">
        <f>B278</f>
        <v>TRAELC01</v>
      </c>
      <c r="C279" s="224"/>
      <c r="D279" s="230"/>
      <c r="E279" s="224"/>
      <c r="F279" s="224"/>
      <c r="G279" s="224"/>
      <c r="H279" s="231"/>
      <c r="I279" s="224"/>
      <c r="J279" s="232" t="s">
        <v>1097</v>
      </c>
      <c r="K279" s="232"/>
      <c r="L279" s="638">
        <v>2016</v>
      </c>
      <c r="M279" s="638">
        <f>L279</f>
        <v>2016</v>
      </c>
      <c r="N279" s="638">
        <f t="shared" ref="N279" si="259">M279</f>
        <v>2016</v>
      </c>
      <c r="O279" s="638">
        <f t="shared" ref="O279" si="260">N279</f>
        <v>2016</v>
      </c>
      <c r="P279" s="638">
        <f t="shared" ref="P279" si="261">O279</f>
        <v>2016</v>
      </c>
      <c r="Q279" s="638">
        <f t="shared" ref="Q279" si="262">P279</f>
        <v>2016</v>
      </c>
      <c r="R279" s="638">
        <f t="shared" ref="R279" si="263">Q279</f>
        <v>2016</v>
      </c>
      <c r="S279" s="638">
        <f t="shared" ref="S279" si="264">R279</f>
        <v>2016</v>
      </c>
      <c r="T279" s="638">
        <f t="shared" ref="T279" si="265">S279</f>
        <v>2016</v>
      </c>
      <c r="U279" s="638">
        <f t="shared" ref="U279" si="266">T279</f>
        <v>2016</v>
      </c>
      <c r="V279" s="638">
        <f t="shared" ref="V279" si="267">U279</f>
        <v>2016</v>
      </c>
      <c r="W279" s="638">
        <f t="shared" ref="W279" si="268">V279</f>
        <v>2016</v>
      </c>
      <c r="X279" s="638">
        <f t="shared" ref="X279" si="269">W279</f>
        <v>2016</v>
      </c>
      <c r="Y279" s="638">
        <f t="shared" ref="Y279" si="270">X279</f>
        <v>2016</v>
      </c>
      <c r="Z279" s="638">
        <f t="shared" ref="Z279" si="271">Y279</f>
        <v>2016</v>
      </c>
      <c r="AB279" s="19"/>
      <c r="AD279" s="720"/>
      <c r="BN279" s="19"/>
    </row>
    <row r="280" spans="1:67" x14ac:dyDescent="0.3">
      <c r="A280" s="19"/>
      <c r="B280" s="233" t="str">
        <f>B279</f>
        <v>TRAELC01</v>
      </c>
      <c r="C280" s="234"/>
      <c r="D280" s="235"/>
      <c r="E280" s="234"/>
      <c r="F280" s="234"/>
      <c r="G280" s="234"/>
      <c r="H280" s="236"/>
      <c r="I280" s="234"/>
      <c r="J280" s="237" t="s">
        <v>1098</v>
      </c>
      <c r="K280" s="237" t="s">
        <v>1099</v>
      </c>
      <c r="L280" s="637"/>
      <c r="M280" s="637"/>
      <c r="N280" s="637"/>
      <c r="O280" s="637"/>
      <c r="P280" s="637"/>
      <c r="Q280" s="637"/>
      <c r="R280" s="637"/>
      <c r="S280" s="637"/>
      <c r="T280" s="637"/>
      <c r="U280" s="637"/>
      <c r="V280" s="637"/>
      <c r="W280" s="637"/>
      <c r="X280" s="637"/>
      <c r="Y280" s="637"/>
      <c r="Z280" s="637"/>
      <c r="AA280" s="41"/>
      <c r="AB280" s="19"/>
    </row>
    <row r="281" spans="1:67" x14ac:dyDescent="0.3">
      <c r="A281" s="19"/>
      <c r="B281" s="219" t="str">
        <f>C281</f>
        <v>TRAELR01</v>
      </c>
      <c r="C281" s="224" t="s">
        <v>937</v>
      </c>
      <c r="D281" s="225" t="s">
        <v>1105</v>
      </c>
      <c r="E281" s="173" t="s">
        <v>1102</v>
      </c>
      <c r="F281" s="173" t="s">
        <v>1008</v>
      </c>
      <c r="G281" s="224"/>
      <c r="H281" s="241"/>
      <c r="I281" s="173"/>
      <c r="J281" s="239" t="s">
        <v>1064</v>
      </c>
      <c r="K281" s="239"/>
      <c r="L281" s="635">
        <v>1</v>
      </c>
      <c r="M281" s="635">
        <f t="shared" ref="M281" si="272">L281</f>
        <v>1</v>
      </c>
      <c r="N281" s="635">
        <f t="shared" ref="N281:N282" si="273">M281</f>
        <v>1</v>
      </c>
      <c r="O281" s="635">
        <f t="shared" ref="O281:O282" si="274">N281</f>
        <v>1</v>
      </c>
      <c r="P281" s="635">
        <f t="shared" ref="P281:P282" si="275">O281</f>
        <v>1</v>
      </c>
      <c r="Q281" s="635">
        <f t="shared" ref="Q281:Q282" si="276">P281</f>
        <v>1</v>
      </c>
      <c r="R281" s="635">
        <f t="shared" ref="R281:R282" si="277">Q281</f>
        <v>1</v>
      </c>
      <c r="S281" s="635">
        <f t="shared" ref="S281:S282" si="278">R281</f>
        <v>1</v>
      </c>
      <c r="T281" s="635">
        <f t="shared" ref="T281:T282" si="279">S281</f>
        <v>1</v>
      </c>
      <c r="U281" s="635">
        <f t="shared" ref="U281:U282" si="280">T281</f>
        <v>1</v>
      </c>
      <c r="V281" s="635">
        <f t="shared" ref="V281:V282" si="281">U281</f>
        <v>1</v>
      </c>
      <c r="W281" s="635">
        <f t="shared" ref="W281:W282" si="282">V281</f>
        <v>1</v>
      </c>
      <c r="X281" s="635">
        <f t="shared" ref="X281:X282" si="283">W281</f>
        <v>1</v>
      </c>
      <c r="Y281" s="635">
        <f t="shared" ref="Y281:Y282" si="284">X281</f>
        <v>1</v>
      </c>
      <c r="Z281" s="635">
        <f t="shared" ref="Z281:Z282" si="285">Y281</f>
        <v>1</v>
      </c>
      <c r="AB281" s="19"/>
      <c r="AR281" s="97"/>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19" t="str">
        <f>B281</f>
        <v>TRAELR01</v>
      </c>
      <c r="C282" s="224"/>
      <c r="D282" s="230"/>
      <c r="E282" s="224"/>
      <c r="F282" s="224"/>
      <c r="G282" s="224"/>
      <c r="H282" s="231"/>
      <c r="I282" s="224"/>
      <c r="J282" s="232" t="s">
        <v>1097</v>
      </c>
      <c r="K282" s="232"/>
      <c r="L282" s="638">
        <v>2016</v>
      </c>
      <c r="M282" s="638">
        <f>L282</f>
        <v>2016</v>
      </c>
      <c r="N282" s="638">
        <f t="shared" si="273"/>
        <v>2016</v>
      </c>
      <c r="O282" s="638">
        <f t="shared" si="274"/>
        <v>2016</v>
      </c>
      <c r="P282" s="638">
        <f t="shared" si="275"/>
        <v>2016</v>
      </c>
      <c r="Q282" s="638">
        <f t="shared" si="276"/>
        <v>2016</v>
      </c>
      <c r="R282" s="638">
        <f t="shared" si="277"/>
        <v>2016</v>
      </c>
      <c r="S282" s="638">
        <f t="shared" si="278"/>
        <v>2016</v>
      </c>
      <c r="T282" s="638">
        <f t="shared" si="279"/>
        <v>2016</v>
      </c>
      <c r="U282" s="638">
        <f t="shared" si="280"/>
        <v>2016</v>
      </c>
      <c r="V282" s="638">
        <f t="shared" si="281"/>
        <v>2016</v>
      </c>
      <c r="W282" s="638">
        <f t="shared" si="282"/>
        <v>2016</v>
      </c>
      <c r="X282" s="638">
        <f t="shared" si="283"/>
        <v>2016</v>
      </c>
      <c r="Y282" s="638">
        <f t="shared" si="284"/>
        <v>2016</v>
      </c>
      <c r="Z282" s="638">
        <f t="shared" si="285"/>
        <v>2016</v>
      </c>
      <c r="AB282" s="19"/>
      <c r="AE282" s="19"/>
      <c r="AQ282" s="97"/>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row>
    <row r="283" spans="1:67" x14ac:dyDescent="0.3">
      <c r="A283" s="19"/>
      <c r="B283" s="233" t="str">
        <f>B282</f>
        <v>TRAELR01</v>
      </c>
      <c r="C283" s="234"/>
      <c r="D283" s="235"/>
      <c r="E283" s="234"/>
      <c r="F283" s="234"/>
      <c r="G283" s="234"/>
      <c r="H283" s="236"/>
      <c r="I283" s="234"/>
      <c r="J283" s="237" t="s">
        <v>1098</v>
      </c>
      <c r="K283" s="237" t="s">
        <v>1099</v>
      </c>
      <c r="L283" s="637"/>
      <c r="M283" s="637"/>
      <c r="N283" s="637"/>
      <c r="O283" s="637"/>
      <c r="P283" s="637"/>
      <c r="Q283" s="637"/>
      <c r="R283" s="637"/>
      <c r="S283" s="637"/>
      <c r="T283" s="637"/>
      <c r="U283" s="637"/>
      <c r="V283" s="637"/>
      <c r="W283" s="637"/>
      <c r="X283" s="637"/>
      <c r="Y283" s="637"/>
      <c r="Z283" s="637"/>
      <c r="AA283" s="41"/>
      <c r="AB283" s="19"/>
    </row>
    <row r="284" spans="1:67" x14ac:dyDescent="0.3">
      <c r="B284" s="104"/>
      <c r="C284" s="19"/>
      <c r="F284" s="46"/>
      <c r="G284" s="105"/>
      <c r="M284" s="19"/>
      <c r="N284" s="19"/>
      <c r="O284" s="19"/>
      <c r="P284" s="19"/>
      <c r="Q284" s="19"/>
      <c r="R284" s="19"/>
      <c r="S284" s="19"/>
      <c r="T284" s="19"/>
      <c r="U284" s="19"/>
      <c r="V284" s="19"/>
      <c r="W284" s="19"/>
      <c r="X284" s="19"/>
      <c r="Y284" s="19"/>
      <c r="Z284" s="19"/>
      <c r="AA284" s="19"/>
    </row>
    <row r="286" spans="1:67" x14ac:dyDescent="0.3">
      <c r="B286" s="42" t="s">
        <v>1100</v>
      </c>
      <c r="C286" s="42"/>
      <c r="D286" s="42"/>
      <c r="AB286" s="19"/>
    </row>
    <row r="287" spans="1:67" s="19" customFormat="1" x14ac:dyDescent="0.3">
      <c r="A287"/>
      <c r="B287"/>
      <c r="C287" s="12"/>
      <c r="D287" s="12"/>
      <c r="E287"/>
      <c r="F287"/>
      <c r="G287" s="41"/>
      <c r="H287" s="51"/>
      <c r="I287" s="41"/>
      <c r="J287" s="40"/>
      <c r="K287" s="40"/>
      <c r="L287"/>
      <c r="M287"/>
      <c r="N287"/>
      <c r="O287"/>
      <c r="P287" s="41"/>
      <c r="Q287"/>
      <c r="R287"/>
      <c r="S287"/>
      <c r="T287"/>
      <c r="U287"/>
      <c r="V287"/>
      <c r="W287"/>
      <c r="X287"/>
      <c r="Y287"/>
      <c r="Z287"/>
      <c r="AA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s="23"/>
    </row>
    <row r="288" spans="1:67" x14ac:dyDescent="0.3">
      <c r="B288" s="52" t="s">
        <v>1053</v>
      </c>
      <c r="C288" s="42" t="s">
        <v>104</v>
      </c>
      <c r="D288" s="42" t="s">
        <v>1054</v>
      </c>
      <c r="E288" s="42" t="s">
        <v>673</v>
      </c>
      <c r="F288" s="103" t="s">
        <v>674</v>
      </c>
      <c r="G288" s="42" t="s">
        <v>1055</v>
      </c>
      <c r="H288" s="98" t="s">
        <v>1056</v>
      </c>
      <c r="I288" s="42" t="s">
        <v>982</v>
      </c>
      <c r="J288" s="42" t="s">
        <v>1057</v>
      </c>
      <c r="K288" s="42" t="s">
        <v>1058</v>
      </c>
      <c r="L288" s="42" t="str">
        <f t="shared" ref="L288:Z288" si="286">L$2</f>
        <v>Z01</v>
      </c>
      <c r="M288" s="42" t="str">
        <f t="shared" si="286"/>
        <v>Z02</v>
      </c>
      <c r="N288" s="42" t="str">
        <f t="shared" si="286"/>
        <v>Z03</v>
      </c>
      <c r="O288" s="42" t="str">
        <f t="shared" si="286"/>
        <v>Z04</v>
      </c>
      <c r="P288" s="42" t="str">
        <f t="shared" si="286"/>
        <v>Z05</v>
      </c>
      <c r="Q288" s="42" t="str">
        <f t="shared" si="286"/>
        <v>Z06</v>
      </c>
      <c r="R288" s="42" t="str">
        <f t="shared" si="286"/>
        <v>Z07</v>
      </c>
      <c r="S288" s="42" t="str">
        <f t="shared" si="286"/>
        <v>Z08</v>
      </c>
      <c r="T288" s="42" t="str">
        <f t="shared" si="286"/>
        <v>Z09</v>
      </c>
      <c r="U288" s="42" t="str">
        <f t="shared" si="286"/>
        <v>Z10</v>
      </c>
      <c r="V288" s="42" t="str">
        <f t="shared" si="286"/>
        <v>Z11</v>
      </c>
      <c r="W288" s="42" t="str">
        <f t="shared" si="286"/>
        <v>Z12</v>
      </c>
      <c r="X288" s="42" t="str">
        <f t="shared" si="286"/>
        <v>Z13</v>
      </c>
      <c r="Y288" s="42" t="str">
        <f t="shared" si="286"/>
        <v>Z14</v>
      </c>
      <c r="Z288" s="42" t="str">
        <f t="shared" si="286"/>
        <v>Z15</v>
      </c>
      <c r="BN288" s="19"/>
    </row>
    <row r="289" spans="1:67" x14ac:dyDescent="0.3">
      <c r="B289" s="171"/>
      <c r="C289" s="171"/>
      <c r="D289" s="171" t="s">
        <v>1062</v>
      </c>
      <c r="E289" s="171"/>
      <c r="F289" s="171"/>
      <c r="G289" s="171"/>
      <c r="H289" s="223"/>
      <c r="I289" s="171"/>
      <c r="J289" s="171"/>
      <c r="K289" s="171"/>
      <c r="L289" s="171"/>
      <c r="M289" s="171"/>
      <c r="N289" s="171"/>
      <c r="O289" s="171"/>
      <c r="P289" s="171"/>
      <c r="Q289" s="171"/>
      <c r="R289" s="171"/>
      <c r="S289" s="171"/>
      <c r="T289" s="171"/>
      <c r="U289" s="171"/>
      <c r="V289" s="171"/>
      <c r="W289" s="171"/>
      <c r="X289" s="171"/>
      <c r="Y289" s="171"/>
      <c r="Z289" s="171"/>
    </row>
    <row r="290" spans="1:67" x14ac:dyDescent="0.3">
      <c r="A290" s="19"/>
      <c r="B290" s="219" t="str">
        <f>C290</f>
        <v>TRAELC00</v>
      </c>
      <c r="C290" s="224" t="str">
        <f>CONCATENATE(F290,"00")</f>
        <v>TRAELC00</v>
      </c>
      <c r="D290" s="225" t="s">
        <v>1101</v>
      </c>
      <c r="E290" s="173" t="s">
        <v>1106</v>
      </c>
      <c r="F290" s="173" t="s">
        <v>683</v>
      </c>
      <c r="G290" s="224"/>
      <c r="H290" s="241"/>
      <c r="I290" s="173"/>
      <c r="J290" s="239" t="s">
        <v>1064</v>
      </c>
      <c r="K290" s="239"/>
      <c r="L290" s="635">
        <v>1</v>
      </c>
      <c r="M290" s="635">
        <f>L290</f>
        <v>1</v>
      </c>
      <c r="N290" s="635">
        <f t="shared" ref="N290:S290" si="287">M290</f>
        <v>1</v>
      </c>
      <c r="O290" s="635">
        <f t="shared" si="287"/>
        <v>1</v>
      </c>
      <c r="P290" s="635">
        <f t="shared" si="287"/>
        <v>1</v>
      </c>
      <c r="Q290" s="635">
        <f t="shared" si="287"/>
        <v>1</v>
      </c>
      <c r="R290" s="635">
        <f t="shared" si="287"/>
        <v>1</v>
      </c>
      <c r="S290" s="635">
        <f t="shared" si="287"/>
        <v>1</v>
      </c>
      <c r="T290" s="635">
        <f t="shared" ref="T290:Z290" si="288">S290</f>
        <v>1</v>
      </c>
      <c r="U290" s="635">
        <f t="shared" si="288"/>
        <v>1</v>
      </c>
      <c r="V290" s="635">
        <f t="shared" si="288"/>
        <v>1</v>
      </c>
      <c r="W290" s="635">
        <f t="shared" si="288"/>
        <v>1</v>
      </c>
      <c r="X290" s="635">
        <f t="shared" si="288"/>
        <v>1</v>
      </c>
      <c r="Y290" s="635">
        <f t="shared" si="288"/>
        <v>1</v>
      </c>
      <c r="Z290" s="635">
        <f t="shared" si="288"/>
        <v>1</v>
      </c>
      <c r="AB290" s="19"/>
    </row>
    <row r="291" spans="1:67" s="19" customFormat="1" x14ac:dyDescent="0.3">
      <c r="B291" s="219" t="str">
        <f>B290</f>
        <v>TRAELC00</v>
      </c>
      <c r="C291" s="224"/>
      <c r="D291" s="225"/>
      <c r="E291" s="219"/>
      <c r="F291" s="219"/>
      <c r="G291" s="224"/>
      <c r="H291" s="241"/>
      <c r="I291" s="173"/>
      <c r="J291" s="239" t="s">
        <v>1107</v>
      </c>
      <c r="K291" s="239" t="s">
        <v>1108</v>
      </c>
      <c r="L291" s="636">
        <v>31.536000000000001</v>
      </c>
      <c r="M291" s="636">
        <v>31.536000000000001</v>
      </c>
      <c r="N291" s="636">
        <v>31.536000000000001</v>
      </c>
      <c r="O291" s="636">
        <v>31.536000000000001</v>
      </c>
      <c r="P291" s="636">
        <v>31.536000000000001</v>
      </c>
      <c r="Q291" s="636">
        <v>31.536000000000001</v>
      </c>
      <c r="R291" s="636">
        <v>31.536000000000001</v>
      </c>
      <c r="S291" s="636">
        <v>31.536000000000001</v>
      </c>
      <c r="T291" s="636">
        <v>31.536000000000001</v>
      </c>
      <c r="U291" s="636">
        <v>31.536000000000001</v>
      </c>
      <c r="V291" s="636">
        <v>31.536000000000001</v>
      </c>
      <c r="W291" s="636">
        <v>31.536000000000001</v>
      </c>
      <c r="X291" s="636">
        <v>31.536000000000001</v>
      </c>
      <c r="Y291" s="636">
        <v>31.536000000000001</v>
      </c>
      <c r="Z291" s="636">
        <v>31.536000000000001</v>
      </c>
      <c r="AA291"/>
      <c r="AC291"/>
      <c r="AD291"/>
      <c r="AE291"/>
      <c r="AF291"/>
      <c r="AG291"/>
      <c r="AH291"/>
      <c r="AI291"/>
      <c r="AJ291"/>
      <c r="AK291"/>
      <c r="AL291"/>
      <c r="AM291"/>
      <c r="AN291"/>
      <c r="AO291"/>
      <c r="AP291"/>
      <c r="AQ291"/>
      <c r="AR291" s="97"/>
      <c r="BN291"/>
      <c r="BO291" s="23"/>
    </row>
    <row r="292" spans="1:67" s="19" customFormat="1" x14ac:dyDescent="0.3">
      <c r="B292" s="219" t="str">
        <f>B290</f>
        <v>TRAELC00</v>
      </c>
      <c r="C292" s="224"/>
      <c r="D292" s="230"/>
      <c r="E292" s="224"/>
      <c r="F292" s="224"/>
      <c r="G292" s="224"/>
      <c r="H292" s="231">
        <f>$K$3</f>
        <v>2019</v>
      </c>
      <c r="I292" s="224"/>
      <c r="J292" s="232" t="s">
        <v>1065</v>
      </c>
      <c r="K292" s="232" t="s">
        <v>1109</v>
      </c>
      <c r="L292" s="638"/>
      <c r="M292" s="636"/>
      <c r="N292" s="636"/>
      <c r="O292" s="636"/>
      <c r="P292" s="636"/>
      <c r="Q292" s="636"/>
      <c r="R292" s="636"/>
      <c r="S292" s="636"/>
      <c r="T292" s="636"/>
      <c r="U292" s="636"/>
      <c r="V292" s="636"/>
      <c r="W292" s="636"/>
      <c r="X292" s="636"/>
      <c r="Y292" s="636"/>
      <c r="Z292" s="636"/>
      <c r="AA292"/>
      <c r="AB292" s="99"/>
      <c r="AC292" s="719"/>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s="19" customFormat="1" x14ac:dyDescent="0.3">
      <c r="B293" s="233" t="str">
        <f>B292</f>
        <v>TRAELC00</v>
      </c>
      <c r="C293" s="234"/>
      <c r="D293" s="235"/>
      <c r="E293" s="234"/>
      <c r="F293" s="234"/>
      <c r="G293" s="234"/>
      <c r="H293" s="236">
        <f>$K$5</f>
        <v>2050</v>
      </c>
      <c r="I293" s="234"/>
      <c r="J293" s="237" t="s">
        <v>1065</v>
      </c>
      <c r="K293" s="237" t="s">
        <v>1109</v>
      </c>
      <c r="L293" s="637"/>
      <c r="M293" s="637"/>
      <c r="N293" s="637"/>
      <c r="O293" s="637"/>
      <c r="P293" s="637"/>
      <c r="Q293" s="637"/>
      <c r="R293" s="637"/>
      <c r="S293" s="637"/>
      <c r="T293" s="637"/>
      <c r="U293" s="637"/>
      <c r="V293" s="637"/>
      <c r="W293" s="637"/>
      <c r="X293" s="637"/>
      <c r="Y293" s="637"/>
      <c r="Z293" s="637"/>
      <c r="AA293" s="41"/>
      <c r="AB293"/>
      <c r="AD293" s="720"/>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x14ac:dyDescent="0.3">
      <c r="A294" s="19"/>
      <c r="B294" s="219" t="str">
        <f>C294</f>
        <v>TRAELC01</v>
      </c>
      <c r="C294" s="224" t="s">
        <v>934</v>
      </c>
      <c r="D294" s="225" t="s">
        <v>1104</v>
      </c>
      <c r="E294" s="173" t="s">
        <v>1106</v>
      </c>
      <c r="F294" s="173" t="s">
        <v>683</v>
      </c>
      <c r="G294" s="224"/>
      <c r="H294" s="241"/>
      <c r="I294" s="173"/>
      <c r="J294" s="239" t="s">
        <v>1064</v>
      </c>
      <c r="K294" s="239"/>
      <c r="L294" s="635">
        <v>1</v>
      </c>
      <c r="M294" s="635">
        <f t="shared" ref="M294:Z294" si="289">L294</f>
        <v>1</v>
      </c>
      <c r="N294" s="635">
        <f t="shared" si="289"/>
        <v>1</v>
      </c>
      <c r="O294" s="635">
        <f t="shared" si="289"/>
        <v>1</v>
      </c>
      <c r="P294" s="635">
        <f t="shared" si="289"/>
        <v>1</v>
      </c>
      <c r="Q294" s="635">
        <f t="shared" si="289"/>
        <v>1</v>
      </c>
      <c r="R294" s="635">
        <f t="shared" si="289"/>
        <v>1</v>
      </c>
      <c r="S294" s="635">
        <f t="shared" si="289"/>
        <v>1</v>
      </c>
      <c r="T294" s="635">
        <f t="shared" si="289"/>
        <v>1</v>
      </c>
      <c r="U294" s="635">
        <f t="shared" si="289"/>
        <v>1</v>
      </c>
      <c r="V294" s="635">
        <f t="shared" si="289"/>
        <v>1</v>
      </c>
      <c r="W294" s="635">
        <f t="shared" si="289"/>
        <v>1</v>
      </c>
      <c r="X294" s="635">
        <f t="shared" si="289"/>
        <v>1</v>
      </c>
      <c r="Y294" s="635">
        <f t="shared" si="289"/>
        <v>1</v>
      </c>
      <c r="Z294" s="635">
        <f t="shared" si="289"/>
        <v>1</v>
      </c>
      <c r="AC294" s="19"/>
      <c r="BN294" s="19"/>
    </row>
    <row r="295" spans="1:67" ht="15" customHeight="1" x14ac:dyDescent="0.3">
      <c r="A295" s="19"/>
      <c r="B295" s="219" t="str">
        <f>B294</f>
        <v>TRAELC01</v>
      </c>
      <c r="C295" s="224"/>
      <c r="D295" s="225"/>
      <c r="E295" s="219"/>
      <c r="F295" s="219"/>
      <c r="G295" s="224"/>
      <c r="H295" s="241"/>
      <c r="I295" s="173"/>
      <c r="J295" s="239" t="s">
        <v>1107</v>
      </c>
      <c r="K295" s="239" t="s">
        <v>1108</v>
      </c>
      <c r="L295" s="636">
        <v>31.536000000000001</v>
      </c>
      <c r="M295" s="636">
        <v>31.536000000000001</v>
      </c>
      <c r="N295" s="636">
        <v>31.536000000000001</v>
      </c>
      <c r="O295" s="636">
        <v>31.536000000000001</v>
      </c>
      <c r="P295" s="636">
        <v>31.536000000000001</v>
      </c>
      <c r="Q295" s="636">
        <v>31.536000000000001</v>
      </c>
      <c r="R295" s="636">
        <v>31.536000000000001</v>
      </c>
      <c r="S295" s="636">
        <v>31.536000000000001</v>
      </c>
      <c r="T295" s="636">
        <v>31.536000000000001</v>
      </c>
      <c r="U295" s="636">
        <v>31.536000000000001</v>
      </c>
      <c r="V295" s="636">
        <v>31.536000000000001</v>
      </c>
      <c r="W295" s="636">
        <v>31.536000000000001</v>
      </c>
      <c r="X295" s="636">
        <v>31.536000000000001</v>
      </c>
      <c r="Y295" s="636">
        <v>31.536000000000001</v>
      </c>
      <c r="Z295" s="636">
        <v>31.536000000000001</v>
      </c>
      <c r="AR295" s="97"/>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19" t="str">
        <f>B294</f>
        <v>TRAELC01</v>
      </c>
      <c r="C296" s="224"/>
      <c r="D296" s="230"/>
      <c r="E296" s="224"/>
      <c r="F296" s="224"/>
      <c r="G296" s="224"/>
      <c r="H296" s="231"/>
      <c r="I296" s="224"/>
      <c r="J296" s="232" t="s">
        <v>1097</v>
      </c>
      <c r="K296" s="232"/>
      <c r="L296" s="638">
        <f>K3+1</f>
        <v>2020</v>
      </c>
      <c r="M296" s="638">
        <f>L296</f>
        <v>2020</v>
      </c>
      <c r="N296" s="638">
        <f t="shared" ref="N296:S296" si="290">M296</f>
        <v>2020</v>
      </c>
      <c r="O296" s="638">
        <f t="shared" si="290"/>
        <v>2020</v>
      </c>
      <c r="P296" s="638">
        <f t="shared" si="290"/>
        <v>2020</v>
      </c>
      <c r="Q296" s="638">
        <f t="shared" si="290"/>
        <v>2020</v>
      </c>
      <c r="R296" s="638">
        <f t="shared" si="290"/>
        <v>2020</v>
      </c>
      <c r="S296" s="638">
        <f t="shared" si="290"/>
        <v>2020</v>
      </c>
      <c r="T296" s="638">
        <f t="shared" ref="T296:Z296" si="291">S296</f>
        <v>2020</v>
      </c>
      <c r="U296" s="638">
        <f t="shared" si="291"/>
        <v>2020</v>
      </c>
      <c r="V296" s="638">
        <f t="shared" si="291"/>
        <v>2020</v>
      </c>
      <c r="W296" s="638">
        <f t="shared" si="291"/>
        <v>2020</v>
      </c>
      <c r="X296" s="638">
        <f t="shared" si="291"/>
        <v>2020</v>
      </c>
      <c r="Y296" s="638">
        <f t="shared" si="291"/>
        <v>2020</v>
      </c>
      <c r="Z296" s="638">
        <f t="shared" si="291"/>
        <v>2020</v>
      </c>
      <c r="AE296" s="19"/>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A297" s="19"/>
      <c r="B297" s="233" t="str">
        <f>B296</f>
        <v>TRAELC01</v>
      </c>
      <c r="C297" s="234"/>
      <c r="D297" s="235"/>
      <c r="E297" s="234"/>
      <c r="F297" s="234"/>
      <c r="G297" s="234"/>
      <c r="H297" s="236"/>
      <c r="I297" s="234"/>
      <c r="J297" s="237" t="s">
        <v>1098</v>
      </c>
      <c r="K297" s="237" t="s">
        <v>1099</v>
      </c>
      <c r="L297" s="637"/>
      <c r="M297" s="637"/>
      <c r="N297" s="637"/>
      <c r="O297" s="637"/>
      <c r="P297" s="637"/>
      <c r="Q297" s="637"/>
      <c r="R297" s="637"/>
      <c r="S297" s="637"/>
      <c r="T297" s="637"/>
      <c r="U297" s="637"/>
      <c r="V297" s="637"/>
      <c r="W297" s="637"/>
      <c r="X297" s="637"/>
      <c r="Y297" s="637"/>
      <c r="Z297" s="637"/>
      <c r="AA297" s="41"/>
      <c r="AQ297" s="97"/>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3">
      <c r="B298" s="104"/>
      <c r="C298" s="19"/>
      <c r="F298" s="46"/>
      <c r="G298" s="105"/>
      <c r="M298" s="19"/>
      <c r="N298" s="19"/>
      <c r="O298" s="19"/>
      <c r="P298" s="19"/>
      <c r="Q298" s="19"/>
      <c r="R298" s="19"/>
      <c r="S298" s="19"/>
      <c r="T298" s="19"/>
      <c r="U298" s="19"/>
      <c r="V298" s="19"/>
      <c r="W298" s="19"/>
      <c r="X298" s="19"/>
      <c r="Y298" s="19"/>
      <c r="Z298" s="19"/>
      <c r="AA298" s="19"/>
    </row>
    <row r="300" spans="1:67" x14ac:dyDescent="0.3">
      <c r="AC300" s="19"/>
    </row>
    <row r="301" spans="1:67" x14ac:dyDescent="0.3">
      <c r="H301"/>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row r="426" spans="29:29" x14ac:dyDescent="0.3">
      <c r="AC426"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K1" zoomScale="75" zoomScaleNormal="75" workbookViewId="0">
      <selection activeCell="AV6" sqref="AV6:AV24"/>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1111</v>
      </c>
    </row>
    <row r="2" spans="1:64" ht="19.5" customHeight="1" x14ac:dyDescent="0.3">
      <c r="A2" s="633"/>
      <c r="B2" s="148" t="s">
        <v>1141</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1142</v>
      </c>
      <c r="AG3" s="38"/>
      <c r="AH3" s="38"/>
      <c r="AI3" s="38"/>
      <c r="AJ3" s="38"/>
      <c r="AK3" s="38"/>
      <c r="AL3" s="38"/>
      <c r="AM3" s="38"/>
      <c r="AN3" s="38"/>
      <c r="AO3" s="38"/>
      <c r="AP3" s="38"/>
      <c r="AV3" s="471" t="s">
        <v>1052</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1143</v>
      </c>
      <c r="AH4" s="38" t="s">
        <v>1007</v>
      </c>
      <c r="AI4" s="38" t="s">
        <v>1144</v>
      </c>
      <c r="AJ4" s="38" t="s">
        <v>1145</v>
      </c>
      <c r="AK4" s="38" t="s">
        <v>1146</v>
      </c>
      <c r="AL4" s="406" t="s">
        <v>1147</v>
      </c>
      <c r="AM4" s="406" t="s">
        <v>1148</v>
      </c>
      <c r="AN4" s="38" t="s">
        <v>115</v>
      </c>
      <c r="AO4" s="406" t="s">
        <v>1149</v>
      </c>
      <c r="AP4" s="406" t="s">
        <v>1150</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19292.055727358827</v>
      </c>
      <c r="AX5" s="718">
        <f t="shared" ref="AX5:BL5" si="4">SUM(AX6:AX24)</f>
        <v>19292.055727358827</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988</v>
      </c>
      <c r="AW6" s="935">
        <f t="shared" si="3"/>
        <v>1297.6714105305266</v>
      </c>
      <c r="AX6" s="728">
        <f t="shared" ref="AX6:BL15" si="5">SUMIF($AV$32:$AV$155,$AV6,AX$32:AX$155)</f>
        <v>1297.6714105305266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1051</v>
      </c>
      <c r="M7" s="40"/>
      <c r="R7" s="41"/>
      <c r="V7" s="41"/>
      <c r="AF7" s="38">
        <f>AF6+5</f>
        <v>2030</v>
      </c>
      <c r="AG7" s="67">
        <v>0.4</v>
      </c>
      <c r="AH7" s="67">
        <v>0.5</v>
      </c>
      <c r="AI7" s="67">
        <v>0.4</v>
      </c>
      <c r="AJ7" s="67">
        <v>0.4</v>
      </c>
      <c r="AK7" s="67">
        <v>0.4</v>
      </c>
      <c r="AL7" s="67">
        <v>0.5</v>
      </c>
      <c r="AM7" s="67">
        <v>0.5</v>
      </c>
      <c r="AN7" s="67">
        <v>0.4</v>
      </c>
      <c r="AO7" s="67">
        <v>0.5</v>
      </c>
      <c r="AP7" s="67">
        <v>0.5</v>
      </c>
      <c r="AV7" s="725" t="s">
        <v>990</v>
      </c>
      <c r="AW7" s="935">
        <f t="shared" si="3"/>
        <v>605.57999158091263</v>
      </c>
      <c r="AX7" s="728">
        <f t="shared" si="5"/>
        <v>605.57999158091263</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980</v>
      </c>
      <c r="J8" s="354" t="s">
        <v>1113</v>
      </c>
      <c r="K8" s="354" t="s">
        <v>1114</v>
      </c>
      <c r="L8" s="354" t="s">
        <v>1057</v>
      </c>
      <c r="M8" s="552" t="s">
        <v>1058</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994</v>
      </c>
      <c r="AW8" s="935">
        <f t="shared" si="3"/>
        <v>262.54776580343736</v>
      </c>
      <c r="AX8" s="728">
        <f t="shared" si="5"/>
        <v>262.54776580343736</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1115</v>
      </c>
      <c r="J9" s="171" t="s">
        <v>1116</v>
      </c>
      <c r="K9" s="171" t="s">
        <v>1117</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996</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1118</v>
      </c>
      <c r="M10" s="173" t="s">
        <v>583</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998</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1118</v>
      </c>
      <c r="M11" s="173" t="s">
        <v>583</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1000</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6747.8913347587395</v>
      </c>
      <c r="AX12" s="728">
        <f t="shared" si="5"/>
        <v>6747.8913347587395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1151</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683</v>
      </c>
      <c r="AW13" s="935">
        <f t="shared" si="3"/>
        <v>79.880510702767651</v>
      </c>
      <c r="AX13" s="728">
        <f t="shared" si="5"/>
        <v>79.880510702767651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1010</v>
      </c>
      <c r="AW14" s="935">
        <f t="shared" si="3"/>
        <v>689.74498251725095</v>
      </c>
      <c r="AX14" s="728">
        <f t="shared" si="5"/>
        <v>689.74498251725095</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1012</v>
      </c>
      <c r="AW15" s="935">
        <f t="shared" si="3"/>
        <v>276.11378680271457</v>
      </c>
      <c r="AX15" s="728">
        <f t="shared" si="5"/>
        <v>276.11378680271457</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1014</v>
      </c>
      <c r="AW16" s="935">
        <f t="shared" si="3"/>
        <v>9245.1100227280003</v>
      </c>
      <c r="AX16" s="728">
        <f t="shared" ref="AX16:BL24" si="9">SUMIF($AV$32:$AV$155,$AV16,AX$32:AX$155)</f>
        <v>9245.1100227280003</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1016</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1023</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681</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1029</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1031</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1033</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1035</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1039</v>
      </c>
      <c r="AW24" s="935">
        <f t="shared" si="3"/>
        <v>87.515921934479124</v>
      </c>
      <c r="AX24" s="728">
        <f t="shared" si="9"/>
        <v>87.515921934479124</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1152</v>
      </c>
      <c r="N26" s="482">
        <v>-0.1</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1153</v>
      </c>
      <c r="C27" s="26"/>
      <c r="D27" s="44"/>
      <c r="E27" s="44"/>
      <c r="F27" s="44"/>
      <c r="G27" s="44"/>
      <c r="M27" s="473" t="s">
        <v>1154</v>
      </c>
      <c r="N27" s="934">
        <v>-0.16596478000000001</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1052</v>
      </c>
    </row>
    <row r="30" spans="1:64" s="82" customFormat="1" x14ac:dyDescent="0.3">
      <c r="A30" s="83"/>
      <c r="B30" s="351" t="s">
        <v>1053</v>
      </c>
      <c r="C30" s="352" t="s">
        <v>104</v>
      </c>
      <c r="D30" s="352" t="s">
        <v>1054</v>
      </c>
      <c r="E30" s="352" t="s">
        <v>673</v>
      </c>
      <c r="F30" s="352" t="s">
        <v>1155</v>
      </c>
      <c r="G30" s="352" t="s">
        <v>674</v>
      </c>
      <c r="H30" s="352" t="s">
        <v>1055</v>
      </c>
      <c r="I30" s="353" t="s">
        <v>1056</v>
      </c>
      <c r="J30" s="352" t="s">
        <v>982</v>
      </c>
      <c r="K30" s="354" t="s">
        <v>1123</v>
      </c>
      <c r="L30" s="352" t="s">
        <v>1057</v>
      </c>
      <c r="M30" s="352" t="s">
        <v>1058</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1062</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1124</v>
      </c>
      <c r="AE31" s="625" t="str">
        <f>IF(AE32-(AD10+AD11)&lt;0,"Too small",IF(AE32-(AD10+AD11)&gt;0.001,"Too big","ok"))</f>
        <v>ok</v>
      </c>
      <c r="AF31" s="623" t="str">
        <f t="shared" ref="AF31:AT31" si="13">IF(AF32-SUM(N10:N11)&lt;0,"Too small",IF(AF32-SUM(N10:N11)&gt;0.0001,"Too big","ok"))</f>
        <v>ok</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19292.055727358835</v>
      </c>
      <c r="AX31" s="718">
        <f t="shared" ref="AX31:BL31" si="14">SUM(AX32:AX166)</f>
        <v>19292.055727358835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774</v>
      </c>
      <c r="E32" s="258" t="s">
        <v>988</v>
      </c>
      <c r="F32" s="170"/>
      <c r="G32" s="189"/>
      <c r="H32" s="170"/>
      <c r="I32" s="190"/>
      <c r="J32" s="191"/>
      <c r="K32" s="191"/>
      <c r="L32" s="211" t="s">
        <v>1107</v>
      </c>
      <c r="M32" s="191" t="s">
        <v>1156</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7990.2000693243808</v>
      </c>
      <c r="AF32" s="586">
        <f t="shared" ref="AF32:AT32" si="16">SUM(AF40:AF161)</f>
        <v>7990.2000693243808</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1297.6714105305266</v>
      </c>
      <c r="AX32" s="568">
        <f t="shared" ref="AX32:BL32" si="18">N$38*N$39*(1-N33-N34)/N$36/1000</f>
        <v>1297.6714105305266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1157</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6747.8913347587395</v>
      </c>
      <c r="AX33" s="568">
        <f t="shared" ref="AX33:BL34" si="20">N$38*N$39*N33/N$36/1000</f>
        <v>6747.8913347587395</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990</v>
      </c>
      <c r="F34" s="170"/>
      <c r="G34" s="189"/>
      <c r="H34" s="170"/>
      <c r="I34" s="190"/>
      <c r="J34" s="191" t="s">
        <v>1158</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605.57999158091263</v>
      </c>
      <c r="AX34" s="568">
        <f t="shared" si="20"/>
        <v>605.57999158091263</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1126</v>
      </c>
      <c r="M35" s="186" t="s">
        <v>678</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1126</v>
      </c>
      <c r="M36" s="186" t="s">
        <v>678</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749</v>
      </c>
      <c r="L37" s="191" t="s">
        <v>1128</v>
      </c>
      <c r="M37" s="186" t="s">
        <v>1159</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1130</v>
      </c>
      <c r="M38" s="186" t="s">
        <v>1131</v>
      </c>
      <c r="N38" s="376">
        <f>LOOKUP($C$32, T_NCAP_AF!$C$5:$C$15, T_NCAP_AF!D$5:D$15)*(1+N$26)</f>
        <v>14.715000000000002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1065</v>
      </c>
      <c r="M39" s="217" t="s">
        <v>748</v>
      </c>
      <c r="N39" s="687">
        <f>LOOKUP($C$32, T_Stock_Private!$C$10:$C$20, T_Stock_Private!D$10:D$20)*(1+N27)</f>
        <v>209038.4173647</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1065</v>
      </c>
      <c r="M40" s="186" t="s">
        <v>748</v>
      </c>
      <c r="N40" s="687">
        <f t="shared" ref="N40:AB40" si="24">N39*LOOKUP($AD32,$AG$4:$AO$4,$AG$5:$AO$5)</f>
        <v>198586.496496465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3691.2003738258727</v>
      </c>
      <c r="AF40" s="568">
        <f t="shared" ref="AF40:AT40" si="25">N37*N38*N39/1000</f>
        <v>3691.2003738258727</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1065</v>
      </c>
      <c r="M41" s="186" t="s">
        <v>748</v>
      </c>
      <c r="N41" s="687">
        <f t="shared" ref="N41:AB41" si="26">N39*LOOKUP($AD32,$AG$4:$AO$4,$AG$6:$AO$6)</f>
        <v>146326.89215529</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1065</v>
      </c>
      <c r="M42" s="186" t="s">
        <v>748</v>
      </c>
      <c r="N42" s="687">
        <f t="shared" ref="N42:AB42" si="27">N39*LOOKUP($AD32,$AG$4:$AO$4,$AG$7:$AO$7)</f>
        <v>83615.36694588</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1065</v>
      </c>
      <c r="M43" s="186" t="s">
        <v>748</v>
      </c>
      <c r="N43" s="687">
        <f t="shared" ref="N43:AB43" si="28">N39*LOOKUP($AD32,$AG$4:$AO$4,$AG$8:$AO$8)</f>
        <v>31355.762604705</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1065</v>
      </c>
      <c r="M44" s="186" t="s">
        <v>748</v>
      </c>
      <c r="N44" s="687">
        <f t="shared" ref="N44:AB44" si="29">N39*LOOKUP($AD32,$AG$4:$AO$4,$AG$9:$AO$9)</f>
        <v>1045.1920868234999</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1065</v>
      </c>
      <c r="M45" s="193" t="s">
        <v>748</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777</v>
      </c>
      <c r="E46" s="188" t="s">
        <v>683</v>
      </c>
      <c r="F46" s="170"/>
      <c r="G46" s="213"/>
      <c r="H46" s="170"/>
      <c r="I46" s="190"/>
      <c r="J46" s="191"/>
      <c r="K46" s="191"/>
      <c r="L46" s="211" t="s">
        <v>1107</v>
      </c>
      <c r="M46" s="191" t="s">
        <v>1156</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79.880510702767651</v>
      </c>
      <c r="AX46" s="568">
        <f t="shared" ref="AX46:BL46" si="32">N50*N51/N47/1000</f>
        <v>79.880510702767651</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1126</v>
      </c>
      <c r="M47" s="186" t="s">
        <v>678</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1126</v>
      </c>
      <c r="M48" s="186" t="s">
        <v>678</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749</v>
      </c>
      <c r="L49" s="191" t="s">
        <v>1128</v>
      </c>
      <c r="M49" s="186" t="s">
        <v>1159</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1130</v>
      </c>
      <c r="M50" s="186" t="s">
        <v>1131</v>
      </c>
      <c r="N50" s="376">
        <f>LOOKUP($C$46, T_NCAP_AF!$C$5:$C$15, T_NCAP_AF!D$5:D$15)*(1+N26)</f>
        <v>9.6750000000000007</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1065</v>
      </c>
      <c r="M51" s="186" t="s">
        <v>748</v>
      </c>
      <c r="N51" s="687">
        <f>LOOKUP($C$46, T_Stock_Private!$C$10:$C$20, T_Stock_Private!D$10:D$20)*(1+N27)</f>
        <v>8578.0522376999998</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1065</v>
      </c>
      <c r="M52" s="186" t="s">
        <v>748</v>
      </c>
      <c r="N52" s="687">
        <f t="shared" ref="N52:AB52" si="35">N51*LOOKUP($AD46,$AG$4:$AO$4,$AG$5:$AO$5)</f>
        <v>8492.2717153230005</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99.591186479697001</v>
      </c>
      <c r="AF52" s="568">
        <f t="shared" ref="AF52:AT52" si="36">N49*N50*N51/1000</f>
        <v>99.591186479697001</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1065</v>
      </c>
      <c r="M53" s="186" t="s">
        <v>748</v>
      </c>
      <c r="N53" s="687">
        <f t="shared" ref="N53:AB53" si="37">N51*LOOKUP($AD46,$AG$4:$AO$4,$AG$6:$AO$6)</f>
        <v>6433.5391782749994</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1065</v>
      </c>
      <c r="M54" s="186" t="s">
        <v>748</v>
      </c>
      <c r="N54" s="687">
        <f t="shared" ref="N54:AB54" si="38">N51*LOOKUP($AD46,$AG$4:$AO$4,$AG$7:$AO$7)</f>
        <v>4289.0261188499999</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1065</v>
      </c>
      <c r="M55" s="186" t="s">
        <v>748</v>
      </c>
      <c r="N55" s="687">
        <f t="shared" ref="N55:AB55" si="39">N51*LOOKUP($AD46,$AG$4:$AO$4,$AG$8:$AO$8)</f>
        <v>1286.7078356549998</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1065</v>
      </c>
      <c r="M56" s="186" t="s">
        <v>748</v>
      </c>
      <c r="N56" s="687">
        <f t="shared" ref="N56:AB56" si="40">N51*LOOKUP($AD46,$AG$4:$AO$4,$AG$9:$AO$9)</f>
        <v>42.890261188499998</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1065</v>
      </c>
      <c r="M57" s="193" t="s">
        <v>748</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780</v>
      </c>
      <c r="E58" s="188" t="s">
        <v>1010</v>
      </c>
      <c r="F58" s="170"/>
      <c r="G58" s="213"/>
      <c r="H58" s="170"/>
      <c r="I58" s="190"/>
      <c r="J58" s="191"/>
      <c r="K58" s="191"/>
      <c r="L58" s="211" t="s">
        <v>1107</v>
      </c>
      <c r="M58" s="191" t="s">
        <v>1156</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689.74498251725095</v>
      </c>
      <c r="AX58" s="568">
        <f t="shared" ref="AX58:BL58" si="44">N63*N64*(1-N59)/N61/1000</f>
        <v>689.74498251725095</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1014</v>
      </c>
      <c r="F59" s="170"/>
      <c r="G59" s="213"/>
      <c r="H59" s="170"/>
      <c r="I59" s="190"/>
      <c r="J59" s="191" t="s">
        <v>1157</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229.91499417241698</v>
      </c>
      <c r="AX59" s="568">
        <f t="shared" ref="AX59:BL59" si="46">N63*N64*N59/N61/1000</f>
        <v>229.91499417241698</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1126</v>
      </c>
      <c r="M60" s="186" t="s">
        <v>678</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1126</v>
      </c>
      <c r="M61" s="186" t="s">
        <v>678</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749</v>
      </c>
      <c r="L62" s="191" t="s">
        <v>1128</v>
      </c>
      <c r="M62" s="186" t="s">
        <v>1159</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1130</v>
      </c>
      <c r="M63" s="186" t="s">
        <v>1131</v>
      </c>
      <c r="N63" s="376">
        <f>LOOKUP($C$58, T_NCAP_AF!$C$5:$C$15, T_NCAP_AF!D$5:D$15)*(1+N26)</f>
        <v>10.385999999999999</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1065</v>
      </c>
      <c r="M64" s="186" t="s">
        <v>748</v>
      </c>
      <c r="N64" s="687">
        <f>LOOKUP($C$58, T_Stock_Private!$C$10:$C$20, T_Stock_Private!D$10:D$20)*(1+N27)</f>
        <v>28222.917809579998</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1065</v>
      </c>
      <c r="M65" s="186" t="s">
        <v>748</v>
      </c>
      <c r="N65" s="687">
        <f t="shared" ref="N65:AB65" si="50">N64*LOOKUP($AD58,$AG$4:$AO$4,$AG$5:$AO$5)</f>
        <v>26811.771919100996</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351.74786924435739</v>
      </c>
      <c r="AF65" s="568">
        <f t="shared" ref="AF65:AT65" si="51">N62*N63*N64/1000</f>
        <v>351.74786924435739</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1065</v>
      </c>
      <c r="M66" s="186" t="s">
        <v>748</v>
      </c>
      <c r="N66" s="687">
        <f t="shared" ref="N66:AB66" si="52">N64*LOOKUP($AD58,$AG$4:$AO$4,$AG$6:$AO$6)</f>
        <v>19756.042466705996</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1065</v>
      </c>
      <c r="M67" s="186" t="s">
        <v>748</v>
      </c>
      <c r="N67" s="687">
        <f t="shared" ref="N67:AB67" si="53">N64*LOOKUP($AD58,$AG$4:$AO$4,$AG$7:$AO$7)</f>
        <v>11289.167123832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1065</v>
      </c>
      <c r="M68" s="186" t="s">
        <v>748</v>
      </c>
      <c r="N68" s="687">
        <f t="shared" ref="N68:AB68" si="54">N64*LOOKUP($AD58,$AG$4:$AO$4,$AG$8:$AO$8)</f>
        <v>4233.4376714369992</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1065</v>
      </c>
      <c r="M69" s="186" t="s">
        <v>748</v>
      </c>
      <c r="N69" s="687">
        <f t="shared" ref="N69:AB69" si="55">N64*LOOKUP($AD58,$AG$4:$AO$4,$AG$9:$AO$9)</f>
        <v>141.11458904789998</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1065</v>
      </c>
      <c r="M70" s="193" t="s">
        <v>748</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783</v>
      </c>
      <c r="E71" s="258" t="s">
        <v>994</v>
      </c>
      <c r="F71" s="170"/>
      <c r="G71" s="213"/>
      <c r="H71" s="170"/>
      <c r="I71" s="190"/>
      <c r="J71" s="191"/>
      <c r="K71" s="191"/>
      <c r="L71" s="211" t="s">
        <v>1107</v>
      </c>
      <c r="M71" s="191" t="s">
        <v>1156</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262.54776580343736</v>
      </c>
      <c r="AX71" s="568">
        <f t="shared" ref="AX71:BL71" si="59">N$77*N$78*0.6/N$75/1000</f>
        <v>262.54776580343736</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1039</v>
      </c>
      <c r="F72" s="170"/>
      <c r="G72" s="213"/>
      <c r="H72" s="170"/>
      <c r="I72" s="190"/>
      <c r="J72" s="191" t="s">
        <v>1157</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87.515921934479124</v>
      </c>
      <c r="AX72" s="568">
        <f t="shared" ref="AX72:BL73" si="61">N$77*N$78*0.2/N$75/1000</f>
        <v>87.515921934479124</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1014</v>
      </c>
      <c r="F73" s="170"/>
      <c r="G73" s="213"/>
      <c r="H73" s="170"/>
      <c r="I73" s="190"/>
      <c r="J73" s="191" t="s">
        <v>1157</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87.515921934479124</v>
      </c>
      <c r="AX73" s="568">
        <f t="shared" si="61"/>
        <v>87.515921934479124</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1126</v>
      </c>
      <c r="M74" s="186" t="s">
        <v>678</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1126</v>
      </c>
      <c r="M75" s="186" t="s">
        <v>678</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749</v>
      </c>
      <c r="L76" s="191" t="s">
        <v>1128</v>
      </c>
      <c r="M76" s="186" t="s">
        <v>1159</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1130</v>
      </c>
      <c r="M77" s="186" t="s">
        <v>1131</v>
      </c>
      <c r="N77" s="376">
        <f>LOOKUP($C$71, T_NCAP_AF!$C$5:$C$15, T_NCAP_AF!D$5:D$15)*(1+N26)</f>
        <v>15.831</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1065</v>
      </c>
      <c r="M78" s="186" t="s">
        <v>748</v>
      </c>
      <c r="N78" s="687">
        <f>LOOKUP($C$71, T_Stock_Private!$C$10:$C$20, T_Stock_Private!D$10:D$20)*(1+N27)</f>
        <v>8809.9140288599992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1065</v>
      </c>
      <c r="M79" s="186" t="s">
        <v>748</v>
      </c>
      <c r="N79" s="687">
        <f t="shared" ref="N79:AB79" si="65">N78*LOOKUP($AD71,$AG$4:$AO$4,$AG$5:$AO$5)</f>
        <v>8369.4183274169991</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167.36369878905919</v>
      </c>
      <c r="AF79" s="568">
        <f t="shared" ref="AF79:AT79" si="66">N76*N77*N78/1000</f>
        <v>167.36369878905919</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1065</v>
      </c>
      <c r="M80" s="186" t="s">
        <v>748</v>
      </c>
      <c r="N80" s="687">
        <f t="shared" ref="N80:AB80" si="67">N78*LOOKUP($AD71,$AG$4:$AO$4,$AG$6:$AO$6)</f>
        <v>6166.9398202019993</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1065</v>
      </c>
      <c r="M81" s="186" t="s">
        <v>748</v>
      </c>
      <c r="N81" s="687">
        <f t="shared" ref="N81:AB81" si="68">N78*LOOKUP($AD71,$AG$4:$AO$4,$AG$7:$AO$7)</f>
        <v>3523.9656115439998</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1065</v>
      </c>
      <c r="M82" s="186" t="s">
        <v>748</v>
      </c>
      <c r="N82" s="687">
        <f t="shared" ref="N82:AB82" si="69">N78*LOOKUP($AD71,$AG$4:$AO$4,$AG$8:$AO$8)</f>
        <v>1321.4871043289997</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1065</v>
      </c>
      <c r="M83" s="186" t="s">
        <v>748</v>
      </c>
      <c r="N83" s="687">
        <f t="shared" ref="N83:AB83" si="70">N78*LOOKUP($AD71,$AG$4:$AO$4,$AG$9:$AO$9)</f>
        <v>44.049570144299999</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1065</v>
      </c>
      <c r="M84" s="193" t="s">
        <v>748</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786</v>
      </c>
      <c r="E85" s="258" t="s">
        <v>1014</v>
      </c>
      <c r="F85" s="170"/>
      <c r="G85" s="213"/>
      <c r="H85" s="170"/>
      <c r="I85" s="190"/>
      <c r="J85" s="191"/>
      <c r="K85" s="191"/>
      <c r="L85" s="211" t="s">
        <v>1107</v>
      </c>
      <c r="M85" s="191" t="s">
        <v>1156</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7568.3957217431471</v>
      </c>
      <c r="AX85" s="568">
        <f t="shared" ref="AX85:BL85" si="74">N$91*N$92*(1-N86)/N$89/1000</f>
        <v>7568.3957217431471</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1012</v>
      </c>
      <c r="F86" s="170"/>
      <c r="G86" s="213"/>
      <c r="H86" s="170"/>
      <c r="I86" s="190"/>
      <c r="J86" s="191" t="s">
        <v>1127</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234.07409448690149</v>
      </c>
      <c r="AX86" s="568">
        <f t="shared" ref="AX86:BL87" si="76">N$91*N$92*N86/N$89/1000</f>
        <v>234.07409448690149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996</v>
      </c>
      <c r="F87" s="170"/>
      <c r="G87" s="213"/>
      <c r="H87" s="170"/>
      <c r="I87" s="190"/>
      <c r="J87" s="191" t="s">
        <v>1157</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1126</v>
      </c>
      <c r="M88" s="186" t="s">
        <v>678</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1126</v>
      </c>
      <c r="M89" s="186" t="s">
        <v>678</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749</v>
      </c>
      <c r="L90" s="191" t="s">
        <v>1128</v>
      </c>
      <c r="M90" s="186" t="s">
        <v>1159</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1130</v>
      </c>
      <c r="M91" s="186" t="s">
        <v>1131</v>
      </c>
      <c r="N91" s="376">
        <f>LOOKUP($C$85, T_NCAP_AF!$C$5:$C$15, T_NCAP_AF!D$5:D$15)*(1+N26)</f>
        <v>7.9019999999999992</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1065</v>
      </c>
      <c r="M92" s="186" t="s">
        <v>748</v>
      </c>
      <c r="N92" s="687">
        <f>LOOKUP($C$85, T_Stock_Private!$C$10:$C$20, T_Stock_Private!D$10:D$20)*(1+N27)</f>
        <v>298087.52376888</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1065</v>
      </c>
      <c r="M93" s="186" t="s">
        <v>748</v>
      </c>
      <c r="N93" s="687">
        <f t="shared" ref="N93:AB93" si="82">N92*LOOKUP($AD85,$AG$4:$AO$4,$AG$5:$AO$5)</f>
        <v>283183.14758043597</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2826.5851353860276</v>
      </c>
      <c r="AF93" s="568">
        <f t="shared" ref="AF93:AT93" si="83">N90*N91*N92/1000</f>
        <v>2826.5851353860276</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1065</v>
      </c>
      <c r="M94" s="186" t="s">
        <v>748</v>
      </c>
      <c r="N94" s="687">
        <f t="shared" ref="N94:AB94" si="84">N92*LOOKUP($AD85,$AG$4:$AO$4,$AG$6:$AO$6)</f>
        <v>208661.26663821598</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1065</v>
      </c>
      <c r="M95" s="186" t="s">
        <v>748</v>
      </c>
      <c r="N95" s="687">
        <f t="shared" ref="N95:AB95" si="85">N92*LOOKUP($AD85,$AG$4:$AO$4,$AG$7:$AO$7)</f>
        <v>119235.00950755201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1065</v>
      </c>
      <c r="M96" s="186" t="s">
        <v>748</v>
      </c>
      <c r="N96" s="687">
        <f t="shared" ref="N96:AB96" si="86">N92*LOOKUP($AD85,$AG$4:$AO$4,$AG$8:$AO$8)</f>
        <v>44713.128565332001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1065</v>
      </c>
      <c r="M97" s="186" t="s">
        <v>748</v>
      </c>
      <c r="N97" s="687">
        <f t="shared" ref="N97:AB97" si="87">N92*LOOKUP($AD85,$AG$4:$AO$4,$AG$9:$AO$9)</f>
        <v>1490.4376188444</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1065</v>
      </c>
      <c r="M98" s="193" t="s">
        <v>748</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789</v>
      </c>
      <c r="E99" s="407" t="s">
        <v>988</v>
      </c>
      <c r="F99" s="182"/>
      <c r="G99" s="326"/>
      <c r="H99" s="182"/>
      <c r="I99" s="183"/>
      <c r="J99" s="184"/>
      <c r="K99" s="184"/>
      <c r="L99" s="203" t="s">
        <v>1107</v>
      </c>
      <c r="M99" s="191" t="s">
        <v>1156</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990</v>
      </c>
      <c r="F101" s="170"/>
      <c r="G101" s="213"/>
      <c r="H101" s="170"/>
      <c r="I101" s="190"/>
      <c r="J101" s="191" t="s">
        <v>1157</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1126</v>
      </c>
      <c r="M102" s="186" t="s">
        <v>678</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1126</v>
      </c>
      <c r="M103" s="186" t="s">
        <v>678</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749</v>
      </c>
      <c r="L104" s="191" t="s">
        <v>1128</v>
      </c>
      <c r="M104" s="186" t="s">
        <v>1159</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1130</v>
      </c>
      <c r="M105" s="186" t="s">
        <v>1131</v>
      </c>
      <c r="N105" s="376">
        <f>LOOKUP($C$99, T_NCAP_AF!$C$5:$C$15, T_NCAP_AF!D$5:D$15)*(1+N26)</f>
        <v>11.520000000000001</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1065</v>
      </c>
      <c r="M106" s="186" t="s">
        <v>748</v>
      </c>
      <c r="N106" s="687">
        <f>LOOKUP($C$99, T_Stock_Private!$C$10:$C$20, T_Stock_Private!D$10:D$20)*(1+N27)</f>
        <v>0</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1065</v>
      </c>
      <c r="M107" s="186" t="s">
        <v>748</v>
      </c>
      <c r="N107" s="687">
        <f t="shared" ref="N107:AB107" si="98">N106*LOOKUP($AD99,$AG$4:$AO$4,$AG$5:$AO$5)</f>
        <v>0</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1065</v>
      </c>
      <c r="M108" s="186" t="s">
        <v>748</v>
      </c>
      <c r="N108" s="687">
        <f t="shared" ref="N108:AB108" si="100">N106*LOOKUP($AD99,$AG$4:$AO$4,$AG$6:$AO$6)</f>
        <v>0</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1065</v>
      </c>
      <c r="M109" s="186" t="s">
        <v>748</v>
      </c>
      <c r="N109" s="687">
        <f t="shared" ref="N109:AB109" si="101">N106*LOOKUP($AD99,$AG$4:$AO$4,$AG$7:$AO$7)</f>
        <v>0</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1065</v>
      </c>
      <c r="M110" s="186" t="s">
        <v>748</v>
      </c>
      <c r="N110" s="687">
        <f t="shared" ref="N110:AB110" si="102">N106*LOOKUP($AD99,$AG$4:$AO$4,$AG$8:$AO$8)</f>
        <v>0</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1065</v>
      </c>
      <c r="M111" s="186" t="s">
        <v>748</v>
      </c>
      <c r="N111" s="687">
        <f t="shared" ref="N111:AB111" si="103">N106*LOOKUP($AD99,$AG$4:$AO$4,$AG$9:$AO$9)</f>
        <v>0</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1065</v>
      </c>
      <c r="M112" s="193" t="s">
        <v>748</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792</v>
      </c>
      <c r="E113" s="258" t="s">
        <v>1014</v>
      </c>
      <c r="F113" s="170"/>
      <c r="G113" s="213"/>
      <c r="H113" s="170"/>
      <c r="I113" s="190"/>
      <c r="J113" s="191"/>
      <c r="K113" s="191"/>
      <c r="L113" s="211" t="s">
        <v>1107</v>
      </c>
      <c r="M113" s="191" t="s">
        <v>1156</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901.13310326370527</v>
      </c>
      <c r="AX113" s="568">
        <f t="shared" ref="AX113:BL113" si="107">N$119*N$120*(1-N114)/N$117/1000</f>
        <v>901.13310326370527</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1012</v>
      </c>
      <c r="F114" s="170"/>
      <c r="G114" s="213"/>
      <c r="H114" s="170"/>
      <c r="I114" s="190"/>
      <c r="J114" s="191" t="s">
        <v>1127</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27.870095977227997</v>
      </c>
      <c r="AX114" s="568">
        <f t="shared" ref="AX114:BL115" si="110">N$119*N$120*N114/N$117/1000</f>
        <v>27.870095977227997</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996</v>
      </c>
      <c r="F115" s="170"/>
      <c r="G115" s="213"/>
      <c r="H115" s="170"/>
      <c r="I115" s="190"/>
      <c r="J115" s="191" t="s">
        <v>1157</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1126</v>
      </c>
      <c r="M116" s="186" t="s">
        <v>678</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1126</v>
      </c>
      <c r="M117" s="186" t="s">
        <v>678</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749</v>
      </c>
      <c r="L118" s="191" t="s">
        <v>1128</v>
      </c>
      <c r="M118" s="186" t="s">
        <v>1159</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1130</v>
      </c>
      <c r="M119" s="186" t="s">
        <v>1131</v>
      </c>
      <c r="N119" s="376">
        <f>LOOKUP($C$113, T_NCAP_AF!$C$5:$C$15, T_NCAP_AF!D$5:D$15)*(1+N26)</f>
        <v>11.520000000000001</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1065</v>
      </c>
      <c r="M120" s="186" t="s">
        <v>748</v>
      </c>
      <c r="N120" s="687">
        <f>LOOKUP($C$113, T_Stock_Private!$C$10:$C$20, T_Stock_Private!D$10:D$20)*(1+N27)</f>
        <v>31937.71067946</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1065</v>
      </c>
      <c r="M121" s="186" t="s">
        <v>748</v>
      </c>
      <c r="N121" s="687">
        <f t="shared" ref="N121:AB121" si="115">N120*LOOKUP($AD113,$AG$4:$AO$4,$AG$5:$AO$5)</f>
        <v>31618.3335726654</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441.50691243285513</v>
      </c>
      <c r="AF121" s="568">
        <f t="shared" ref="AF121:AT121" si="116">N118*N119*N120/1000</f>
        <v>441.50691243285513</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1065</v>
      </c>
      <c r="M122" s="186" t="s">
        <v>748</v>
      </c>
      <c r="N122" s="687">
        <f t="shared" ref="N122:AB122" si="117">N120*LOOKUP($AD113,$AG$4:$AO$4,$AG$6:$AO$6)</f>
        <v>23953.283009595001</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1065</v>
      </c>
      <c r="M123" s="186" t="s">
        <v>748</v>
      </c>
      <c r="N123" s="687">
        <f t="shared" ref="N123:AB123" si="118">N120*LOOKUP($AD113,$AG$4:$AO$4,$AG$7:$AO$7)</f>
        <v>15968.85533973</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1065</v>
      </c>
      <c r="M124" s="186" t="s">
        <v>748</v>
      </c>
      <c r="N124" s="687">
        <f t="shared" ref="N124:AB124" si="119">N120*LOOKUP($AD113,$AG$4:$AO$4,$AG$8:$AO$8)</f>
        <v>4790.6566019189995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1065</v>
      </c>
      <c r="M125" s="186" t="s">
        <v>748</v>
      </c>
      <c r="N125" s="687">
        <f t="shared" ref="N125:AB125" si="120">N120*LOOKUP($AD113,$AG$4:$AO$4,$AG$9:$AO$9)</f>
        <v>159.68855339730001</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1065</v>
      </c>
      <c r="M126" s="193" t="s">
        <v>748</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795</v>
      </c>
      <c r="E127" s="188" t="s">
        <v>1033</v>
      </c>
      <c r="F127" s="170"/>
      <c r="G127" s="213"/>
      <c r="H127" s="170"/>
      <c r="I127" s="190"/>
      <c r="J127" s="191"/>
      <c r="K127" s="191"/>
      <c r="L127" s="211" t="s">
        <v>1107</v>
      </c>
      <c r="M127" s="191" t="s">
        <v>1156</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1126</v>
      </c>
      <c r="M128" s="186" t="s">
        <v>678</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1126</v>
      </c>
      <c r="M129" s="186" t="s">
        <v>678</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749</v>
      </c>
      <c r="L130" s="191" t="s">
        <v>1128</v>
      </c>
      <c r="M130" s="186" t="s">
        <v>1159</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1130</v>
      </c>
      <c r="M131" s="186" t="s">
        <v>1131</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1065</v>
      </c>
      <c r="M132" s="186" t="s">
        <v>748</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1065</v>
      </c>
      <c r="M133" s="186" t="s">
        <v>748</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1065</v>
      </c>
      <c r="M134" s="186" t="s">
        <v>748</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1065</v>
      </c>
      <c r="M135" s="186" t="s">
        <v>748</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1065</v>
      </c>
      <c r="M136" s="186" t="s">
        <v>748</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1065</v>
      </c>
      <c r="M137" s="186" t="s">
        <v>748</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1065</v>
      </c>
      <c r="M138" s="193" t="s">
        <v>748</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798</v>
      </c>
      <c r="E139" s="407" t="s">
        <v>988</v>
      </c>
      <c r="F139" s="182"/>
      <c r="G139" s="326"/>
      <c r="H139" s="182"/>
      <c r="I139" s="183"/>
      <c r="J139" s="184"/>
      <c r="K139" s="184"/>
      <c r="L139" s="203" t="s">
        <v>1107</v>
      </c>
      <c r="M139" s="184" t="s">
        <v>1156</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990</v>
      </c>
      <c r="F141" s="170"/>
      <c r="G141" s="213"/>
      <c r="H141" s="170"/>
      <c r="I141" s="190"/>
      <c r="J141" s="191" t="s">
        <v>1157</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1126</v>
      </c>
      <c r="M142" s="186" t="s">
        <v>678</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1126</v>
      </c>
      <c r="M143" s="186" t="s">
        <v>678</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749</v>
      </c>
      <c r="L144" s="191" t="s">
        <v>1128</v>
      </c>
      <c r="M144" s="186" t="s">
        <v>1159</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1130</v>
      </c>
      <c r="M145" s="186" t="s">
        <v>1131</v>
      </c>
      <c r="N145" s="376">
        <f>LOOKUP($C$139, T_NCAP_AF!$C$5:$C$15, T_NCAP_AF!D$5:D$15)*(1+N26)</f>
        <v>11.835000000000001</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1065</v>
      </c>
      <c r="M146" s="186" t="s">
        <v>748</v>
      </c>
      <c r="N146" s="687">
        <f>LOOKUP($C$139, T_Stock_Private!$C$10:$C$20, T_Stock_Private!D$10:D$20)*(1+N27)</f>
        <v>0</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1065</v>
      </c>
      <c r="M147" s="186" t="s">
        <v>748</v>
      </c>
      <c r="N147" s="687">
        <f t="shared" ref="N147:AB147" si="142">N146*LOOKUP($AD139,$AG$4:$AO$4,$AG$5:$AO$5)</f>
        <v>0</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1065</v>
      </c>
      <c r="M148" s="186" t="s">
        <v>748</v>
      </c>
      <c r="N148" s="687">
        <f t="shared" ref="N148:AB148" si="144">N146*LOOKUP($AD139,$AG$4:$AO$4,$AG$6:$AO$6)</f>
        <v>0</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1065</v>
      </c>
      <c r="M149" s="186" t="s">
        <v>748</v>
      </c>
      <c r="N149" s="687">
        <f t="shared" ref="N149:AB149" si="145">N146*LOOKUP($AD139,$AG$4:$AO$4,$AG$7:$AO$7)</f>
        <v>0</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1065</v>
      </c>
      <c r="M150" s="186" t="s">
        <v>748</v>
      </c>
      <c r="N150" s="687">
        <f t="shared" ref="N150:AB150" si="146">N146*LOOKUP($AD139,$AG$4:$AO$4,$AG$8:$AO$8)</f>
        <v>0</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1065</v>
      </c>
      <c r="M151" s="186" t="s">
        <v>748</v>
      </c>
      <c r="N151" s="687">
        <f t="shared" ref="N151:AB151" si="147">N146*LOOKUP($AD139,$AG$4:$AO$4,$AG$9:$AO$9)</f>
        <v>0</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1065</v>
      </c>
      <c r="M152" s="193" t="s">
        <v>748</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801</v>
      </c>
      <c r="E153" s="407" t="s">
        <v>1014</v>
      </c>
      <c r="F153" s="182"/>
      <c r="G153" s="326"/>
      <c r="H153" s="182"/>
      <c r="I153" s="183"/>
      <c r="J153" s="184"/>
      <c r="K153" s="184"/>
      <c r="L153" s="203" t="s">
        <v>1107</v>
      </c>
      <c r="M153" s="184" t="s">
        <v>1156</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458.15028161425232</v>
      </c>
      <c r="AX153" s="570">
        <f t="shared" ref="AX153:BL153" si="151">N$159*N$160*(1-N154)/N$156/1000</f>
        <v>458.15028161425232</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1012</v>
      </c>
      <c r="F154" s="170"/>
      <c r="G154" s="213"/>
      <c r="H154" s="170"/>
      <c r="I154" s="190"/>
      <c r="J154" s="191" t="s">
        <v>1127</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14.169596338585121</v>
      </c>
      <c r="AX154" s="568">
        <f t="shared" ref="AX154:BL154" si="153">N$159*N$160*N154/N$156/1000</f>
        <v>14.169596338585121</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996</v>
      </c>
      <c r="F155" s="170"/>
      <c r="G155" s="213"/>
      <c r="H155" s="170"/>
      <c r="I155" s="190"/>
      <c r="J155" s="191" t="s">
        <v>1157</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1126</v>
      </c>
      <c r="M156" s="186" t="s">
        <v>678</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1126</v>
      </c>
      <c r="M157" s="186" t="s">
        <v>678</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749</v>
      </c>
      <c r="L158" s="191" t="s">
        <v>1128</v>
      </c>
      <c r="M158" s="186" t="s">
        <v>1159</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1130</v>
      </c>
      <c r="M159" s="186" t="s">
        <v>1131</v>
      </c>
      <c r="N159" s="376">
        <f>LOOKUP($C$153, T_NCAP_AF!$C$5:$C$15, T_NCAP_AF!D$5:D$15)*(1+N26)</f>
        <v>11.835000000000001</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1065</v>
      </c>
      <c r="M160" s="186" t="s">
        <v>748</v>
      </c>
      <c r="N160" s="687">
        <f>LOOKUP($C$153, T_Stock_Private!$C$10:$C$20, T_Stock_Private!D$10:D$20)*(1+N27)</f>
        <v>29024.425655999999</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1065</v>
      </c>
      <c r="M161" s="186" t="s">
        <v>748</v>
      </c>
      <c r="N161" s="687">
        <f t="shared" ref="N161:AB161" si="174">N160*LOOKUP($AD153,$AG$4:$AO$4,$AG$5:$AO$5)</f>
        <v>28734.18139944</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412.20489316651202</v>
      </c>
      <c r="AF161" s="568">
        <f t="shared" ref="AF161:AT161" si="175">N158*N159*N160/1000</f>
        <v>412.20489316651202</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1065</v>
      </c>
      <c r="M162" s="186" t="s">
        <v>748</v>
      </c>
      <c r="N162" s="687">
        <f t="shared" ref="N162:AB162" si="176">N160*LOOKUP($AD153,$AG$4:$AO$4,$AG$6:$AO$6)</f>
        <v>21768.319241999998</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1065</v>
      </c>
      <c r="M163" s="186" t="s">
        <v>748</v>
      </c>
      <c r="N163" s="687">
        <f t="shared" ref="N163:AB163" si="177">N160*LOOKUP($AD153,$AG$4:$AO$4,$AG$7:$AO$7)</f>
        <v>14512.212828</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1065</v>
      </c>
      <c r="M164" s="186" t="s">
        <v>748</v>
      </c>
      <c r="N164" s="687">
        <f t="shared" ref="N164:AB164" si="178">N160*LOOKUP($AD153,$AG$4:$AO$4,$AG$8:$AO$8)</f>
        <v>4353.6638483999996</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1065</v>
      </c>
      <c r="M165" s="186" t="s">
        <v>748</v>
      </c>
      <c r="N165" s="687">
        <f t="shared" ref="N165:AB165" si="179">N160*LOOKUP($AD153,$AG$4:$AO$4,$AG$9:$AO$9)</f>
        <v>145.12212828</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1065</v>
      </c>
      <c r="M166" s="193" t="s">
        <v>748</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F1" zoomScale="75" zoomScaleNormal="75" workbookViewId="0">
      <selection activeCell="AV6" sqref="AV6:AV24"/>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1111</v>
      </c>
    </row>
    <row r="2" spans="1:64" ht="19.5" customHeight="1" x14ac:dyDescent="0.3">
      <c r="A2" s="22"/>
      <c r="B2" s="148" t="s">
        <v>1160</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1142</v>
      </c>
      <c r="AG3" s="38"/>
      <c r="AH3" s="38"/>
      <c r="AI3" s="38"/>
      <c r="AJ3" s="38"/>
      <c r="AK3" s="38"/>
      <c r="AL3" s="38"/>
      <c r="AM3" s="38"/>
      <c r="AN3" s="38"/>
      <c r="AO3" s="38"/>
      <c r="AP3" s="38"/>
      <c r="AV3" s="471" t="s">
        <v>1052</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1161</v>
      </c>
      <c r="AH4" s="406" t="s">
        <v>1162</v>
      </c>
      <c r="AI4" s="38" t="s">
        <v>1143</v>
      </c>
      <c r="AJ4" s="38" t="s">
        <v>1007</v>
      </c>
      <c r="AK4" s="38" t="s">
        <v>1144</v>
      </c>
      <c r="AL4" s="38" t="s">
        <v>1145</v>
      </c>
      <c r="AM4" s="38" t="s">
        <v>1146</v>
      </c>
      <c r="AN4" s="406" t="s">
        <v>1163</v>
      </c>
      <c r="AO4" s="38" t="s">
        <v>115</v>
      </c>
      <c r="AP4" s="406" t="s">
        <v>1164</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988</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1051</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990</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980</v>
      </c>
      <c r="J8" s="42" t="s">
        <v>1113</v>
      </c>
      <c r="K8" s="42" t="s">
        <v>1114</v>
      </c>
      <c r="L8" s="42" t="s">
        <v>1057</v>
      </c>
      <c r="M8" s="43" t="s">
        <v>1058</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994</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1115</v>
      </c>
      <c r="J9" s="171" t="s">
        <v>1116</v>
      </c>
      <c r="K9" s="171" t="s">
        <v>1117</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996</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1118</v>
      </c>
      <c r="M10" s="173" t="s">
        <v>583</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998</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593</v>
      </c>
      <c r="J11" s="173" t="str">
        <f>LOOKUP(I11,TRA_Comm!$C$29:$C$90,TRA_Comm!$D$29:$D$90)</f>
        <v>Road.Bus.Urban.City.</v>
      </c>
      <c r="K11" s="173"/>
      <c r="L11" s="173" t="s">
        <v>1118</v>
      </c>
      <c r="M11" s="173" t="s">
        <v>583</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1000</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1118</v>
      </c>
      <c r="M12" s="173" t="s">
        <v>583</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590</v>
      </c>
      <c r="J13" s="173" t="str">
        <f>LOOKUP(I13,TRA_Comm!$C$29:$C$90,TRA_Comm!$D$29:$D$90)</f>
        <v>Road.Bus.Intercity.City.</v>
      </c>
      <c r="K13" s="173"/>
      <c r="L13" s="173" t="s">
        <v>1118</v>
      </c>
      <c r="M13" s="173" t="s">
        <v>583</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683</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1010</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1119</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1012</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1014</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1165</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1016</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1023</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681</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1029</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1031</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1033</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1035</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1039</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1152</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1166</v>
      </c>
      <c r="C30" s="26"/>
      <c r="I30" s="36"/>
      <c r="M30" s="473" t="s">
        <v>1154</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1052</v>
      </c>
    </row>
    <row r="33" spans="1:64" s="22" customFormat="1" x14ac:dyDescent="0.3">
      <c r="A33" s="35"/>
      <c r="B33" s="52" t="s">
        <v>1053</v>
      </c>
      <c r="C33" s="26" t="s">
        <v>104</v>
      </c>
      <c r="D33" s="26" t="s">
        <v>1054</v>
      </c>
      <c r="E33" s="26" t="s">
        <v>673</v>
      </c>
      <c r="F33" s="26" t="s">
        <v>1155</v>
      </c>
      <c r="G33" s="26" t="s">
        <v>674</v>
      </c>
      <c r="H33" s="26" t="s">
        <v>1055</v>
      </c>
      <c r="I33" s="53" t="s">
        <v>1056</v>
      </c>
      <c r="J33" s="26" t="s">
        <v>982</v>
      </c>
      <c r="K33" s="42" t="s">
        <v>1123</v>
      </c>
      <c r="L33" s="26" t="s">
        <v>1057</v>
      </c>
      <c r="M33" s="26" t="s">
        <v>1058</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1062</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1124</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763</v>
      </c>
      <c r="E35" s="407" t="s">
        <v>988</v>
      </c>
      <c r="F35" s="182"/>
      <c r="G35" s="181"/>
      <c r="H35" s="182"/>
      <c r="I35" s="183"/>
      <c r="J35" s="184"/>
      <c r="K35" s="184"/>
      <c r="L35" s="203" t="s">
        <v>1107</v>
      </c>
      <c r="M35" s="184" t="s">
        <v>1156</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1126</v>
      </c>
      <c r="M36" s="178" t="s">
        <v>678</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593</v>
      </c>
      <c r="H37" s="182"/>
      <c r="I37" s="183"/>
      <c r="J37" s="184"/>
      <c r="K37" s="184"/>
      <c r="L37" s="184" t="s">
        <v>1126</v>
      </c>
      <c r="M37" s="178" t="s">
        <v>678</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749</v>
      </c>
      <c r="L38" s="184" t="s">
        <v>1128</v>
      </c>
      <c r="M38" s="186" t="s">
        <v>1159</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1130</v>
      </c>
      <c r="M39" s="178" t="s">
        <v>1131</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1065</v>
      </c>
      <c r="M40" s="178" t="s">
        <v>748</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1065</v>
      </c>
      <c r="M41" s="178" t="s">
        <v>748</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1065</v>
      </c>
      <c r="M42" s="178" t="s">
        <v>748</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1065</v>
      </c>
      <c r="M43" s="178" t="s">
        <v>748</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1065</v>
      </c>
      <c r="M44" s="178" t="s">
        <v>748</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1065</v>
      </c>
      <c r="M45" s="178" t="s">
        <v>748</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1065</v>
      </c>
      <c r="M46" s="204" t="s">
        <v>748</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764</v>
      </c>
      <c r="E47" s="407" t="s">
        <v>988</v>
      </c>
      <c r="F47" s="182"/>
      <c r="G47" s="181"/>
      <c r="H47" s="182"/>
      <c r="I47" s="183"/>
      <c r="J47" s="184"/>
      <c r="K47" s="184"/>
      <c r="L47" s="203" t="s">
        <v>1107</v>
      </c>
      <c r="M47" s="184" t="s">
        <v>1156</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1157</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990</v>
      </c>
      <c r="F49" s="182"/>
      <c r="G49" s="181"/>
      <c r="H49" s="182"/>
      <c r="I49" s="183"/>
      <c r="J49" s="184" t="s">
        <v>1157</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1126</v>
      </c>
      <c r="M50" s="178" t="s">
        <v>678</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593</v>
      </c>
      <c r="H51" s="182"/>
      <c r="I51" s="183"/>
      <c r="J51" s="184"/>
      <c r="K51" s="184"/>
      <c r="L51" s="184" t="s">
        <v>1126</v>
      </c>
      <c r="M51" s="178" t="s">
        <v>678</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749</v>
      </c>
      <c r="L52" s="184" t="s">
        <v>1128</v>
      </c>
      <c r="M52" s="186" t="s">
        <v>1159</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1130</v>
      </c>
      <c r="M53" s="178" t="s">
        <v>1131</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1065</v>
      </c>
      <c r="M54" s="178" t="s">
        <v>748</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1065</v>
      </c>
      <c r="M55" s="178" t="s">
        <v>748</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1065</v>
      </c>
      <c r="M56" s="178" t="s">
        <v>748</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1065</v>
      </c>
      <c r="M57" s="178" t="s">
        <v>748</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1065</v>
      </c>
      <c r="M58" s="178" t="s">
        <v>748</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1065</v>
      </c>
      <c r="M59" s="178" t="s">
        <v>748</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1065</v>
      </c>
      <c r="M60" s="204" t="s">
        <v>748</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765</v>
      </c>
      <c r="E61" s="407" t="s">
        <v>683</v>
      </c>
      <c r="F61" s="182"/>
      <c r="G61" s="181"/>
      <c r="H61" s="182"/>
      <c r="I61" s="183"/>
      <c r="J61" s="184"/>
      <c r="K61" s="184"/>
      <c r="L61" s="203" t="s">
        <v>1107</v>
      </c>
      <c r="M61" s="184" t="s">
        <v>1156</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1126</v>
      </c>
      <c r="M62" s="178" t="s">
        <v>678</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593</v>
      </c>
      <c r="H63" s="182"/>
      <c r="I63" s="183"/>
      <c r="J63" s="184"/>
      <c r="K63" s="184"/>
      <c r="L63" s="184" t="s">
        <v>1126</v>
      </c>
      <c r="M63" s="178" t="s">
        <v>678</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749</v>
      </c>
      <c r="L64" s="184" t="s">
        <v>1128</v>
      </c>
      <c r="M64" s="186" t="s">
        <v>1159</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1130</v>
      </c>
      <c r="M65" s="178" t="s">
        <v>1131</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1065</v>
      </c>
      <c r="M66" s="178" t="s">
        <v>748</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1065</v>
      </c>
      <c r="M67" s="178" t="s">
        <v>748</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1065</v>
      </c>
      <c r="M68" s="178" t="s">
        <v>748</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1065</v>
      </c>
      <c r="M69" s="178" t="s">
        <v>748</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1065</v>
      </c>
      <c r="M70" s="178" t="s">
        <v>748</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1065</v>
      </c>
      <c r="M71" s="178" t="s">
        <v>748</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1065</v>
      </c>
      <c r="M72" s="204" t="s">
        <v>748</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766</v>
      </c>
      <c r="E73" s="180" t="s">
        <v>1010</v>
      </c>
      <c r="F73" s="182"/>
      <c r="G73" s="181"/>
      <c r="H73" s="182"/>
      <c r="I73" s="183"/>
      <c r="J73" s="184"/>
      <c r="K73" s="184"/>
      <c r="L73" s="203" t="s">
        <v>1107</v>
      </c>
      <c r="M73" s="184" t="s">
        <v>1156</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1126</v>
      </c>
      <c r="M74" s="178" t="s">
        <v>678</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593</v>
      </c>
      <c r="H75" s="182"/>
      <c r="I75" s="183"/>
      <c r="J75" s="184"/>
      <c r="K75" s="184"/>
      <c r="L75" s="184" t="s">
        <v>1126</v>
      </c>
      <c r="M75" s="178" t="s">
        <v>678</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749</v>
      </c>
      <c r="L76" s="184" t="s">
        <v>1128</v>
      </c>
      <c r="M76" s="186" t="s">
        <v>1159</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1130</v>
      </c>
      <c r="M77" s="178" t="s">
        <v>1131</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1065</v>
      </c>
      <c r="M78" s="178" t="s">
        <v>748</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1065</v>
      </c>
      <c r="M79" s="178" t="s">
        <v>748</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1065</v>
      </c>
      <c r="M80" s="178" t="s">
        <v>748</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1065</v>
      </c>
      <c r="M81" s="178" t="s">
        <v>748</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1065</v>
      </c>
      <c r="M82" s="178" t="s">
        <v>748</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1065</v>
      </c>
      <c r="M83" s="178" t="s">
        <v>748</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1065</v>
      </c>
      <c r="M84" s="204" t="s">
        <v>748</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767</v>
      </c>
      <c r="E85" s="180" t="s">
        <v>994</v>
      </c>
      <c r="F85" s="182"/>
      <c r="G85" s="181"/>
      <c r="H85" s="182"/>
      <c r="I85" s="183"/>
      <c r="J85" s="184"/>
      <c r="K85" s="184"/>
      <c r="L85" s="203" t="s">
        <v>1107</v>
      </c>
      <c r="M85" s="184" t="s">
        <v>1156</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1039</v>
      </c>
      <c r="F86" s="182"/>
      <c r="G86" s="181"/>
      <c r="H86" s="182"/>
      <c r="I86" s="183"/>
      <c r="J86" s="184" t="s">
        <v>1157</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1126</v>
      </c>
      <c r="M87" s="178" t="s">
        <v>678</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593</v>
      </c>
      <c r="H88" s="182"/>
      <c r="I88" s="183"/>
      <c r="J88" s="184"/>
      <c r="K88" s="184"/>
      <c r="L88" s="184" t="s">
        <v>1126</v>
      </c>
      <c r="M88" s="178" t="s">
        <v>678</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749</v>
      </c>
      <c r="L89" s="184" t="s">
        <v>1128</v>
      </c>
      <c r="M89" s="186" t="s">
        <v>1159</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1130</v>
      </c>
      <c r="M90" s="178" t="s">
        <v>1131</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1065</v>
      </c>
      <c r="M91" s="178" t="s">
        <v>748</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1065</v>
      </c>
      <c r="M92" s="178" t="s">
        <v>748</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1065</v>
      </c>
      <c r="M93" s="178" t="s">
        <v>748</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1065</v>
      </c>
      <c r="M94" s="178" t="s">
        <v>748</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1065</v>
      </c>
      <c r="M95" s="178" t="s">
        <v>748</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1065</v>
      </c>
      <c r="M96" s="178" t="s">
        <v>748</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1065</v>
      </c>
      <c r="M97" s="204" t="s">
        <v>748</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768</v>
      </c>
      <c r="E98" s="180" t="s">
        <v>1012</v>
      </c>
      <c r="F98" s="182"/>
      <c r="G98" s="181"/>
      <c r="H98" s="182"/>
      <c r="I98" s="183"/>
      <c r="J98" s="184"/>
      <c r="K98" s="184"/>
      <c r="L98" s="203" t="s">
        <v>1107</v>
      </c>
      <c r="M98" s="184" t="s">
        <v>1156</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1014</v>
      </c>
      <c r="F99" s="170"/>
      <c r="G99" s="189"/>
      <c r="H99" s="170"/>
      <c r="I99" s="190"/>
      <c r="J99" s="191" t="s">
        <v>1127</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1126</v>
      </c>
      <c r="M100" s="186" t="s">
        <v>678</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593</v>
      </c>
      <c r="H101" s="170"/>
      <c r="I101" s="190"/>
      <c r="J101" s="191"/>
      <c r="K101" s="191"/>
      <c r="L101" s="191" t="s">
        <v>1126</v>
      </c>
      <c r="M101" s="186" t="s">
        <v>678</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749</v>
      </c>
      <c r="L102" s="191" t="s">
        <v>1128</v>
      </c>
      <c r="M102" s="186" t="s">
        <v>1159</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1130</v>
      </c>
      <c r="M103" s="186" t="s">
        <v>1131</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1065</v>
      </c>
      <c r="M104" s="186" t="s">
        <v>748</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1065</v>
      </c>
      <c r="M105" s="186" t="s">
        <v>748</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1065</v>
      </c>
      <c r="M106" s="186" t="s">
        <v>748</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1065</v>
      </c>
      <c r="M107" s="186" t="s">
        <v>748</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1065</v>
      </c>
      <c r="M108" s="186" t="s">
        <v>748</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1065</v>
      </c>
      <c r="M109" s="186" t="s">
        <v>748</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1065</v>
      </c>
      <c r="M110" s="193" t="s">
        <v>748</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769</v>
      </c>
      <c r="E111" s="258" t="s">
        <v>988</v>
      </c>
      <c r="F111" s="182"/>
      <c r="G111" s="181"/>
      <c r="H111" s="182"/>
      <c r="I111" s="183"/>
      <c r="J111" s="184"/>
      <c r="K111" s="184"/>
      <c r="L111" s="203" t="s">
        <v>1107</v>
      </c>
      <c r="M111" s="184" t="s">
        <v>1156</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990</v>
      </c>
      <c r="F113" s="182"/>
      <c r="G113" s="181"/>
      <c r="H113" s="182"/>
      <c r="I113" s="183"/>
      <c r="J113" s="184" t="s">
        <v>1157</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1126</v>
      </c>
      <c r="M114" s="186" t="s">
        <v>678</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593</v>
      </c>
      <c r="H115" s="170"/>
      <c r="I115" s="190"/>
      <c r="J115" s="191"/>
      <c r="K115" s="191"/>
      <c r="L115" s="191" t="s">
        <v>1126</v>
      </c>
      <c r="M115" s="186" t="s">
        <v>678</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749</v>
      </c>
      <c r="L116" s="191" t="s">
        <v>1128</v>
      </c>
      <c r="M116" s="186" t="s">
        <v>1159</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1130</v>
      </c>
      <c r="M117" s="186" t="s">
        <v>1131</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1065</v>
      </c>
      <c r="M118" s="186" t="s">
        <v>748</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1065</v>
      </c>
      <c r="M119" s="186" t="s">
        <v>748</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1065</v>
      </c>
      <c r="M120" s="186" t="s">
        <v>748</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1065</v>
      </c>
      <c r="M121" s="186" t="s">
        <v>748</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1065</v>
      </c>
      <c r="M122" s="186" t="s">
        <v>748</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1065</v>
      </c>
      <c r="M123" s="186" t="s">
        <v>748</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1065</v>
      </c>
      <c r="M124" s="193" t="s">
        <v>748</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770</v>
      </c>
      <c r="E125" s="407" t="s">
        <v>1012</v>
      </c>
      <c r="F125" s="182"/>
      <c r="G125" s="181"/>
      <c r="H125" s="182"/>
      <c r="I125" s="183"/>
      <c r="J125" s="184"/>
      <c r="K125" s="184"/>
      <c r="L125" s="203" t="s">
        <v>1107</v>
      </c>
      <c r="M125" s="184" t="s">
        <v>1156</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1014</v>
      </c>
      <c r="F126" s="170"/>
      <c r="G126" s="189"/>
      <c r="H126" s="170"/>
      <c r="I126" s="190"/>
      <c r="J126" s="191" t="s">
        <v>1127</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1126</v>
      </c>
      <c r="M127" s="186" t="s">
        <v>678</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593</v>
      </c>
      <c r="H128" s="170"/>
      <c r="I128" s="190"/>
      <c r="J128" s="191"/>
      <c r="K128" s="191"/>
      <c r="L128" s="191" t="s">
        <v>1126</v>
      </c>
      <c r="M128" s="186" t="s">
        <v>678</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749</v>
      </c>
      <c r="L129" s="191" t="s">
        <v>1128</v>
      </c>
      <c r="M129" s="186" t="s">
        <v>1159</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1130</v>
      </c>
      <c r="M130" s="186" t="s">
        <v>1131</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1065</v>
      </c>
      <c r="M131" s="186" t="s">
        <v>748</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1065</v>
      </c>
      <c r="M132" s="186" t="s">
        <v>748</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1065</v>
      </c>
      <c r="M133" s="186" t="s">
        <v>748</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1065</v>
      </c>
      <c r="M134" s="186" t="s">
        <v>748</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1065</v>
      </c>
      <c r="M135" s="186" t="s">
        <v>748</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1065</v>
      </c>
      <c r="M136" s="186" t="s">
        <v>748</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1065</v>
      </c>
      <c r="M137" s="193" t="s">
        <v>748</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771</v>
      </c>
      <c r="E138" s="407" t="s">
        <v>1033</v>
      </c>
      <c r="F138" s="182"/>
      <c r="G138" s="181"/>
      <c r="H138" s="182"/>
      <c r="I138" s="183"/>
      <c r="J138" s="184"/>
      <c r="K138" s="184"/>
      <c r="L138" s="203" t="s">
        <v>1107</v>
      </c>
      <c r="M138" s="184" t="s">
        <v>1156</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1126</v>
      </c>
      <c r="M139" s="186" t="s">
        <v>678</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593</v>
      </c>
      <c r="H140" s="170"/>
      <c r="I140" s="190"/>
      <c r="J140" s="191"/>
      <c r="K140" s="191"/>
      <c r="L140" s="191" t="s">
        <v>1126</v>
      </c>
      <c r="M140" s="186" t="s">
        <v>678</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749</v>
      </c>
      <c r="L141" s="191" t="s">
        <v>1128</v>
      </c>
      <c r="M141" s="186" t="s">
        <v>1159</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1130</v>
      </c>
      <c r="M142" s="186" t="s">
        <v>1131</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1065</v>
      </c>
      <c r="M143" s="186" t="s">
        <v>748</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1065</v>
      </c>
      <c r="M144" s="186" t="s">
        <v>748</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1065</v>
      </c>
      <c r="M145" s="186" t="s">
        <v>748</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1065</v>
      </c>
      <c r="M146" s="186" t="s">
        <v>748</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1065</v>
      </c>
      <c r="M147" s="186" t="s">
        <v>748</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1065</v>
      </c>
      <c r="M148" s="186" t="s">
        <v>748</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1065</v>
      </c>
      <c r="M149" s="193" t="s">
        <v>748</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772</v>
      </c>
      <c r="E150" s="407" t="s">
        <v>988</v>
      </c>
      <c r="F150" s="182"/>
      <c r="G150" s="181"/>
      <c r="H150" s="182"/>
      <c r="I150" s="183"/>
      <c r="J150" s="184"/>
      <c r="K150" s="184"/>
      <c r="L150" s="203" t="s">
        <v>1107</v>
      </c>
      <c r="M150" s="184" t="s">
        <v>1156</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990</v>
      </c>
      <c r="F152" s="182"/>
      <c r="G152" s="181"/>
      <c r="H152" s="182"/>
      <c r="I152" s="183"/>
      <c r="J152" s="184" t="s">
        <v>1157</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1126</v>
      </c>
      <c r="M153" s="186" t="s">
        <v>678</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593</v>
      </c>
      <c r="H154" s="170"/>
      <c r="I154" s="190"/>
      <c r="J154" s="191"/>
      <c r="K154" s="191"/>
      <c r="L154" s="191" t="s">
        <v>1126</v>
      </c>
      <c r="M154" s="186" t="s">
        <v>678</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749</v>
      </c>
      <c r="L155" s="191" t="s">
        <v>1128</v>
      </c>
      <c r="M155" s="186" t="s">
        <v>1159</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1130</v>
      </c>
      <c r="M156" s="186" t="s">
        <v>1131</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1065</v>
      </c>
      <c r="M157" s="186" t="s">
        <v>748</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1065</v>
      </c>
      <c r="M158" s="186" t="s">
        <v>748</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1065</v>
      </c>
      <c r="M159" s="186" t="s">
        <v>748</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1065</v>
      </c>
      <c r="M160" s="186" t="s">
        <v>748</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1065</v>
      </c>
      <c r="M161" s="186" t="s">
        <v>748</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1065</v>
      </c>
      <c r="M162" s="186" t="s">
        <v>748</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1065</v>
      </c>
      <c r="M163" s="193" t="s">
        <v>748</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773</v>
      </c>
      <c r="E164" s="407" t="s">
        <v>1012</v>
      </c>
      <c r="F164" s="182"/>
      <c r="G164" s="181"/>
      <c r="H164" s="182"/>
      <c r="I164" s="183"/>
      <c r="J164" s="184"/>
      <c r="K164" s="184"/>
      <c r="L164" s="203" t="s">
        <v>1107</v>
      </c>
      <c r="M164" s="184" t="s">
        <v>1156</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1014</v>
      </c>
      <c r="F165" s="170"/>
      <c r="G165" s="189"/>
      <c r="H165" s="170"/>
      <c r="I165" s="190"/>
      <c r="J165" s="191" t="s">
        <v>1127</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1126</v>
      </c>
      <c r="M166" s="186" t="s">
        <v>678</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593</v>
      </c>
      <c r="H167" s="170"/>
      <c r="I167" s="190"/>
      <c r="J167" s="191"/>
      <c r="K167" s="191"/>
      <c r="L167" s="191" t="s">
        <v>1126</v>
      </c>
      <c r="M167" s="186" t="s">
        <v>678</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749</v>
      </c>
      <c r="L168" s="191" t="s">
        <v>1128</v>
      </c>
      <c r="M168" s="186" t="s">
        <v>1159</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1130</v>
      </c>
      <c r="M169" s="186" t="s">
        <v>1131</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1065</v>
      </c>
      <c r="M170" s="186" t="s">
        <v>748</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1065</v>
      </c>
      <c r="M171" s="186" t="s">
        <v>748</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1065</v>
      </c>
      <c r="M172" s="186" t="s">
        <v>748</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1065</v>
      </c>
      <c r="M173" s="186" t="s">
        <v>748</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1065</v>
      </c>
      <c r="M174" s="186" t="s">
        <v>748</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1065</v>
      </c>
      <c r="M175" s="186" t="s">
        <v>748</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1065</v>
      </c>
      <c r="M176" s="193" t="s">
        <v>748</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1152</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1167</v>
      </c>
      <c r="C180" s="26"/>
      <c r="I180" s="36"/>
      <c r="L180" s="440"/>
      <c r="M180" s="473" t="s">
        <v>1154</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1052</v>
      </c>
    </row>
    <row r="183" spans="1:64" s="22" customFormat="1" x14ac:dyDescent="0.3">
      <c r="A183" s="35"/>
      <c r="B183" s="52" t="s">
        <v>1053</v>
      </c>
      <c r="C183" s="26" t="s">
        <v>104</v>
      </c>
      <c r="D183" s="26" t="s">
        <v>1054</v>
      </c>
      <c r="E183" s="26" t="s">
        <v>673</v>
      </c>
      <c r="F183" s="26" t="s">
        <v>1155</v>
      </c>
      <c r="G183" s="26" t="s">
        <v>674</v>
      </c>
      <c r="H183" s="26" t="s">
        <v>1055</v>
      </c>
      <c r="I183" s="53" t="s">
        <v>1056</v>
      </c>
      <c r="J183" s="26" t="s">
        <v>982</v>
      </c>
      <c r="K183" s="42" t="s">
        <v>1123</v>
      </c>
      <c r="L183" s="26" t="s">
        <v>1057</v>
      </c>
      <c r="M183" s="26" t="s">
        <v>1058</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1062</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1124</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752</v>
      </c>
      <c r="E185" s="407" t="s">
        <v>988</v>
      </c>
      <c r="F185" s="182"/>
      <c r="G185" s="181"/>
      <c r="H185" s="182"/>
      <c r="I185" s="183"/>
      <c r="J185" s="184"/>
      <c r="K185" s="184"/>
      <c r="L185" s="203" t="s">
        <v>1107</v>
      </c>
      <c r="M185" s="184" t="s">
        <v>1156</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1126</v>
      </c>
      <c r="M186" s="178" t="s">
        <v>678</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590</v>
      </c>
      <c r="H187" s="182"/>
      <c r="I187" s="183"/>
      <c r="J187" s="184"/>
      <c r="K187" s="184"/>
      <c r="L187" s="184" t="s">
        <v>1126</v>
      </c>
      <c r="M187" s="178" t="s">
        <v>678</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749</v>
      </c>
      <c r="L188" s="184" t="s">
        <v>1128</v>
      </c>
      <c r="M188" s="178" t="s">
        <v>1119</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1130</v>
      </c>
      <c r="M189" s="178" t="s">
        <v>1131</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1065</v>
      </c>
      <c r="M190" s="178" t="s">
        <v>748</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1065</v>
      </c>
      <c r="M191" s="178" t="s">
        <v>748</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1065</v>
      </c>
      <c r="M192" s="178" t="s">
        <v>748</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1065</v>
      </c>
      <c r="M193" s="178" t="s">
        <v>748</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1065</v>
      </c>
      <c r="M194" s="178" t="s">
        <v>748</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1065</v>
      </c>
      <c r="M195" s="178" t="s">
        <v>748</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1065</v>
      </c>
      <c r="M196" s="204" t="s">
        <v>748</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753</v>
      </c>
      <c r="E197" s="407" t="s">
        <v>988</v>
      </c>
      <c r="F197" s="182"/>
      <c r="G197" s="181"/>
      <c r="H197" s="182"/>
      <c r="I197" s="183"/>
      <c r="J197" s="184"/>
      <c r="K197" s="184"/>
      <c r="L197" s="203" t="s">
        <v>1107</v>
      </c>
      <c r="M197" s="184" t="s">
        <v>1156</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1157</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990</v>
      </c>
      <c r="F199" s="182"/>
      <c r="G199" s="181"/>
      <c r="H199" s="182"/>
      <c r="I199" s="183"/>
      <c r="J199" s="184" t="s">
        <v>1157</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1126</v>
      </c>
      <c r="M200" s="178" t="s">
        <v>678</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590</v>
      </c>
      <c r="H201" s="182"/>
      <c r="I201" s="183"/>
      <c r="J201" s="184"/>
      <c r="K201" s="184"/>
      <c r="L201" s="184" t="s">
        <v>1126</v>
      </c>
      <c r="M201" s="178" t="s">
        <v>678</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749</v>
      </c>
      <c r="L202" s="184" t="s">
        <v>1128</v>
      </c>
      <c r="M202" s="178" t="s">
        <v>1119</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1130</v>
      </c>
      <c r="M203" s="178" t="s">
        <v>1131</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1065</v>
      </c>
      <c r="M204" s="178" t="s">
        <v>748</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1065</v>
      </c>
      <c r="M205" s="178" t="s">
        <v>748</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1065</v>
      </c>
      <c r="M206" s="178" t="s">
        <v>748</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1065</v>
      </c>
      <c r="M207" s="178" t="s">
        <v>748</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1065</v>
      </c>
      <c r="M208" s="178" t="s">
        <v>748</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1065</v>
      </c>
      <c r="M209" s="178" t="s">
        <v>748</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1065</v>
      </c>
      <c r="M210" s="204" t="s">
        <v>748</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754</v>
      </c>
      <c r="E211" s="407" t="s">
        <v>683</v>
      </c>
      <c r="F211" s="182"/>
      <c r="G211" s="181"/>
      <c r="H211" s="182"/>
      <c r="I211" s="183"/>
      <c r="J211" s="184"/>
      <c r="K211" s="184"/>
      <c r="L211" s="203" t="s">
        <v>1107</v>
      </c>
      <c r="M211" s="184" t="s">
        <v>1156</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1126</v>
      </c>
      <c r="M212" s="178" t="s">
        <v>678</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590</v>
      </c>
      <c r="H213" s="182"/>
      <c r="I213" s="183"/>
      <c r="J213" s="184"/>
      <c r="K213" s="184"/>
      <c r="L213" s="184" t="s">
        <v>1126</v>
      </c>
      <c r="M213" s="178" t="s">
        <v>678</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749</v>
      </c>
      <c r="L214" s="184" t="s">
        <v>1128</v>
      </c>
      <c r="M214" s="186" t="s">
        <v>1159</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1130</v>
      </c>
      <c r="M215" s="178" t="s">
        <v>1131</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1065</v>
      </c>
      <c r="M216" s="178" t="s">
        <v>748</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1065</v>
      </c>
      <c r="M217" s="178" t="s">
        <v>748</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1065</v>
      </c>
      <c r="M218" s="178" t="s">
        <v>748</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1065</v>
      </c>
      <c r="M219" s="178" t="s">
        <v>748</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1065</v>
      </c>
      <c r="M220" s="178" t="s">
        <v>748</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1065</v>
      </c>
      <c r="M221" s="178" t="s">
        <v>748</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1065</v>
      </c>
      <c r="M222" s="204" t="s">
        <v>748</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755</v>
      </c>
      <c r="E223" s="180" t="s">
        <v>1010</v>
      </c>
      <c r="F223" s="182"/>
      <c r="G223" s="181"/>
      <c r="H223" s="182"/>
      <c r="I223" s="183"/>
      <c r="J223" s="184"/>
      <c r="K223" s="184"/>
      <c r="L223" s="203" t="s">
        <v>1107</v>
      </c>
      <c r="M223" s="184" t="s">
        <v>1156</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1126</v>
      </c>
      <c r="M224" s="178" t="s">
        <v>678</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590</v>
      </c>
      <c r="H225" s="182"/>
      <c r="I225" s="183"/>
      <c r="J225" s="184"/>
      <c r="K225" s="184"/>
      <c r="L225" s="184" t="s">
        <v>1126</v>
      </c>
      <c r="M225" s="178" t="s">
        <v>678</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749</v>
      </c>
      <c r="L226" s="184" t="s">
        <v>1128</v>
      </c>
      <c r="M226" s="178" t="s">
        <v>1119</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1130</v>
      </c>
      <c r="M227" s="178" t="s">
        <v>1131</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1065</v>
      </c>
      <c r="M228" s="178" t="s">
        <v>748</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1065</v>
      </c>
      <c r="M229" s="178" t="s">
        <v>748</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1065</v>
      </c>
      <c r="M230" s="178" t="s">
        <v>748</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1065</v>
      </c>
      <c r="M231" s="178" t="s">
        <v>748</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1065</v>
      </c>
      <c r="M232" s="178" t="s">
        <v>748</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1065</v>
      </c>
      <c r="M233" s="178" t="s">
        <v>748</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1065</v>
      </c>
      <c r="M234" s="204" t="s">
        <v>748</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756</v>
      </c>
      <c r="E235" s="180" t="s">
        <v>994</v>
      </c>
      <c r="F235" s="182"/>
      <c r="G235" s="181"/>
      <c r="H235" s="182"/>
      <c r="I235" s="183"/>
      <c r="J235" s="184"/>
      <c r="K235" s="184"/>
      <c r="L235" s="203" t="s">
        <v>1107</v>
      </c>
      <c r="M235" s="184" t="s">
        <v>1156</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1039</v>
      </c>
      <c r="F236" s="182"/>
      <c r="G236" s="181"/>
      <c r="H236" s="182"/>
      <c r="I236" s="183"/>
      <c r="J236" s="184" t="s">
        <v>1157</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1126</v>
      </c>
      <c r="M237" s="178" t="s">
        <v>678</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590</v>
      </c>
      <c r="H238" s="182"/>
      <c r="I238" s="183"/>
      <c r="J238" s="184"/>
      <c r="K238" s="184"/>
      <c r="L238" s="184" t="s">
        <v>1126</v>
      </c>
      <c r="M238" s="178" t="s">
        <v>678</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749</v>
      </c>
      <c r="L239" s="184" t="s">
        <v>1128</v>
      </c>
      <c r="M239" s="178" t="s">
        <v>1119</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1130</v>
      </c>
      <c r="M240" s="178" t="s">
        <v>1131</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1065</v>
      </c>
      <c r="M241" s="178" t="s">
        <v>748</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1065</v>
      </c>
      <c r="M242" s="178" t="s">
        <v>748</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1065</v>
      </c>
      <c r="M243" s="178" t="s">
        <v>748</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1065</v>
      </c>
      <c r="M244" s="178" t="s">
        <v>748</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1065</v>
      </c>
      <c r="M245" s="178" t="s">
        <v>748</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1065</v>
      </c>
      <c r="M246" s="178" t="s">
        <v>748</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1065</v>
      </c>
      <c r="M247" s="204" t="s">
        <v>748</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757</v>
      </c>
      <c r="E248" s="180" t="s">
        <v>1012</v>
      </c>
      <c r="F248" s="182"/>
      <c r="G248" s="181"/>
      <c r="H248" s="182"/>
      <c r="I248" s="183"/>
      <c r="J248" s="184"/>
      <c r="K248" s="184"/>
      <c r="L248" s="203" t="s">
        <v>1107</v>
      </c>
      <c r="M248" s="184" t="s">
        <v>1156</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1014</v>
      </c>
      <c r="F249" s="170"/>
      <c r="G249" s="189"/>
      <c r="H249" s="170"/>
      <c r="I249" s="190"/>
      <c r="J249" s="191" t="s">
        <v>1127</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1126</v>
      </c>
      <c r="M250" s="186" t="s">
        <v>678</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590</v>
      </c>
      <c r="H251" s="170"/>
      <c r="I251" s="190"/>
      <c r="J251" s="191"/>
      <c r="K251" s="191"/>
      <c r="L251" s="191" t="s">
        <v>1126</v>
      </c>
      <c r="M251" s="186" t="s">
        <v>678</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749</v>
      </c>
      <c r="L252" s="191" t="s">
        <v>1128</v>
      </c>
      <c r="M252" s="186" t="s">
        <v>1119</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1130</v>
      </c>
      <c r="M253" s="186" t="s">
        <v>1131</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1065</v>
      </c>
      <c r="M254" s="186" t="s">
        <v>748</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1065</v>
      </c>
      <c r="M255" s="186" t="s">
        <v>748</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1065</v>
      </c>
      <c r="M256" s="186" t="s">
        <v>748</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1065</v>
      </c>
      <c r="M257" s="186" t="s">
        <v>748</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1065</v>
      </c>
      <c r="M258" s="186" t="s">
        <v>748</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1065</v>
      </c>
      <c r="M259" s="186" t="s">
        <v>748</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1065</v>
      </c>
      <c r="M260" s="193" t="s">
        <v>748</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758</v>
      </c>
      <c r="E261" s="258" t="s">
        <v>988</v>
      </c>
      <c r="F261" s="182"/>
      <c r="G261" s="181"/>
      <c r="H261" s="182"/>
      <c r="I261" s="183"/>
      <c r="J261" s="184"/>
      <c r="K261" s="184"/>
      <c r="L261" s="203" t="s">
        <v>1107</v>
      </c>
      <c r="M261" s="184" t="s">
        <v>1156</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990</v>
      </c>
      <c r="F263" s="182"/>
      <c r="G263" s="181"/>
      <c r="H263" s="182"/>
      <c r="I263" s="183"/>
      <c r="J263" s="184" t="s">
        <v>1157</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1126</v>
      </c>
      <c r="M264" s="186" t="s">
        <v>678</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590</v>
      </c>
      <c r="H265" s="170"/>
      <c r="I265" s="190"/>
      <c r="J265" s="191"/>
      <c r="K265" s="191"/>
      <c r="L265" s="191" t="s">
        <v>1126</v>
      </c>
      <c r="M265" s="186" t="s">
        <v>678</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749</v>
      </c>
      <c r="L266" s="191" t="s">
        <v>1128</v>
      </c>
      <c r="M266" s="186" t="s">
        <v>1159</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1130</v>
      </c>
      <c r="M267" s="186" t="s">
        <v>1131</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1065</v>
      </c>
      <c r="M268" s="186" t="s">
        <v>748</v>
      </c>
      <c r="N268" s="687">
        <f>LOOKUP($C$261, T_Stock_Private!$C$74:$C$84, T_Stock_Private!D$74:D$84)*(1+N180)</f>
        <v>0</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1065</v>
      </c>
      <c r="M269" s="186" t="s">
        <v>748</v>
      </c>
      <c r="N269" s="687">
        <f t="shared" ref="N269:AB269" si="308">N268*LOOKUP($AD261,$AG$4:$AP$4,$AG$5:$AP$5)</f>
        <v>0</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1065</v>
      </c>
      <c r="M270" s="186" t="s">
        <v>748</v>
      </c>
      <c r="N270" s="687">
        <f t="shared" ref="N270:AB270" si="309">N268*LOOKUP($AD261,$AG$4:$AP$4,$AG$6:$AP$6)</f>
        <v>0</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1065</v>
      </c>
      <c r="M271" s="186" t="s">
        <v>748</v>
      </c>
      <c r="N271" s="687">
        <f t="shared" ref="N271:AB271" si="310">N268*LOOKUP($AD261,$AG$4:$AP$4,$AG$7:$AP$7)</f>
        <v>0</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1065</v>
      </c>
      <c r="M272" s="186" t="s">
        <v>748</v>
      </c>
      <c r="N272" s="687">
        <f t="shared" ref="N272:AB272" si="311">N268*LOOKUP($AD261,$AG$4:$AP$4,$AG$8:$AP$8)</f>
        <v>0</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1065</v>
      </c>
      <c r="M273" s="186" t="s">
        <v>748</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1065</v>
      </c>
      <c r="M274" s="193" t="s">
        <v>748</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759</v>
      </c>
      <c r="E275" s="407" t="s">
        <v>1012</v>
      </c>
      <c r="F275" s="182"/>
      <c r="G275" s="181"/>
      <c r="H275" s="182"/>
      <c r="I275" s="183"/>
      <c r="J275" s="184"/>
      <c r="K275" s="184"/>
      <c r="L275" s="203" t="s">
        <v>1107</v>
      </c>
      <c r="M275" s="184" t="s">
        <v>1156</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1014</v>
      </c>
      <c r="F276" s="170"/>
      <c r="G276" s="189"/>
      <c r="H276" s="170"/>
      <c r="I276" s="190"/>
      <c r="J276" s="191" t="s">
        <v>1127</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1126</v>
      </c>
      <c r="M277" s="186" t="s">
        <v>678</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590</v>
      </c>
      <c r="H278" s="170"/>
      <c r="I278" s="190"/>
      <c r="J278" s="191"/>
      <c r="K278" s="191"/>
      <c r="L278" s="191" t="s">
        <v>1126</v>
      </c>
      <c r="M278" s="186" t="s">
        <v>678</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749</v>
      </c>
      <c r="L279" s="191" t="s">
        <v>1128</v>
      </c>
      <c r="M279" s="186" t="s">
        <v>1159</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1130</v>
      </c>
      <c r="M280" s="186" t="s">
        <v>1131</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1065</v>
      </c>
      <c r="M281" s="186" t="s">
        <v>748</v>
      </c>
      <c r="N281" s="687">
        <f>LOOKUP($C$275, T_Stock_Private!$C$74:$C$84, T_Stock_Private!D$74:D$84)*(1+N180)</f>
        <v>0</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1065</v>
      </c>
      <c r="M282" s="186" t="s">
        <v>748</v>
      </c>
      <c r="N282" s="687">
        <f t="shared" ref="N282:AB282" si="321">N281*LOOKUP($AD275,$AG$4:$AP$4,$AG$5:$AP$5)</f>
        <v>0</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1065</v>
      </c>
      <c r="M283" s="186" t="s">
        <v>748</v>
      </c>
      <c r="N283" s="687">
        <f t="shared" ref="N283:AB283" si="322">N281*LOOKUP($AD275,$AG$4:$AP$4,$AG$6:$AP$6)</f>
        <v>0</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1065</v>
      </c>
      <c r="M284" s="186" t="s">
        <v>748</v>
      </c>
      <c r="N284" s="687">
        <f t="shared" ref="N284:AB284" si="323">N281*LOOKUP($AD275,$AG$4:$AP$4,$AG$7:$AP$7)</f>
        <v>0</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1065</v>
      </c>
      <c r="M285" s="186" t="s">
        <v>748</v>
      </c>
      <c r="N285" s="687">
        <f t="shared" ref="N285:AB285" si="324">N281*LOOKUP($AD275,$AG$4:$AP$4,$AG$8:$AP$8)</f>
        <v>0</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1065</v>
      </c>
      <c r="M286" s="186" t="s">
        <v>748</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1065</v>
      </c>
      <c r="M287" s="193" t="s">
        <v>748</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760</v>
      </c>
      <c r="E288" s="407" t="s">
        <v>1033</v>
      </c>
      <c r="F288" s="182"/>
      <c r="G288" s="181"/>
      <c r="H288" s="182"/>
      <c r="I288" s="183"/>
      <c r="J288" s="184"/>
      <c r="K288" s="184"/>
      <c r="L288" s="203" t="s">
        <v>1107</v>
      </c>
      <c r="M288" s="184" t="s">
        <v>1156</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1126</v>
      </c>
      <c r="M289" s="186" t="s">
        <v>678</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590</v>
      </c>
      <c r="H290" s="170"/>
      <c r="I290" s="190"/>
      <c r="J290" s="191"/>
      <c r="K290" s="191"/>
      <c r="L290" s="191" t="s">
        <v>1126</v>
      </c>
      <c r="M290" s="186" t="s">
        <v>678</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749</v>
      </c>
      <c r="L291" s="191" t="s">
        <v>1128</v>
      </c>
      <c r="M291" s="186" t="s">
        <v>1159</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1130</v>
      </c>
      <c r="M292" s="186" t="s">
        <v>1131</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1065</v>
      </c>
      <c r="M293" s="186" t="s">
        <v>748</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1065</v>
      </c>
      <c r="M294" s="186" t="s">
        <v>748</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1065</v>
      </c>
      <c r="M295" s="186" t="s">
        <v>748</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1065</v>
      </c>
      <c r="M296" s="186" t="s">
        <v>748</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1065</v>
      </c>
      <c r="M297" s="186" t="s">
        <v>748</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1065</v>
      </c>
      <c r="M298" s="186" t="s">
        <v>748</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1065</v>
      </c>
      <c r="M299" s="193" t="s">
        <v>748</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761</v>
      </c>
      <c r="E300" s="407" t="s">
        <v>988</v>
      </c>
      <c r="F300" s="182"/>
      <c r="G300" s="181"/>
      <c r="H300" s="182"/>
      <c r="I300" s="183"/>
      <c r="J300" s="184"/>
      <c r="K300" s="184"/>
      <c r="L300" s="203" t="s">
        <v>1107</v>
      </c>
      <c r="M300" s="184" t="s">
        <v>1156</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990</v>
      </c>
      <c r="F302" s="182"/>
      <c r="G302" s="181"/>
      <c r="H302" s="182"/>
      <c r="I302" s="183"/>
      <c r="J302" s="184" t="s">
        <v>1157</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1126</v>
      </c>
      <c r="M303" s="186" t="s">
        <v>678</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590</v>
      </c>
      <c r="H304" s="170"/>
      <c r="I304" s="190"/>
      <c r="J304" s="191"/>
      <c r="K304" s="191"/>
      <c r="L304" s="191" t="s">
        <v>1126</v>
      </c>
      <c r="M304" s="186" t="s">
        <v>678</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749</v>
      </c>
      <c r="L305" s="191" t="s">
        <v>1128</v>
      </c>
      <c r="M305" s="186" t="s">
        <v>1159</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1130</v>
      </c>
      <c r="M306" s="186" t="s">
        <v>1131</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1065</v>
      </c>
      <c r="M307" s="186" t="s">
        <v>748</v>
      </c>
      <c r="N307" s="687">
        <f>LOOKUP($C$300, T_Stock_Private!$C$74:$C$84, T_Stock_Private!D$74:D$84)*(1+N180)</f>
        <v>0</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1065</v>
      </c>
      <c r="M308" s="186" t="s">
        <v>748</v>
      </c>
      <c r="N308" s="687">
        <f t="shared" ref="N308:AB308" si="348">N307*LOOKUP($AD300,$AG$4:$AP$4,$AG$5:$AP$5)</f>
        <v>0</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1065</v>
      </c>
      <c r="M309" s="186" t="s">
        <v>748</v>
      </c>
      <c r="N309" s="687">
        <f t="shared" ref="N309:AB309" si="349">N307*LOOKUP($AD300,$AG$4:$AP$4,$AG$6:$AP$6)</f>
        <v>0</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1065</v>
      </c>
      <c r="M310" s="186" t="s">
        <v>748</v>
      </c>
      <c r="N310" s="687">
        <f t="shared" ref="N310:AB310" si="350">N307*LOOKUP($AD300,$AG$4:$AP$4,$AG$7:$AP$7)</f>
        <v>0</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1065</v>
      </c>
      <c r="M311" s="186" t="s">
        <v>748</v>
      </c>
      <c r="N311" s="687">
        <f t="shared" ref="N311:AB311" si="351">N307*LOOKUP($AD300,$AG$4:$AP$4,$AG$8:$AP$8)</f>
        <v>0</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1065</v>
      </c>
      <c r="M312" s="186" t="s">
        <v>748</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1065</v>
      </c>
      <c r="M313" s="193" t="s">
        <v>748</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762</v>
      </c>
      <c r="E314" s="407" t="s">
        <v>1012</v>
      </c>
      <c r="F314" s="182"/>
      <c r="G314" s="181"/>
      <c r="H314" s="182"/>
      <c r="I314" s="183"/>
      <c r="J314" s="184"/>
      <c r="K314" s="184"/>
      <c r="L314" s="203" t="s">
        <v>1107</v>
      </c>
      <c r="M314" s="184" t="s">
        <v>1156</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1014</v>
      </c>
      <c r="F315" s="170"/>
      <c r="G315" s="189"/>
      <c r="H315" s="170"/>
      <c r="I315" s="190"/>
      <c r="J315" s="191" t="s">
        <v>1127</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1126</v>
      </c>
      <c r="M316" s="186" t="s">
        <v>678</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590</v>
      </c>
      <c r="H317" s="170"/>
      <c r="I317" s="190"/>
      <c r="J317" s="191"/>
      <c r="K317" s="191"/>
      <c r="L317" s="191" t="s">
        <v>1126</v>
      </c>
      <c r="M317" s="186" t="s">
        <v>678</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749</v>
      </c>
      <c r="L318" s="191" t="s">
        <v>1128</v>
      </c>
      <c r="M318" s="186" t="s">
        <v>1159</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1130</v>
      </c>
      <c r="M319" s="186" t="s">
        <v>1131</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1065</v>
      </c>
      <c r="M320" s="186" t="s">
        <v>748</v>
      </c>
      <c r="N320" s="687">
        <f>LOOKUP($C$314, T_Stock_Private!$C$74:$C$84, T_Stock_Private!D$74:D$84)*(1+N180)</f>
        <v>0</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1065</v>
      </c>
      <c r="M321" s="186" t="s">
        <v>748</v>
      </c>
      <c r="N321" s="687">
        <f t="shared" ref="N321:AB321" si="361">N320*LOOKUP($AD314,$AG$4:$AP$4,$AG$5:$AP$5)</f>
        <v>0</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1065</v>
      </c>
      <c r="M322" s="186" t="s">
        <v>748</v>
      </c>
      <c r="N322" s="687">
        <f t="shared" ref="N322:AB322" si="362">N320*LOOKUP($AD314,$AG$4:$AP$4,$AG$6:$AP$6)</f>
        <v>0</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1065</v>
      </c>
      <c r="M323" s="186" t="s">
        <v>748</v>
      </c>
      <c r="N323" s="687">
        <f t="shared" ref="N323:AB323" si="363">N320*LOOKUP($AD314,$AG$4:$AP$4,$AG$7:$AP$7)</f>
        <v>0</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1065</v>
      </c>
      <c r="M324" s="186" t="s">
        <v>748</v>
      </c>
      <c r="N324" s="687">
        <f t="shared" ref="N324:AB324" si="364">N320*LOOKUP($AD314,$AG$4:$AP$4,$AG$8:$AP$8)</f>
        <v>0</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1065</v>
      </c>
      <c r="M325" s="186" t="s">
        <v>748</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1065</v>
      </c>
      <c r="M326" s="193" t="s">
        <v>748</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F1" zoomScale="75" zoomScaleNormal="75" workbookViewId="0">
      <selection activeCell="AV11" sqref="AV11:AV29"/>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1111</v>
      </c>
    </row>
    <row r="2" spans="1:64" ht="19.5" customHeight="1" x14ac:dyDescent="0.3">
      <c r="A2" s="22" t="s">
        <v>1168</v>
      </c>
      <c r="B2" s="148" t="s">
        <v>1169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1142</v>
      </c>
      <c r="AG3" s="38"/>
      <c r="AH3" s="38" t="s">
        <v>1170</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1162</v>
      </c>
      <c r="AI4" s="38" t="s">
        <v>1143</v>
      </c>
      <c r="AJ4" s="38" t="s">
        <v>1007</v>
      </c>
      <c r="AK4" s="38" t="s">
        <v>1144</v>
      </c>
      <c r="AL4" s="38" t="s">
        <v>1145</v>
      </c>
      <c r="AM4" s="38" t="s">
        <v>1146</v>
      </c>
      <c r="AN4" s="406" t="s">
        <v>1163</v>
      </c>
      <c r="AO4" s="38" t="s">
        <v>115</v>
      </c>
      <c r="AP4" s="406" t="s">
        <v>1164</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1051</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980</v>
      </c>
      <c r="J8" s="42" t="s">
        <v>1113</v>
      </c>
      <c r="K8" s="42" t="s">
        <v>1114</v>
      </c>
      <c r="L8" s="42" t="s">
        <v>1057</v>
      </c>
      <c r="M8" s="43" t="s">
        <v>1058</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1052</v>
      </c>
      <c r="AW8" s="22"/>
      <c r="AX8" s="22"/>
      <c r="AY8" s="22"/>
      <c r="AZ8" s="22"/>
      <c r="BA8" s="22"/>
      <c r="BB8" s="22"/>
      <c r="BC8" s="22"/>
      <c r="BD8" s="22"/>
      <c r="BE8" s="22"/>
      <c r="BF8" s="22"/>
      <c r="BG8" s="22"/>
      <c r="BH8" s="22"/>
      <c r="BI8" s="22"/>
      <c r="BJ8" s="22"/>
      <c r="BK8" s="22"/>
      <c r="BL8" s="22"/>
    </row>
    <row r="9" spans="1:64" s="33" customFormat="1" x14ac:dyDescent="0.3">
      <c r="H9" s="35"/>
      <c r="I9" s="171" t="s">
        <v>1115</v>
      </c>
      <c r="J9" s="171" t="s">
        <v>1116</v>
      </c>
      <c r="K9" s="171" t="s">
        <v>1117</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1118</v>
      </c>
      <c r="M10" s="173" t="s">
        <v>633</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12832.228588764458</v>
      </c>
      <c r="AX10" s="718">
        <f t="shared" ref="AX10:BL10" si="6">SUM(AX11:AX29)</f>
        <v>12832.228588764458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1118</v>
      </c>
      <c r="M11" s="173" t="s">
        <v>633</v>
      </c>
      <c r="N11" s="165">
        <f>SUMIF(DEMAND_Pkm_Tkm!$C$48:$C$71, $I11, DEMAND_Pkm_Tkm!G$48:G$71)</f>
        <v>1511</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1511</v>
      </c>
      <c r="AF11" s="35"/>
      <c r="AG11" s="35"/>
      <c r="AH11" s="35"/>
      <c r="AI11" s="35"/>
      <c r="AJ11" s="35"/>
      <c r="AK11" s="35"/>
      <c r="AL11" s="35"/>
      <c r="AM11" s="35"/>
      <c r="AN11" s="35"/>
      <c r="AO11" s="35"/>
      <c r="AP11" s="35"/>
      <c r="AQ11" s="35"/>
      <c r="AR11" s="35"/>
      <c r="AS11" s="35"/>
      <c r="AV11" s="725" t="s">
        <v>988</v>
      </c>
      <c r="AW11" s="935">
        <f t="shared" si="5"/>
        <v>1812.1109573006756</v>
      </c>
      <c r="AX11" s="728">
        <f t="shared" ref="AX11:BL20" si="7">SUMIF($AV$38:$AV$481,$AV11,AX$38:AX$481)</f>
        <v>1812.1109573006756</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1118</v>
      </c>
      <c r="M12" s="173" t="s">
        <v>633</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990</v>
      </c>
      <c r="AW12" s="935">
        <f t="shared" si="5"/>
        <v>845.65178007364898</v>
      </c>
      <c r="AX12" s="728">
        <f t="shared" si="7"/>
        <v>845.65178007364898</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1118</v>
      </c>
      <c r="M13" s="173" t="s">
        <v>633</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994</v>
      </c>
      <c r="AW13" s="935">
        <f t="shared" si="5"/>
        <v>228.13960587511127</v>
      </c>
      <c r="AX13" s="728">
        <f t="shared" si="7"/>
        <v>228.13960587511127</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1118</v>
      </c>
      <c r="M14" s="173" t="s">
        <v>633</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996</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1118</v>
      </c>
      <c r="M15" s="173" t="s">
        <v>633</v>
      </c>
      <c r="N15" s="165">
        <f>SUMIF(DEMAND_Pkm_Tkm!$C$48:$C$71, $I15, DEMAND_Pkm_Tkm!G$48:G$71)</f>
        <v>3321</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4"/>
        <v>3321</v>
      </c>
      <c r="AF15" s="35"/>
      <c r="AG15" s="35"/>
      <c r="AH15" s="35"/>
      <c r="AI15" s="35"/>
      <c r="AJ15" s="35"/>
      <c r="AK15" s="35"/>
      <c r="AL15" s="35"/>
      <c r="AM15" s="35"/>
      <c r="AN15" s="35"/>
      <c r="AQ15" s="35"/>
      <c r="AR15" s="35"/>
      <c r="AS15" s="35"/>
      <c r="AV15" s="725" t="s">
        <v>998</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1118</v>
      </c>
      <c r="M16" s="173" t="s">
        <v>633</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1000</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1118</v>
      </c>
      <c r="M17" s="173" t="s">
        <v>633</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9422.9769779635153</v>
      </c>
      <c r="AX17" s="728">
        <f t="shared" si="7"/>
        <v>9422.9769779635153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1118</v>
      </c>
      <c r="M18" s="173" t="s">
        <v>633</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683</v>
      </c>
      <c r="AW18" s="935">
        <f t="shared" si="5"/>
        <v>20.229894203915453</v>
      </c>
      <c r="AX18" s="728">
        <f t="shared" si="7"/>
        <v>20.229894203915453</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1010</v>
      </c>
      <c r="AW19" s="935">
        <f t="shared" si="5"/>
        <v>19.219720963793808</v>
      </c>
      <c r="AX19" s="728">
        <f t="shared" si="7"/>
        <v>19.219720963793808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1171</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1012</v>
      </c>
      <c r="AW20" s="935">
        <f t="shared" si="5"/>
        <v>12.854525582634963</v>
      </c>
      <c r="AX20" s="728">
        <f t="shared" si="7"/>
        <v>12.854525582634963</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1172</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1014</v>
      </c>
      <c r="AW21" s="935">
        <f t="shared" si="5"/>
        <v>444.21752873241775</v>
      </c>
      <c r="AX21" s="728">
        <f t="shared" ref="AX21:BL29" si="9">SUMIF($AV$38:$AV$481,$AV21,AX$38:AX$481)</f>
        <v>444.21752873241775</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1173</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1016</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501</v>
      </c>
      <c r="N23" s="166">
        <f>T_ACTFLO!E28</f>
        <v>0.76</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1023</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504</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681</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506</v>
      </c>
      <c r="N25" s="166">
        <f>T_ACTFLO!E30</f>
        <v>8.61</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1029</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1031</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1033</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1035</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1039</v>
      </c>
      <c r="AW29" s="935">
        <f t="shared" si="5"/>
        <v>26.827598068742752</v>
      </c>
      <c r="AX29" s="728">
        <f t="shared" si="9"/>
        <v>26.827598068742752</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1152</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1177</v>
      </c>
      <c r="C41" s="88"/>
      <c r="D41" s="26"/>
      <c r="I41" s="36"/>
      <c r="M41" s="473" t="s">
        <v>1154</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-2.3326080496721691E-4</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1052</v>
      </c>
    </row>
    <row r="44" spans="1:64" s="22" customFormat="1" x14ac:dyDescent="0.3">
      <c r="A44" s="35"/>
      <c r="B44" s="52" t="s">
        <v>1053</v>
      </c>
      <c r="C44" s="26" t="s">
        <v>104</v>
      </c>
      <c r="D44" s="26" t="s">
        <v>1054</v>
      </c>
      <c r="E44" s="26" t="s">
        <v>673</v>
      </c>
      <c r="F44" s="26" t="s">
        <v>1155</v>
      </c>
      <c r="G44" s="26" t="s">
        <v>674</v>
      </c>
      <c r="H44" s="26" t="s">
        <v>1055</v>
      </c>
      <c r="I44" s="53" t="s">
        <v>1056</v>
      </c>
      <c r="J44" s="26" t="s">
        <v>982</v>
      </c>
      <c r="K44" s="42" t="s">
        <v>1123</v>
      </c>
      <c r="L44" s="26" t="s">
        <v>1057</v>
      </c>
      <c r="M44" s="26" t="s">
        <v>1058</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1062</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1124</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5317.2599769275648</v>
      </c>
      <c r="AX45" s="718">
        <f>SUM(AX46:AX182)</f>
        <v>5317.2599769275648</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804</v>
      </c>
      <c r="E46" s="407" t="s">
        <v>988</v>
      </c>
      <c r="F46" s="182"/>
      <c r="G46" s="181"/>
      <c r="H46" s="182"/>
      <c r="I46" s="183"/>
      <c r="J46" s="184"/>
      <c r="K46" s="184"/>
      <c r="L46" s="203" t="s">
        <v>1107</v>
      </c>
      <c r="M46" s="184" t="s">
        <v>1156</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1511.3525393099087</v>
      </c>
      <c r="AF46" s="586">
        <f>SUM(AF50:AF185)</f>
        <v>1511.3525393099087</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1126</v>
      </c>
      <c r="M47" s="184" t="s">
        <v>678</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1126</v>
      </c>
      <c r="M48" s="184" t="s">
        <v>678</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749</v>
      </c>
      <c r="L49" s="184" t="s">
        <v>1128</v>
      </c>
      <c r="M49" s="184" t="s">
        <v>1175</v>
      </c>
      <c r="N49" s="388">
        <f>N$23</f>
        <v>0.76</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1130</v>
      </c>
      <c r="M50" s="184" t="s">
        <v>1131</v>
      </c>
      <c r="N50" s="397">
        <f>LOOKUP($C$46, T_NCAP_AF!$C$125:$C$135, T_NCAP_AF!D$125:D$135)*(1+N40)</f>
        <v>0</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1065</v>
      </c>
      <c r="M51" s="184" t="s">
        <v>748</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1065</v>
      </c>
      <c r="M52" s="184" t="s">
        <v>748</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1065</v>
      </c>
      <c r="M53" s="184" t="s">
        <v>748</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1065</v>
      </c>
      <c r="M54" s="184" t="s">
        <v>748</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1065</v>
      </c>
      <c r="M55" s="184" t="s">
        <v>748</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1065</v>
      </c>
      <c r="M56" s="184" t="s">
        <v>748</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1065</v>
      </c>
      <c r="M57" s="209" t="s">
        <v>748</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806</v>
      </c>
      <c r="E58" s="407" t="s">
        <v>988</v>
      </c>
      <c r="F58" s="182"/>
      <c r="G58" s="181"/>
      <c r="H58" s="182"/>
      <c r="I58" s="183"/>
      <c r="J58" s="184"/>
      <c r="K58" s="184"/>
      <c r="L58" s="203" t="s">
        <v>1107</v>
      </c>
      <c r="M58" s="184" t="s">
        <v>1156</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724.3466317755159</v>
      </c>
      <c r="AX58" s="570">
        <f>N$64*N$65*(1-N59-N60)/N$62/1000</f>
        <v>724.3466317755159</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1157</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3766.6024852326832</v>
      </c>
      <c r="AX59" s="570">
        <f>N$64*N$65*N59/N$62/1000</f>
        <v>3766.6024852326832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990</v>
      </c>
      <c r="F60" s="182"/>
      <c r="G60" s="181"/>
      <c r="H60" s="182"/>
      <c r="I60" s="183"/>
      <c r="J60" s="184" t="s">
        <v>1157</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338.02842816190747</v>
      </c>
      <c r="AX60" s="570">
        <f>N$64*N$65*N60/N$62/1000</f>
        <v>338.02842816190747</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1126</v>
      </c>
      <c r="M61" s="184" t="s">
        <v>678</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1126</v>
      </c>
      <c r="M62" s="184" t="s">
        <v>678</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749</v>
      </c>
      <c r="L63" s="184" t="s">
        <v>1128</v>
      </c>
      <c r="M63" s="184" t="s">
        <v>1175</v>
      </c>
      <c r="N63" s="388">
        <f>N$23</f>
        <v>0.76</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1130</v>
      </c>
      <c r="M64" s="184" t="s">
        <v>1131</v>
      </c>
      <c r="N64" s="397">
        <f>LOOKUP($C$58, T_NCAP_AF!$C$125:$C$135, T_NCAP_AF!D$125:D$135)*(1+N40)</f>
        <v>14.959466820000001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1378.4239139047345</v>
      </c>
      <c r="AF64" s="85">
        <f t="shared" ref="AF64:AT64" si="54">N63*N64*N65/1000</f>
        <v>1378.4239139047345</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1065</v>
      </c>
      <c r="M65" s="184" t="s">
        <v>748</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1065</v>
      </c>
      <c r="M66" s="184" t="s">
        <v>748</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1065</v>
      </c>
      <c r="M67" s="184" t="s">
        <v>748</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1065</v>
      </c>
      <c r="M68" s="184" t="s">
        <v>748</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1065</v>
      </c>
      <c r="M69" s="184" t="s">
        <v>748</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1065</v>
      </c>
      <c r="M70" s="184" t="s">
        <v>748</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1065</v>
      </c>
      <c r="M71" s="209" t="s">
        <v>748</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808</v>
      </c>
      <c r="E72" s="180" t="s">
        <v>683</v>
      </c>
      <c r="F72" s="182"/>
      <c r="G72" s="181"/>
      <c r="H72" s="182"/>
      <c r="I72" s="183"/>
      <c r="J72" s="184"/>
      <c r="K72" s="184"/>
      <c r="L72" s="203" t="s">
        <v>1107</v>
      </c>
      <c r="M72" s="184" t="s">
        <v>1156</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20.229894203915453</v>
      </c>
      <c r="AX72" s="570">
        <f>N76*N77/N73/1000</f>
        <v>20.229894203915453</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1126</v>
      </c>
      <c r="M73" s="184" t="s">
        <v>678</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1126</v>
      </c>
      <c r="M74" s="184" t="s">
        <v>678</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749</v>
      </c>
      <c r="L75" s="184" t="s">
        <v>1128</v>
      </c>
      <c r="M75" s="184" t="s">
        <v>1175</v>
      </c>
      <c r="N75" s="388">
        <f t="shared" ref="N75:AB75" si="66">N$23</f>
        <v>0.76</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1130</v>
      </c>
      <c r="M76" s="184" t="s">
        <v>1131</v>
      </c>
      <c r="N76" s="397">
        <f>LOOKUP($C$72, T_NCAP_AF!$C$125:$C$135, T_NCAP_AF!D$125:D$135)*(1+N40)</f>
        <v>14.959466820000001</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15.973718670396002</v>
      </c>
      <c r="AF76" s="85">
        <f t="shared" ref="AF76:AT76" si="67">N75*N76*N77/1000</f>
        <v>15.973718670396002</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1065</v>
      </c>
      <c r="M77" s="184" t="s">
        <v>748</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1065</v>
      </c>
      <c r="M78" s="184" t="s">
        <v>748</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1065</v>
      </c>
      <c r="M79" s="184" t="s">
        <v>748</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1065</v>
      </c>
      <c r="M80" s="184" t="s">
        <v>748</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1065</v>
      </c>
      <c r="M81" s="184" t="s">
        <v>748</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1065</v>
      </c>
      <c r="M82" s="184" t="s">
        <v>748</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1065</v>
      </c>
      <c r="M83" s="209" t="s">
        <v>748</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810</v>
      </c>
      <c r="E84" s="180" t="s">
        <v>1010</v>
      </c>
      <c r="F84" s="182"/>
      <c r="G84" s="181"/>
      <c r="H84" s="182"/>
      <c r="I84" s="183"/>
      <c r="J84" s="184"/>
      <c r="K84" s="184"/>
      <c r="L84" s="203" t="s">
        <v>1107</v>
      </c>
      <c r="M84" s="184" t="s">
        <v>1156</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19.219720963793808</v>
      </c>
      <c r="AX84" s="570">
        <f>N$89*N$90*(1-N85)/N$87/1000</f>
        <v>19.219720963793808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1014</v>
      </c>
      <c r="F85" s="182"/>
      <c r="G85" s="181"/>
      <c r="H85" s="182"/>
      <c r="I85" s="183"/>
      <c r="J85" s="184" t="s">
        <v>1157</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6.4065736545979366</v>
      </c>
      <c r="AX85" s="570">
        <f>N$89*N$90*N85/N$87/1000</f>
        <v>6.4065736545979366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1126</v>
      </c>
      <c r="M86" s="184" t="s">
        <v>678</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1126</v>
      </c>
      <c r="M87" s="184" t="s">
        <v>678</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749</v>
      </c>
      <c r="L88" s="184" t="s">
        <v>1128</v>
      </c>
      <c r="M88" s="184" t="s">
        <v>1175</v>
      </c>
      <c r="N88" s="388">
        <f t="shared" ref="N88:AB88" si="81">N$23</f>
        <v>0.76</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1130</v>
      </c>
      <c r="M89" s="184" t="s">
        <v>1131</v>
      </c>
      <c r="N89" s="397">
        <f>LOOKUP($C$84, T_NCAP_AF!$C$125:$C$135, T_NCAP_AF!D$125:D$135)*(1+N40)</f>
        <v>14.959466820000001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6.2075803516272012</v>
      </c>
      <c r="AF89" s="85">
        <f t="shared" ref="AF89:AT89" si="82">N88*N89*N90/1000</f>
        <v>6.2075803516272012</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1065</v>
      </c>
      <c r="M90" s="184" t="s">
        <v>748</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1065</v>
      </c>
      <c r="M91" s="184" t="s">
        <v>748</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1065</v>
      </c>
      <c r="M92" s="184" t="s">
        <v>748</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1065</v>
      </c>
      <c r="M93" s="184" t="s">
        <v>748</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1065</v>
      </c>
      <c r="M94" s="184" t="s">
        <v>748</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1065</v>
      </c>
      <c r="M95" s="184" t="s">
        <v>748</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1065</v>
      </c>
      <c r="M96" s="209" t="s">
        <v>748</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812</v>
      </c>
      <c r="E97" s="407" t="s">
        <v>994</v>
      </c>
      <c r="F97" s="182"/>
      <c r="G97" s="181"/>
      <c r="H97" s="182"/>
      <c r="I97" s="183"/>
      <c r="J97" s="184"/>
      <c r="K97" s="184"/>
      <c r="L97" s="203" t="s">
        <v>1107</v>
      </c>
      <c r="M97" s="184" t="s">
        <v>1125</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66.5438837178678</v>
      </c>
      <c r="AX97" s="570">
        <f>N$103*N$104*0.6/N$101/1000</f>
        <v>66.5438837178678</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1039</v>
      </c>
      <c r="F98" s="182"/>
      <c r="G98" s="180"/>
      <c r="H98" s="182"/>
      <c r="I98" s="183"/>
      <c r="J98" s="184" t="s">
        <v>1157</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8.8725178290490376</v>
      </c>
      <c r="AX98" s="570">
        <f>N$103*N$104*N98/N$101/1000</f>
        <v>8.8725178290490376</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1014</v>
      </c>
      <c r="F99" s="182"/>
      <c r="G99" s="181"/>
      <c r="H99" s="182"/>
      <c r="I99" s="183"/>
      <c r="J99" s="184" t="s">
        <v>1157</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22.181294572622598</v>
      </c>
      <c r="AX99" s="570">
        <f>N$103*N$104*N99/N$101/1000</f>
        <v>22.181294572622598</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1126</v>
      </c>
      <c r="M100" s="184" t="s">
        <v>678</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1126</v>
      </c>
      <c r="M101" s="184" t="s">
        <v>678</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749</v>
      </c>
      <c r="L102" s="184" t="s">
        <v>1128</v>
      </c>
      <c r="M102" s="184" t="s">
        <v>1175</v>
      </c>
      <c r="N102" s="388">
        <f t="shared" ref="N102:AB102" si="96">N$23</f>
        <v>0.76</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1130</v>
      </c>
      <c r="M103" s="184" t="s">
        <v>1131</v>
      </c>
      <c r="N103" s="397">
        <f>LOOKUP($C$97, T_NCAP_AF!$C$125:$C$135, T_NCAP_AF!D$125:D$135)*(1+N40)</f>
        <v>14.959466820000001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26.865407272701603</v>
      </c>
      <c r="AF103" s="85">
        <f t="shared" ref="AF103:AT103" si="97">N102*N103*N104/1000</f>
        <v>26.865407272701603</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1065</v>
      </c>
      <c r="M104" s="184" t="s">
        <v>748</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1065</v>
      </c>
      <c r="M105" s="184" t="s">
        <v>748</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1065</v>
      </c>
      <c r="M106" s="184" t="s">
        <v>748</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1065</v>
      </c>
      <c r="M107" s="184" t="s">
        <v>748</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1065</v>
      </c>
      <c r="M108" s="184" t="s">
        <v>748</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1065</v>
      </c>
      <c r="M109" s="184" t="s">
        <v>748</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1065</v>
      </c>
      <c r="M110" s="209" t="s">
        <v>748</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814</v>
      </c>
      <c r="E111" s="407" t="s">
        <v>1014</v>
      </c>
      <c r="F111" s="182"/>
      <c r="G111" s="181"/>
      <c r="H111" s="182"/>
      <c r="I111" s="183"/>
      <c r="J111" s="184"/>
      <c r="K111" s="184"/>
      <c r="L111" s="203" t="s">
        <v>1107</v>
      </c>
      <c r="M111" s="184" t="s">
        <v>1125</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334.48369041114364</v>
      </c>
      <c r="AX111" s="721">
        <f>N$117*N$118*(1-N112)/N$115/1000</f>
        <v>334.48369041114364</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1012</v>
      </c>
      <c r="F112" s="182"/>
      <c r="G112" s="181"/>
      <c r="H112" s="182"/>
      <c r="I112" s="183"/>
      <c r="J112" s="184" t="s">
        <v>1127</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10.344856404468359</v>
      </c>
      <c r="AX112" s="721">
        <f>N$117*N$118*N112/N$115/1000</f>
        <v>10.344856404468359</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996</v>
      </c>
      <c r="F113" s="182"/>
      <c r="G113" s="181"/>
      <c r="H113" s="182"/>
      <c r="I113" s="183"/>
      <c r="J113" s="184" t="s">
        <v>1157</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1126</v>
      </c>
      <c r="M114" s="184" t="s">
        <v>678</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1126</v>
      </c>
      <c r="M115" s="184" t="s">
        <v>678</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749</v>
      </c>
      <c r="L116" s="184" t="s">
        <v>1128</v>
      </c>
      <c r="M116" s="184" t="s">
        <v>1175</v>
      </c>
      <c r="N116" s="388">
        <f t="shared" ref="N116:AB116" si="112">N$23</f>
        <v>0.76</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1130</v>
      </c>
      <c r="M117" s="184" t="s">
        <v>1131</v>
      </c>
      <c r="N117" s="397">
        <f>LOOKUP($C$111, T_NCAP_AF!$C$125:$C$135, T_NCAP_AF!D$125:D$135)*(1+N40)</f>
        <v>14.959466820000001</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83.529474072170416</v>
      </c>
      <c r="AF117" s="85">
        <f t="shared" ref="AF117:AT117" si="113">N116*N117*N118/1000</f>
        <v>83.529474072170416</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1065</v>
      </c>
      <c r="M118" s="184" t="s">
        <v>748</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1065</v>
      </c>
      <c r="M119" s="184" t="s">
        <v>748</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1065</v>
      </c>
      <c r="M120" s="184" t="s">
        <v>748</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1065</v>
      </c>
      <c r="M121" s="184" t="s">
        <v>748</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1065</v>
      </c>
      <c r="M122" s="184" t="s">
        <v>748</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1065</v>
      </c>
      <c r="M123" s="184" t="s">
        <v>748</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1065</v>
      </c>
      <c r="M124" s="209" t="s">
        <v>748</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816</v>
      </c>
      <c r="E125" s="407" t="s">
        <v>988</v>
      </c>
      <c r="F125" s="182"/>
      <c r="G125" s="181"/>
      <c r="H125" s="182"/>
      <c r="I125" s="183"/>
      <c r="J125" s="184"/>
      <c r="K125" s="184"/>
      <c r="L125" s="203" t="s">
        <v>1107</v>
      </c>
      <c r="M125" s="184" t="s">
        <v>1125</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990</v>
      </c>
      <c r="F127" s="182"/>
      <c r="G127" s="181"/>
      <c r="H127" s="182"/>
      <c r="I127" s="183"/>
      <c r="J127" s="184" t="s">
        <v>1157</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1126</v>
      </c>
      <c r="M128" s="184" t="s">
        <v>678</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1126</v>
      </c>
      <c r="M129" s="184" t="s">
        <v>678</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749</v>
      </c>
      <c r="L130" s="184" t="s">
        <v>1128</v>
      </c>
      <c r="M130" s="184" t="s">
        <v>1175</v>
      </c>
      <c r="N130" s="388">
        <f t="shared" ref="N130:AB130" si="127">N$23</f>
        <v>0.76</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1130</v>
      </c>
      <c r="M131" s="184" t="s">
        <v>1131</v>
      </c>
      <c r="N131" s="397">
        <f>LOOKUP($C$125, T_NCAP_AF!$C$125:$C$135, T_NCAP_AF!D$125:D$135)*(1+N40)</f>
        <v>14.959466820000001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0</v>
      </c>
      <c r="AF131" s="85">
        <f t="shared" ref="AF131:AT131" si="128">N130*N131*N132/1000</f>
        <v>0</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1065</v>
      </c>
      <c r="M132" s="184" t="s">
        <v>748</v>
      </c>
      <c r="N132" s="694">
        <f>LOOKUP($C$125, T_Stock_Private!$C$90:$C$100, T_Stock_Private!D$90:D$100)*(1+N41)</f>
        <v>0</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1065</v>
      </c>
      <c r="M133" s="184" t="s">
        <v>748</v>
      </c>
      <c r="N133" s="694">
        <f t="shared" ref="N133:AB133" si="129">N132*LOOKUP($AD125,$AG$4:$AP$4,$AG$5:$AP$5)</f>
        <v>0</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1065</v>
      </c>
      <c r="M134" s="184" t="s">
        <v>748</v>
      </c>
      <c r="N134" s="694">
        <f t="shared" ref="N134:AB134" si="130">N132*LOOKUP($AD125,$AG$4:$AP$4,$AG$6:$AP$6)</f>
        <v>0</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1065</v>
      </c>
      <c r="M135" s="184" t="s">
        <v>748</v>
      </c>
      <c r="N135" s="694">
        <f t="shared" ref="N135:AB135" si="131">N132*LOOKUP($AD125,$AG$4:$AP$4,$AG$7:$AP$7)</f>
        <v>0</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1065</v>
      </c>
      <c r="M136" s="184" t="s">
        <v>748</v>
      </c>
      <c r="N136" s="694">
        <f t="shared" ref="N136:AB136" si="132">N132*LOOKUP($AD125,$AG$4:$AP$4,$AG$8:$AP$8)</f>
        <v>0</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1065</v>
      </c>
      <c r="M137" s="184" t="s">
        <v>748</v>
      </c>
      <c r="N137" s="694">
        <f t="shared" ref="N137:AB137" si="133">N132*LOOKUP($AD125,$AG$4:$AP$4,$AG$9:$AP$9)</f>
        <v>0</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1065</v>
      </c>
      <c r="M138" s="209" t="s">
        <v>748</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818</v>
      </c>
      <c r="E139" s="407" t="s">
        <v>1014</v>
      </c>
      <c r="F139" s="182"/>
      <c r="G139" s="181"/>
      <c r="H139" s="182"/>
      <c r="I139" s="183"/>
      <c r="J139" s="184"/>
      <c r="K139" s="184"/>
      <c r="L139" s="203" t="s">
        <v>1107</v>
      </c>
      <c r="M139" s="184" t="s">
        <v>1125</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1012</v>
      </c>
      <c r="F140" s="182"/>
      <c r="G140" s="181"/>
      <c r="H140" s="182"/>
      <c r="I140" s="183"/>
      <c r="J140" s="184" t="s">
        <v>1127</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996</v>
      </c>
      <c r="F141" s="182"/>
      <c r="G141" s="181"/>
      <c r="H141" s="182"/>
      <c r="I141" s="183"/>
      <c r="J141" s="184" t="s">
        <v>1157</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1126</v>
      </c>
      <c r="M142" s="184" t="s">
        <v>678</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1126</v>
      </c>
      <c r="M143" s="184" t="s">
        <v>678</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749</v>
      </c>
      <c r="L144" s="184" t="s">
        <v>1128</v>
      </c>
      <c r="M144" s="184" t="s">
        <v>1175</v>
      </c>
      <c r="N144" s="388">
        <f t="shared" ref="N144:AB144" si="142">N$23</f>
        <v>0.76</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1130</v>
      </c>
      <c r="M145" s="184" t="s">
        <v>1131</v>
      </c>
      <c r="N145" s="397">
        <f>LOOKUP($C$139, T_NCAP_AF!$C$125:$C$135, T_NCAP_AF!D$125:D$135)*(1+N40)</f>
        <v>14.959466820000001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0.34107584349600006</v>
      </c>
      <c r="AF145" s="85">
        <f t="shared" ref="AF145:AT145" si="143">N144*N145*N146/1000</f>
        <v>0.34107584349600006</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1065</v>
      </c>
      <c r="M146" s="184" t="s">
        <v>748</v>
      </c>
      <c r="N146" s="694">
        <f>LOOKUP($C$139, T_Stock_Private!$C$90:$C$100, T_Stock_Private!D$90:D$100)*(1+N41)</f>
        <v>30</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1065</v>
      </c>
      <c r="M147" s="184" t="s">
        <v>748</v>
      </c>
      <c r="N147" s="694">
        <f t="shared" ref="N147:AB147" si="144">N146*LOOKUP($AD139,$AG$4:$AP$4,$AG$5:$AP$5)</f>
        <v>29.7</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1065</v>
      </c>
      <c r="M148" s="184" t="s">
        <v>748</v>
      </c>
      <c r="N148" s="694">
        <f t="shared" ref="N148:AB148" si="145">N146*LOOKUP($AD139,$AG$4:$AP$4,$AG$6:$AP$6)</f>
        <v>22.5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1065</v>
      </c>
      <c r="M149" s="184" t="s">
        <v>748</v>
      </c>
      <c r="N149" s="694">
        <f t="shared" ref="N149:AB149" si="146">N146*LOOKUP($AD139,$AG$4:$AP$4,$AG$7:$AP$7)</f>
        <v>15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1065</v>
      </c>
      <c r="M150" s="184" t="s">
        <v>748</v>
      </c>
      <c r="N150" s="694">
        <f t="shared" ref="N150:AB150" si="147">N146*LOOKUP($AD139,$AG$4:$AP$4,$AG$8:$AP$8)</f>
        <v>4.5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1065</v>
      </c>
      <c r="M151" s="184" t="s">
        <v>748</v>
      </c>
      <c r="N151" s="694">
        <f t="shared" ref="N151:AB151" si="148">N146*LOOKUP($AD139,$AG$4:$AP$4,$AG$9:$AP$9)</f>
        <v>0.15</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1065</v>
      </c>
      <c r="M152" s="209" t="s">
        <v>748</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820</v>
      </c>
      <c r="E153" s="180" t="s">
        <v>1033</v>
      </c>
      <c r="F153" s="182"/>
      <c r="G153" s="181"/>
      <c r="H153" s="182"/>
      <c r="I153" s="183"/>
      <c r="J153" s="184"/>
      <c r="K153" s="184"/>
      <c r="L153" s="203" t="s">
        <v>1107</v>
      </c>
      <c r="M153" s="184" t="s">
        <v>1125</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1126</v>
      </c>
      <c r="M154" s="191" t="s">
        <v>678</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1126</v>
      </c>
      <c r="M155" s="191" t="s">
        <v>678</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749</v>
      </c>
      <c r="L156" s="191" t="s">
        <v>1128</v>
      </c>
      <c r="M156" s="191" t="s">
        <v>1175</v>
      </c>
      <c r="N156" s="368">
        <f t="shared" ref="N156:AB156" si="154">N$23</f>
        <v>0.76</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1130</v>
      </c>
      <c r="M157" s="191" t="s">
        <v>1131</v>
      </c>
      <c r="N157" s="397">
        <f>LOOKUP($C$153, T_NCAP_AF!$C$125:$C$135, T_NCAP_AF!D$125:D$135)*(1+N40)</f>
        <v>14.959466820000001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1065</v>
      </c>
      <c r="M158" s="191" t="s">
        <v>748</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1065</v>
      </c>
      <c r="M159" s="191" t="s">
        <v>748</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1065</v>
      </c>
      <c r="M160" s="191" t="s">
        <v>748</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1065</v>
      </c>
      <c r="M161" s="191" t="s">
        <v>748</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1065</v>
      </c>
      <c r="M162" s="191" t="s">
        <v>748</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1065</v>
      </c>
      <c r="M163" s="191" t="s">
        <v>748</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1065</v>
      </c>
      <c r="M164" s="198" t="s">
        <v>748</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822</v>
      </c>
      <c r="E165" s="407" t="s">
        <v>988</v>
      </c>
      <c r="F165" s="182"/>
      <c r="G165" s="181"/>
      <c r="H165" s="182"/>
      <c r="I165" s="183"/>
      <c r="J165" s="184"/>
      <c r="K165" s="184"/>
      <c r="L165" s="203" t="s">
        <v>1107</v>
      </c>
      <c r="M165" s="184" t="s">
        <v>1125</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990</v>
      </c>
      <c r="F167" s="182"/>
      <c r="G167" s="181"/>
      <c r="H167" s="182"/>
      <c r="I167" s="183"/>
      <c r="J167" s="184" t="s">
        <v>1157</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1126</v>
      </c>
      <c r="M168" s="184" t="s">
        <v>678</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1126</v>
      </c>
      <c r="M169" s="184" t="s">
        <v>678</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749</v>
      </c>
      <c r="L170" s="184" t="s">
        <v>1128</v>
      </c>
      <c r="M170" s="184" t="s">
        <v>1175</v>
      </c>
      <c r="N170" s="388">
        <f t="shared" ref="N170:AB170" si="169">N$23</f>
        <v>0.76</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1130</v>
      </c>
      <c r="M171" s="184" t="s">
        <v>1131</v>
      </c>
      <c r="N171" s="397">
        <f>LOOKUP($C$165, T_NCAP_AF!$C$125:$C$135, T_NCAP_AF!D$125:D$135)*(1+N40)</f>
        <v>14.959466820000001</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1065</v>
      </c>
      <c r="M172" s="184" t="s">
        <v>748</v>
      </c>
      <c r="N172" s="694">
        <f>LOOKUP($C$165, T_Stock_Private!$C$90:$C$100, T_Stock_Private!D$90:D$100)*(1+N41)</f>
        <v>0</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1065</v>
      </c>
      <c r="M173" s="184" t="s">
        <v>748</v>
      </c>
      <c r="N173" s="694">
        <f t="shared" ref="N173:AB173" si="171">N172*LOOKUP($AD165,$AG$4:$AP$4,$AG$5:$AP$5)</f>
        <v>0</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1065</v>
      </c>
      <c r="M174" s="184" t="s">
        <v>748</v>
      </c>
      <c r="N174" s="694">
        <f t="shared" ref="N174:AB174" si="172">N172*LOOKUP($AD165,$AG$4:$AP$4,$AG$6:$AP$6)</f>
        <v>0</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1065</v>
      </c>
      <c r="M175" s="184" t="s">
        <v>748</v>
      </c>
      <c r="N175" s="694">
        <f t="shared" ref="N175:AB175" si="173">N172*LOOKUP($AD165,$AG$4:$AP$4,$AG$7:$AP$7)</f>
        <v>0</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1065</v>
      </c>
      <c r="M176" s="184" t="s">
        <v>748</v>
      </c>
      <c r="N176" s="694">
        <f t="shared" ref="N176:AB176" si="174">N172*LOOKUP($AD165,$AG$4:$AP$4,$AG$8:$AP$8)</f>
        <v>0</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1065</v>
      </c>
      <c r="M177" s="184" t="s">
        <v>748</v>
      </c>
      <c r="N177" s="694">
        <f t="shared" ref="N177:AB177" si="175">N172*LOOKUP($AD165,$AG$4:$AP$4,$AG$9:$AP$9)</f>
        <v>0</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1065</v>
      </c>
      <c r="M178" s="209" t="s">
        <v>748</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824</v>
      </c>
      <c r="E179" s="407" t="s">
        <v>1014</v>
      </c>
      <c r="F179" s="182"/>
      <c r="G179" s="181"/>
      <c r="H179" s="182"/>
      <c r="I179" s="183"/>
      <c r="J179" s="184"/>
      <c r="K179" s="184"/>
      <c r="L179" s="203" t="s">
        <v>1107</v>
      </c>
      <c r="M179" s="184" t="s">
        <v>1125</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1012</v>
      </c>
      <c r="F180" s="182"/>
      <c r="G180" s="181"/>
      <c r="H180" s="182"/>
      <c r="I180" s="183"/>
      <c r="J180" s="184" t="s">
        <v>1127</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996</v>
      </c>
      <c r="F181" s="182"/>
      <c r="G181" s="181"/>
      <c r="H181" s="182"/>
      <c r="I181" s="183"/>
      <c r="J181" s="184" t="s">
        <v>1157</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1126</v>
      </c>
      <c r="M182" s="184" t="s">
        <v>678</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1126</v>
      </c>
      <c r="M183" s="184" t="s">
        <v>678</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749</v>
      </c>
      <c r="L184" s="184" t="s">
        <v>1128</v>
      </c>
      <c r="M184" s="184" t="s">
        <v>1175</v>
      </c>
      <c r="N184" s="388">
        <f t="shared" ref="N184:AB184" si="184">N$23</f>
        <v>0.76</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1130</v>
      </c>
      <c r="M185" s="184" t="s">
        <v>1131</v>
      </c>
      <c r="N185" s="397">
        <f>LOOKUP($C$179, T_NCAP_AF!$C$125:$C$135, T_NCAP_AF!D$125:D$135)*(1+N40)</f>
        <v>14.959466820000001</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1.1369194783200001E-2</v>
      </c>
      <c r="AF185" s="85">
        <f t="shared" ref="AF185:AT185" si="185">N184*N185*N186/1000</f>
        <v>1.1369194783200001E-2</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1065</v>
      </c>
      <c r="M186" s="184" t="s">
        <v>748</v>
      </c>
      <c r="N186" s="694">
        <f>LOOKUP($C$179, T_Stock_Private!$C$90:$C$100, T_Stock_Private!D$90:D$100)*(1+N41)</f>
        <v>1</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1065</v>
      </c>
      <c r="M187" s="184" t="s">
        <v>748</v>
      </c>
      <c r="N187" s="694">
        <f t="shared" ref="N187:AB187" si="186">N186*LOOKUP($AD179,$AG$4:$AP$4,$AG$5:$AP$5)</f>
        <v>0.99</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1065</v>
      </c>
      <c r="M188" s="184" t="s">
        <v>748</v>
      </c>
      <c r="N188" s="694">
        <f t="shared" ref="N188:AB188" si="187">N186*LOOKUP($AD179,$AG$4:$AP$4,$AG$6:$AP$6)</f>
        <v>0.75</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1065</v>
      </c>
      <c r="M189" s="184" t="s">
        <v>748</v>
      </c>
      <c r="N189" s="694">
        <f t="shared" ref="N189:AB189" si="188">N186*LOOKUP($AD179,$AG$4:$AP$4,$AG$7:$AP$7)</f>
        <v>0.5</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1065</v>
      </c>
      <c r="M190" s="184" t="s">
        <v>748</v>
      </c>
      <c r="N190" s="694">
        <f t="shared" ref="N190:AB190" si="189">N186*LOOKUP($AD179,$AG$4:$AP$4,$AG$8:$AP$8)</f>
        <v>0.15</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1065</v>
      </c>
      <c r="M191" s="184" t="s">
        <v>748</v>
      </c>
      <c r="N191" s="694">
        <f t="shared" ref="N191:AB191" si="190">N186*LOOKUP($AD179,$AG$4:$AP$4,$AG$9:$AP$9)</f>
        <v>5.0000000000000001E-3</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1065</v>
      </c>
      <c r="M192" s="209" t="s">
        <v>748</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x14ac:dyDescent="0.3">
      <c r="M195" s="473" t="s">
        <v>1152</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x14ac:dyDescent="0.3">
      <c r="B196" s="32" t="s">
        <v>1178</v>
      </c>
      <c r="C196" s="88"/>
      <c r="D196" s="26"/>
      <c r="I196" s="36"/>
      <c r="M196" s="473" t="s">
        <v>1154</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1052</v>
      </c>
    </row>
    <row r="199" spans="1:64" s="22" customFormat="1" x14ac:dyDescent="0.3">
      <c r="A199" s="35"/>
      <c r="B199" s="52" t="s">
        <v>1053</v>
      </c>
      <c r="C199" s="26" t="s">
        <v>104</v>
      </c>
      <c r="D199" s="26" t="s">
        <v>1054</v>
      </c>
      <c r="E199" s="26" t="s">
        <v>673</v>
      </c>
      <c r="F199" s="26" t="s">
        <v>1155</v>
      </c>
      <c r="G199" s="26" t="s">
        <v>674</v>
      </c>
      <c r="H199" s="26" t="s">
        <v>1055</v>
      </c>
      <c r="I199" s="53" t="s">
        <v>1056</v>
      </c>
      <c r="J199" s="26" t="s">
        <v>982</v>
      </c>
      <c r="K199" s="42" t="s">
        <v>1123</v>
      </c>
      <c r="L199" s="26" t="s">
        <v>1057</v>
      </c>
      <c r="M199" s="26" t="s">
        <v>1058</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x14ac:dyDescent="0.3">
      <c r="A200" s="35"/>
      <c r="B200" s="176"/>
      <c r="C200" s="176"/>
      <c r="D200" s="176" t="s">
        <v>1062</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1124</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x14ac:dyDescent="0.3">
      <c r="A201" s="82"/>
      <c r="B201" s="178" t="str">
        <f>C201</f>
        <v>TFMEBDL100</v>
      </c>
      <c r="C201" s="178" t="s">
        <v>358</v>
      </c>
      <c r="D201" s="179" t="s">
        <v>826</v>
      </c>
      <c r="E201" s="407" t="s">
        <v>988</v>
      </c>
      <c r="F201" s="182"/>
      <c r="G201" s="181"/>
      <c r="H201" s="182"/>
      <c r="I201" s="183"/>
      <c r="J201" s="184"/>
      <c r="K201" s="184"/>
      <c r="L201" s="203" t="s">
        <v>1107</v>
      </c>
      <c r="M201" s="184" t="s">
        <v>1125</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x14ac:dyDescent="0.3">
      <c r="B202" s="178" t="str">
        <f>B201</f>
        <v>TFMEBDL100</v>
      </c>
      <c r="C202" s="178"/>
      <c r="D202" s="179"/>
      <c r="E202" s="178"/>
      <c r="F202" s="182"/>
      <c r="G202" s="324" t="s">
        <v>435</v>
      </c>
      <c r="H202" s="182"/>
      <c r="I202" s="183"/>
      <c r="J202" s="184"/>
      <c r="K202" s="184"/>
      <c r="L202" s="184" t="s">
        <v>1126</v>
      </c>
      <c r="M202" s="184" t="s">
        <v>678</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x14ac:dyDescent="0.3">
      <c r="B203" s="178" t="str">
        <f t="shared" ref="B203:B212" si="214">B202</f>
        <v>TFMEBDL100</v>
      </c>
      <c r="C203" s="178"/>
      <c r="D203" s="179"/>
      <c r="E203" s="178"/>
      <c r="F203" s="182"/>
      <c r="G203" s="324" t="s">
        <v>433</v>
      </c>
      <c r="H203" s="182"/>
      <c r="I203" s="183"/>
      <c r="J203" s="184"/>
      <c r="K203" s="184"/>
      <c r="L203" s="184" t="s">
        <v>1126</v>
      </c>
      <c r="M203" s="184" t="s">
        <v>678</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x14ac:dyDescent="0.3">
      <c r="B204" s="178" t="str">
        <f>B203</f>
        <v>TFMEBDL100</v>
      </c>
      <c r="C204" s="178"/>
      <c r="D204" s="179"/>
      <c r="E204" s="178"/>
      <c r="F204" s="182"/>
      <c r="G204" s="181"/>
      <c r="H204" s="182"/>
      <c r="I204" s="183"/>
      <c r="J204" s="184"/>
      <c r="K204" s="184" t="s">
        <v>749</v>
      </c>
      <c r="L204" s="184" t="s">
        <v>1128</v>
      </c>
      <c r="M204" s="184" t="s">
        <v>1175</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x14ac:dyDescent="0.3">
      <c r="B205" s="178" t="str">
        <f t="shared" si="214"/>
        <v>TFMEBDL100</v>
      </c>
      <c r="C205" s="178"/>
      <c r="D205" s="179"/>
      <c r="E205" s="178"/>
      <c r="F205" s="182"/>
      <c r="G205" s="181"/>
      <c r="H205" s="182"/>
      <c r="I205" s="183"/>
      <c r="J205" s="184"/>
      <c r="K205" s="184"/>
      <c r="L205" s="203" t="s">
        <v>1130</v>
      </c>
      <c r="M205" s="184" t="s">
        <v>1131</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x14ac:dyDescent="0.3">
      <c r="B206" s="178" t="str">
        <f>B205</f>
        <v>TFMEBDL100</v>
      </c>
      <c r="C206" s="178"/>
      <c r="D206" s="179"/>
      <c r="E206" s="178"/>
      <c r="F206" s="182"/>
      <c r="G206" s="181"/>
      <c r="H206" s="182"/>
      <c r="I206" s="183">
        <f>$M$3</f>
        <v>2019</v>
      </c>
      <c r="J206" s="184"/>
      <c r="K206" s="184"/>
      <c r="L206" s="203" t="s">
        <v>1065</v>
      </c>
      <c r="M206" s="184" t="s">
        <v>748</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x14ac:dyDescent="0.3">
      <c r="B207" s="178" t="str">
        <f t="shared" si="214"/>
        <v>TFMEBDL100</v>
      </c>
      <c r="C207" s="178"/>
      <c r="D207" s="179"/>
      <c r="E207" s="178"/>
      <c r="F207" s="182"/>
      <c r="G207" s="181"/>
      <c r="H207" s="182"/>
      <c r="I207" s="183">
        <f>AF$5</f>
        <v>2020</v>
      </c>
      <c r="J207" s="184"/>
      <c r="K207" s="184"/>
      <c r="L207" s="203" t="s">
        <v>1065</v>
      </c>
      <c r="M207" s="184" t="s">
        <v>748</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x14ac:dyDescent="0.3">
      <c r="B208" s="178" t="str">
        <f t="shared" si="214"/>
        <v>TFMEBDL100</v>
      </c>
      <c r="C208" s="178"/>
      <c r="D208" s="179"/>
      <c r="E208" s="178"/>
      <c r="F208" s="182"/>
      <c r="G208" s="181"/>
      <c r="H208" s="182"/>
      <c r="I208" s="183">
        <f>AF$6</f>
        <v>2025</v>
      </c>
      <c r="J208" s="184"/>
      <c r="K208" s="184"/>
      <c r="L208" s="203" t="s">
        <v>1065</v>
      </c>
      <c r="M208" s="184" t="s">
        <v>748</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x14ac:dyDescent="0.3">
      <c r="B209" s="178" t="str">
        <f t="shared" si="214"/>
        <v>TFMEBDL100</v>
      </c>
      <c r="C209" s="178"/>
      <c r="D209" s="179"/>
      <c r="E209" s="178"/>
      <c r="F209" s="182"/>
      <c r="G209" s="181"/>
      <c r="H209" s="182"/>
      <c r="I209" s="183">
        <f>AF$7</f>
        <v>2030</v>
      </c>
      <c r="J209" s="184"/>
      <c r="K209" s="184"/>
      <c r="L209" s="203" t="s">
        <v>1065</v>
      </c>
      <c r="M209" s="184" t="s">
        <v>748</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x14ac:dyDescent="0.3">
      <c r="B210" s="178" t="str">
        <f t="shared" si="214"/>
        <v>TFMEBDL100</v>
      </c>
      <c r="C210" s="178"/>
      <c r="D210" s="179"/>
      <c r="E210" s="178"/>
      <c r="F210" s="182"/>
      <c r="G210" s="181"/>
      <c r="H210" s="182"/>
      <c r="I210" s="183">
        <f>AF$8</f>
        <v>2035</v>
      </c>
      <c r="J210" s="184"/>
      <c r="K210" s="184"/>
      <c r="L210" s="203" t="s">
        <v>1065</v>
      </c>
      <c r="M210" s="184" t="s">
        <v>748</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x14ac:dyDescent="0.3">
      <c r="B211" s="178" t="str">
        <f t="shared" si="214"/>
        <v>TFMEBDL100</v>
      </c>
      <c r="C211" s="178"/>
      <c r="D211" s="179"/>
      <c r="E211" s="178"/>
      <c r="F211" s="182"/>
      <c r="G211" s="181"/>
      <c r="H211" s="182"/>
      <c r="I211" s="183">
        <f>AF$9</f>
        <v>2040</v>
      </c>
      <c r="J211" s="184"/>
      <c r="K211" s="184"/>
      <c r="L211" s="203" t="s">
        <v>1065</v>
      </c>
      <c r="M211" s="184" t="s">
        <v>748</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x14ac:dyDescent="0.3">
      <c r="B212" s="204" t="str">
        <f t="shared" si="214"/>
        <v>TFMEBDL100</v>
      </c>
      <c r="C212" s="204"/>
      <c r="D212" s="205"/>
      <c r="E212" s="204"/>
      <c r="F212" s="206"/>
      <c r="G212" s="207"/>
      <c r="H212" s="206"/>
      <c r="I212" s="208">
        <f>AF$10</f>
        <v>2050</v>
      </c>
      <c r="J212" s="209"/>
      <c r="K212" s="209"/>
      <c r="L212" s="210" t="s">
        <v>1065</v>
      </c>
      <c r="M212" s="209" t="s">
        <v>748</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x14ac:dyDescent="0.3">
      <c r="A213" s="82"/>
      <c r="B213" s="178" t="str">
        <f>C213</f>
        <v>TFMEDST100</v>
      </c>
      <c r="C213" s="178" t="s">
        <v>359</v>
      </c>
      <c r="D213" s="179" t="s">
        <v>828</v>
      </c>
      <c r="E213" s="407" t="s">
        <v>988</v>
      </c>
      <c r="F213" s="182"/>
      <c r="G213" s="181"/>
      <c r="H213" s="182"/>
      <c r="I213" s="183"/>
      <c r="J213" s="184"/>
      <c r="K213" s="184"/>
      <c r="L213" s="203" t="s">
        <v>1107</v>
      </c>
      <c r="M213" s="184" t="s">
        <v>1125</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x14ac:dyDescent="0.3">
      <c r="A214" s="82"/>
      <c r="B214" s="178" t="str">
        <f>B213</f>
        <v>TFMEDST100</v>
      </c>
      <c r="C214" s="178"/>
      <c r="D214" s="179"/>
      <c r="E214" s="407" t="s">
        <v>185</v>
      </c>
      <c r="F214" s="182"/>
      <c r="G214" s="181"/>
      <c r="H214" s="182"/>
      <c r="I214" s="183"/>
      <c r="J214" s="184" t="s">
        <v>1157</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x14ac:dyDescent="0.3">
      <c r="A215" s="82"/>
      <c r="B215" s="178" t="str">
        <f t="shared" ref="B215" si="229">B214</f>
        <v>TFMEDST100</v>
      </c>
      <c r="C215" s="178"/>
      <c r="D215" s="179"/>
      <c r="E215" s="407" t="s">
        <v>990</v>
      </c>
      <c r="F215" s="182"/>
      <c r="G215" s="181"/>
      <c r="H215" s="182"/>
      <c r="I215" s="183"/>
      <c r="J215" s="184" t="s">
        <v>1157</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x14ac:dyDescent="0.3">
      <c r="B216" s="178" t="str">
        <f>B214</f>
        <v>TFMEDST100</v>
      </c>
      <c r="C216" s="178"/>
      <c r="D216" s="179"/>
      <c r="E216" s="178"/>
      <c r="F216" s="182"/>
      <c r="G216" s="324" t="s">
        <v>435</v>
      </c>
      <c r="H216" s="182"/>
      <c r="I216" s="183"/>
      <c r="J216" s="184"/>
      <c r="K216" s="184"/>
      <c r="L216" s="184" t="s">
        <v>1126</v>
      </c>
      <c r="M216" s="184" t="s">
        <v>678</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x14ac:dyDescent="0.3">
      <c r="B217" s="178" t="str">
        <f t="shared" ref="B217:B226" si="247">B216</f>
        <v>TFMEDST100</v>
      </c>
      <c r="C217" s="178"/>
      <c r="D217" s="179"/>
      <c r="E217" s="178"/>
      <c r="F217" s="182"/>
      <c r="G217" s="324" t="s">
        <v>433</v>
      </c>
      <c r="H217" s="182"/>
      <c r="I217" s="183"/>
      <c r="J217" s="184"/>
      <c r="K217" s="184"/>
      <c r="L217" s="184" t="s">
        <v>1126</v>
      </c>
      <c r="M217" s="184" t="s">
        <v>678</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x14ac:dyDescent="0.3">
      <c r="B218" s="178" t="str">
        <f>B217</f>
        <v>TFMEDST100</v>
      </c>
      <c r="C218" s="178"/>
      <c r="D218" s="179"/>
      <c r="E218" s="178"/>
      <c r="F218" s="182"/>
      <c r="G218" s="181"/>
      <c r="H218" s="182"/>
      <c r="I218" s="183"/>
      <c r="J218" s="184"/>
      <c r="K218" s="184" t="s">
        <v>749</v>
      </c>
      <c r="L218" s="184" t="s">
        <v>1128</v>
      </c>
      <c r="M218" s="184" t="s">
        <v>1175</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x14ac:dyDescent="0.3">
      <c r="B219" s="178" t="str">
        <f t="shared" si="247"/>
        <v>TFMEDST100</v>
      </c>
      <c r="C219" s="178"/>
      <c r="D219" s="179"/>
      <c r="E219" s="178"/>
      <c r="F219" s="182"/>
      <c r="G219" s="181"/>
      <c r="H219" s="182"/>
      <c r="I219" s="183"/>
      <c r="J219" s="184"/>
      <c r="K219" s="184"/>
      <c r="L219" s="203" t="s">
        <v>1130</v>
      </c>
      <c r="M219" s="184" t="s">
        <v>1131</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x14ac:dyDescent="0.3">
      <c r="B220" s="178" t="str">
        <f>B219</f>
        <v>TFMEDST100</v>
      </c>
      <c r="C220" s="178"/>
      <c r="D220" s="179"/>
      <c r="E220" s="178"/>
      <c r="F220" s="182"/>
      <c r="G220" s="181"/>
      <c r="H220" s="182"/>
      <c r="I220" s="183">
        <f>$M$3</f>
        <v>2019</v>
      </c>
      <c r="J220" s="184"/>
      <c r="K220" s="184"/>
      <c r="L220" s="203" t="s">
        <v>1065</v>
      </c>
      <c r="M220" s="184" t="s">
        <v>748</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x14ac:dyDescent="0.3">
      <c r="B221" s="178" t="str">
        <f t="shared" si="247"/>
        <v>TFMEDST100</v>
      </c>
      <c r="C221" s="178"/>
      <c r="D221" s="179"/>
      <c r="E221" s="178"/>
      <c r="F221" s="182"/>
      <c r="G221" s="181"/>
      <c r="H221" s="182"/>
      <c r="I221" s="183">
        <f>AF$5</f>
        <v>2020</v>
      </c>
      <c r="J221" s="184"/>
      <c r="K221" s="184"/>
      <c r="L221" s="203" t="s">
        <v>1065</v>
      </c>
      <c r="M221" s="184" t="s">
        <v>748</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x14ac:dyDescent="0.3">
      <c r="B222" s="178" t="str">
        <f t="shared" si="247"/>
        <v>TFMEDST100</v>
      </c>
      <c r="C222" s="178"/>
      <c r="D222" s="179"/>
      <c r="E222" s="178"/>
      <c r="F222" s="182"/>
      <c r="G222" s="181"/>
      <c r="H222" s="182"/>
      <c r="I222" s="183">
        <f>AF$6</f>
        <v>2025</v>
      </c>
      <c r="J222" s="184"/>
      <c r="K222" s="184"/>
      <c r="L222" s="203" t="s">
        <v>1065</v>
      </c>
      <c r="M222" s="184" t="s">
        <v>748</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x14ac:dyDescent="0.3">
      <c r="B223" s="178" t="str">
        <f t="shared" si="247"/>
        <v>TFMEDST100</v>
      </c>
      <c r="C223" s="178"/>
      <c r="D223" s="179"/>
      <c r="E223" s="178"/>
      <c r="F223" s="182"/>
      <c r="G223" s="181"/>
      <c r="H223" s="182"/>
      <c r="I223" s="183">
        <f>AF$7</f>
        <v>2030</v>
      </c>
      <c r="J223" s="184"/>
      <c r="K223" s="184"/>
      <c r="L223" s="203" t="s">
        <v>1065</v>
      </c>
      <c r="M223" s="184" t="s">
        <v>748</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x14ac:dyDescent="0.3">
      <c r="B224" s="178" t="str">
        <f t="shared" si="247"/>
        <v>TFMEDST100</v>
      </c>
      <c r="C224" s="178"/>
      <c r="D224" s="179"/>
      <c r="E224" s="178"/>
      <c r="F224" s="182"/>
      <c r="G224" s="181"/>
      <c r="H224" s="182"/>
      <c r="I224" s="183">
        <f>AF$8</f>
        <v>2035</v>
      </c>
      <c r="J224" s="184"/>
      <c r="K224" s="184"/>
      <c r="L224" s="203" t="s">
        <v>1065</v>
      </c>
      <c r="M224" s="184" t="s">
        <v>748</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x14ac:dyDescent="0.3">
      <c r="B225" s="178" t="str">
        <f t="shared" si="247"/>
        <v>TFMEDST100</v>
      </c>
      <c r="C225" s="178"/>
      <c r="D225" s="179"/>
      <c r="E225" s="178"/>
      <c r="F225" s="182"/>
      <c r="G225" s="181"/>
      <c r="H225" s="182"/>
      <c r="I225" s="183">
        <f>AF$9</f>
        <v>2040</v>
      </c>
      <c r="J225" s="184"/>
      <c r="K225" s="184"/>
      <c r="L225" s="203" t="s">
        <v>1065</v>
      </c>
      <c r="M225" s="184" t="s">
        <v>748</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x14ac:dyDescent="0.3">
      <c r="B226" s="204" t="str">
        <f t="shared" si="247"/>
        <v>TFMEDST100</v>
      </c>
      <c r="C226" s="204"/>
      <c r="D226" s="205"/>
      <c r="E226" s="204"/>
      <c r="F226" s="206"/>
      <c r="G226" s="207"/>
      <c r="H226" s="206"/>
      <c r="I226" s="208">
        <f>AF$10</f>
        <v>2050</v>
      </c>
      <c r="J226" s="209"/>
      <c r="K226" s="209"/>
      <c r="L226" s="210" t="s">
        <v>1065</v>
      </c>
      <c r="M226" s="209" t="s">
        <v>748</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x14ac:dyDescent="0.3">
      <c r="A227" s="82"/>
      <c r="B227" s="178" t="str">
        <f>C227</f>
        <v>TFMEELC100</v>
      </c>
      <c r="C227" s="178" t="s">
        <v>360</v>
      </c>
      <c r="D227" s="179" t="s">
        <v>830</v>
      </c>
      <c r="E227" s="180" t="s">
        <v>683</v>
      </c>
      <c r="F227" s="182"/>
      <c r="G227" s="181"/>
      <c r="H227" s="182"/>
      <c r="I227" s="183"/>
      <c r="J227" s="184"/>
      <c r="K227" s="184"/>
      <c r="L227" s="203" t="s">
        <v>1107</v>
      </c>
      <c r="M227" s="184" t="s">
        <v>1125</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x14ac:dyDescent="0.3">
      <c r="A228" s="82"/>
      <c r="B228" s="178" t="str">
        <f>B227</f>
        <v>TFMEELC100</v>
      </c>
      <c r="C228" s="178"/>
      <c r="D228" s="179"/>
      <c r="E228" s="178"/>
      <c r="F228" s="182"/>
      <c r="G228" s="324" t="s">
        <v>435</v>
      </c>
      <c r="H228" s="182"/>
      <c r="I228" s="183"/>
      <c r="J228" s="184"/>
      <c r="K228" s="184"/>
      <c r="L228" s="184" t="s">
        <v>1126</v>
      </c>
      <c r="M228" s="184" t="s">
        <v>678</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x14ac:dyDescent="0.3">
      <c r="A229" s="82"/>
      <c r="B229" s="178" t="str">
        <f t="shared" ref="B229:B238" si="259">B228</f>
        <v>TFMEELC100</v>
      </c>
      <c r="C229" s="178"/>
      <c r="D229" s="179"/>
      <c r="E229" s="178"/>
      <c r="F229" s="182"/>
      <c r="G229" s="324" t="s">
        <v>433</v>
      </c>
      <c r="H229" s="182"/>
      <c r="I229" s="183"/>
      <c r="J229" s="184"/>
      <c r="K229" s="184"/>
      <c r="L229" s="184" t="s">
        <v>1126</v>
      </c>
      <c r="M229" s="184" t="s">
        <v>678</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x14ac:dyDescent="0.3">
      <c r="A230" s="82"/>
      <c r="B230" s="178" t="str">
        <f>B229</f>
        <v>TFMEELC100</v>
      </c>
      <c r="C230" s="178"/>
      <c r="D230" s="179"/>
      <c r="E230" s="178"/>
      <c r="F230" s="182"/>
      <c r="G230" s="181"/>
      <c r="H230" s="182"/>
      <c r="I230" s="183"/>
      <c r="J230" s="184"/>
      <c r="K230" s="184" t="s">
        <v>749</v>
      </c>
      <c r="L230" s="184" t="s">
        <v>1128</v>
      </c>
      <c r="M230" s="184" t="s">
        <v>1175</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x14ac:dyDescent="0.3">
      <c r="A231" s="82"/>
      <c r="B231" s="178" t="str">
        <f t="shared" si="259"/>
        <v>TFMEELC100</v>
      </c>
      <c r="C231" s="178"/>
      <c r="D231" s="179"/>
      <c r="E231" s="178"/>
      <c r="F231" s="182"/>
      <c r="G231" s="181"/>
      <c r="H231" s="182"/>
      <c r="I231" s="183"/>
      <c r="J231" s="184"/>
      <c r="K231" s="184"/>
      <c r="L231" s="203" t="s">
        <v>1130</v>
      </c>
      <c r="M231" s="184" t="s">
        <v>1131</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x14ac:dyDescent="0.3">
      <c r="A232" s="82"/>
      <c r="B232" s="178" t="str">
        <f>B231</f>
        <v>TFMEELC100</v>
      </c>
      <c r="C232" s="178"/>
      <c r="D232" s="179"/>
      <c r="E232" s="178"/>
      <c r="F232" s="182"/>
      <c r="G232" s="181"/>
      <c r="H232" s="182"/>
      <c r="I232" s="183">
        <f>$M$3</f>
        <v>2019</v>
      </c>
      <c r="J232" s="184"/>
      <c r="K232" s="184"/>
      <c r="L232" s="203" t="s">
        <v>1065</v>
      </c>
      <c r="M232" s="184" t="s">
        <v>748</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x14ac:dyDescent="0.3">
      <c r="A233" s="82"/>
      <c r="B233" s="178" t="str">
        <f t="shared" si="259"/>
        <v>TFMEELC100</v>
      </c>
      <c r="C233" s="178"/>
      <c r="D233" s="179"/>
      <c r="E233" s="178"/>
      <c r="F233" s="182"/>
      <c r="G233" s="181"/>
      <c r="H233" s="182"/>
      <c r="I233" s="183">
        <f>AF$5</f>
        <v>2020</v>
      </c>
      <c r="J233" s="184"/>
      <c r="K233" s="184"/>
      <c r="L233" s="203" t="s">
        <v>1065</v>
      </c>
      <c r="M233" s="184" t="s">
        <v>748</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x14ac:dyDescent="0.3">
      <c r="A234" s="82"/>
      <c r="B234" s="178" t="str">
        <f t="shared" si="259"/>
        <v>TFMEELC100</v>
      </c>
      <c r="C234" s="178"/>
      <c r="D234" s="179"/>
      <c r="E234" s="178"/>
      <c r="F234" s="182"/>
      <c r="G234" s="181"/>
      <c r="H234" s="182"/>
      <c r="I234" s="183">
        <f>AF$6</f>
        <v>2025</v>
      </c>
      <c r="J234" s="184"/>
      <c r="K234" s="184"/>
      <c r="L234" s="203" t="s">
        <v>1065</v>
      </c>
      <c r="M234" s="184" t="s">
        <v>748</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x14ac:dyDescent="0.3">
      <c r="A235" s="82"/>
      <c r="B235" s="178" t="str">
        <f t="shared" si="259"/>
        <v>TFMEELC100</v>
      </c>
      <c r="C235" s="178"/>
      <c r="D235" s="179"/>
      <c r="E235" s="178"/>
      <c r="F235" s="182"/>
      <c r="G235" s="181"/>
      <c r="H235" s="182"/>
      <c r="I235" s="183">
        <f>AF$7</f>
        <v>2030</v>
      </c>
      <c r="J235" s="184"/>
      <c r="K235" s="184"/>
      <c r="L235" s="203" t="s">
        <v>1065</v>
      </c>
      <c r="M235" s="184" t="s">
        <v>748</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x14ac:dyDescent="0.3">
      <c r="A236" s="82"/>
      <c r="B236" s="178" t="str">
        <f t="shared" si="259"/>
        <v>TFMEELC100</v>
      </c>
      <c r="C236" s="178"/>
      <c r="D236" s="179"/>
      <c r="E236" s="178"/>
      <c r="F236" s="182"/>
      <c r="G236" s="181"/>
      <c r="H236" s="182"/>
      <c r="I236" s="183">
        <f>AF$8</f>
        <v>2035</v>
      </c>
      <c r="J236" s="184"/>
      <c r="K236" s="184"/>
      <c r="L236" s="203" t="s">
        <v>1065</v>
      </c>
      <c r="M236" s="184" t="s">
        <v>748</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x14ac:dyDescent="0.3">
      <c r="A237" s="82"/>
      <c r="B237" s="178" t="str">
        <f t="shared" si="259"/>
        <v>TFMEELC100</v>
      </c>
      <c r="C237" s="178"/>
      <c r="D237" s="179"/>
      <c r="E237" s="178"/>
      <c r="F237" s="182"/>
      <c r="G237" s="181"/>
      <c r="H237" s="182"/>
      <c r="I237" s="183">
        <f>AF$9</f>
        <v>2040</v>
      </c>
      <c r="J237" s="184"/>
      <c r="K237" s="184"/>
      <c r="L237" s="203" t="s">
        <v>1065</v>
      </c>
      <c r="M237" s="184" t="s">
        <v>748</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x14ac:dyDescent="0.3">
      <c r="A238" s="82"/>
      <c r="B238" s="204" t="str">
        <f t="shared" si="259"/>
        <v>TFMEELC100</v>
      </c>
      <c r="C238" s="204"/>
      <c r="D238" s="205"/>
      <c r="E238" s="204"/>
      <c r="F238" s="206"/>
      <c r="G238" s="207"/>
      <c r="H238" s="206"/>
      <c r="I238" s="208">
        <f>AF$10</f>
        <v>2050</v>
      </c>
      <c r="J238" s="209"/>
      <c r="K238" s="209"/>
      <c r="L238" s="210" t="s">
        <v>1065</v>
      </c>
      <c r="M238" s="209" t="s">
        <v>748</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x14ac:dyDescent="0.3">
      <c r="A239" s="82"/>
      <c r="B239" s="178" t="str">
        <f>C239</f>
        <v>TFMEETH100</v>
      </c>
      <c r="C239" s="178" t="s">
        <v>361</v>
      </c>
      <c r="D239" s="179" t="s">
        <v>832</v>
      </c>
      <c r="E239" s="180" t="s">
        <v>1010</v>
      </c>
      <c r="F239" s="182"/>
      <c r="G239" s="181"/>
      <c r="H239" s="182"/>
      <c r="I239" s="183"/>
      <c r="J239" s="184"/>
      <c r="K239" s="184"/>
      <c r="L239" s="203" t="s">
        <v>1107</v>
      </c>
      <c r="M239" s="184" t="s">
        <v>1125</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x14ac:dyDescent="0.3">
      <c r="A240" s="82"/>
      <c r="B240" s="178" t="str">
        <f>B239</f>
        <v>TFMEETH100</v>
      </c>
      <c r="C240" s="178"/>
      <c r="D240" s="179"/>
      <c r="E240" s="178"/>
      <c r="F240" s="182"/>
      <c r="G240" s="324" t="s">
        <v>435</v>
      </c>
      <c r="H240" s="182"/>
      <c r="I240" s="183"/>
      <c r="J240" s="184"/>
      <c r="K240" s="184"/>
      <c r="L240" s="184" t="s">
        <v>1126</v>
      </c>
      <c r="M240" s="184" t="s">
        <v>678</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x14ac:dyDescent="0.3">
      <c r="A241" s="82"/>
      <c r="B241" s="178" t="str">
        <f t="shared" ref="B241:B250" si="271">B240</f>
        <v>TFMEETH100</v>
      </c>
      <c r="C241" s="178"/>
      <c r="D241" s="179"/>
      <c r="E241" s="178"/>
      <c r="F241" s="182"/>
      <c r="G241" s="324" t="s">
        <v>433</v>
      </c>
      <c r="H241" s="182"/>
      <c r="I241" s="183"/>
      <c r="J241" s="184"/>
      <c r="K241" s="184"/>
      <c r="L241" s="184" t="s">
        <v>1126</v>
      </c>
      <c r="M241" s="184" t="s">
        <v>678</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x14ac:dyDescent="0.3">
      <c r="A242" s="82"/>
      <c r="B242" s="178" t="str">
        <f>B241</f>
        <v>TFMEETH100</v>
      </c>
      <c r="C242" s="178"/>
      <c r="D242" s="179"/>
      <c r="E242" s="178"/>
      <c r="F242" s="182"/>
      <c r="G242" s="181"/>
      <c r="H242" s="182"/>
      <c r="I242" s="183"/>
      <c r="J242" s="184"/>
      <c r="K242" s="184" t="s">
        <v>749</v>
      </c>
      <c r="L242" s="184" t="s">
        <v>1128</v>
      </c>
      <c r="M242" s="184" t="s">
        <v>1175</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x14ac:dyDescent="0.3">
      <c r="A243" s="82"/>
      <c r="B243" s="178" t="str">
        <f t="shared" si="271"/>
        <v>TFMEETH100</v>
      </c>
      <c r="C243" s="178"/>
      <c r="D243" s="179"/>
      <c r="E243" s="178"/>
      <c r="F243" s="182"/>
      <c r="G243" s="181"/>
      <c r="H243" s="182"/>
      <c r="I243" s="183"/>
      <c r="J243" s="184"/>
      <c r="K243" s="184"/>
      <c r="L243" s="203" t="s">
        <v>1130</v>
      </c>
      <c r="M243" s="184" t="s">
        <v>1131</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x14ac:dyDescent="0.3">
      <c r="A244" s="82"/>
      <c r="B244" s="178" t="str">
        <f>B243</f>
        <v>TFMEETH100</v>
      </c>
      <c r="C244" s="178"/>
      <c r="D244" s="179"/>
      <c r="E244" s="178"/>
      <c r="F244" s="182"/>
      <c r="G244" s="181"/>
      <c r="H244" s="182"/>
      <c r="I244" s="183">
        <f>$M$3</f>
        <v>2019</v>
      </c>
      <c r="J244" s="184"/>
      <c r="K244" s="184"/>
      <c r="L244" s="203" t="s">
        <v>1065</v>
      </c>
      <c r="M244" s="184" t="s">
        <v>748</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x14ac:dyDescent="0.3">
      <c r="A245" s="82"/>
      <c r="B245" s="178" t="str">
        <f t="shared" si="271"/>
        <v>TFMEETH100</v>
      </c>
      <c r="C245" s="178"/>
      <c r="D245" s="179"/>
      <c r="E245" s="178"/>
      <c r="F245" s="182"/>
      <c r="G245" s="181"/>
      <c r="H245" s="182"/>
      <c r="I245" s="183">
        <f>AF$5</f>
        <v>2020</v>
      </c>
      <c r="J245" s="184"/>
      <c r="K245" s="184"/>
      <c r="L245" s="203" t="s">
        <v>1065</v>
      </c>
      <c r="M245" s="184" t="s">
        <v>748</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x14ac:dyDescent="0.3">
      <c r="A246" s="82"/>
      <c r="B246" s="178" t="str">
        <f t="shared" si="271"/>
        <v>TFMEETH100</v>
      </c>
      <c r="C246" s="178"/>
      <c r="D246" s="179"/>
      <c r="E246" s="178"/>
      <c r="F246" s="182"/>
      <c r="G246" s="181"/>
      <c r="H246" s="182"/>
      <c r="I246" s="183">
        <f>AF$6</f>
        <v>2025</v>
      </c>
      <c r="J246" s="184"/>
      <c r="K246" s="184"/>
      <c r="L246" s="203" t="s">
        <v>1065</v>
      </c>
      <c r="M246" s="184" t="s">
        <v>748</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x14ac:dyDescent="0.3">
      <c r="A247" s="82"/>
      <c r="B247" s="178" t="str">
        <f t="shared" si="271"/>
        <v>TFMEETH100</v>
      </c>
      <c r="C247" s="178"/>
      <c r="D247" s="179"/>
      <c r="E247" s="178"/>
      <c r="F247" s="182"/>
      <c r="G247" s="181"/>
      <c r="H247" s="182"/>
      <c r="I247" s="183">
        <f>AF$7</f>
        <v>2030</v>
      </c>
      <c r="J247" s="184"/>
      <c r="K247" s="184"/>
      <c r="L247" s="203" t="s">
        <v>1065</v>
      </c>
      <c r="M247" s="184" t="s">
        <v>748</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x14ac:dyDescent="0.3">
      <c r="A248" s="82"/>
      <c r="B248" s="178" t="str">
        <f t="shared" si="271"/>
        <v>TFMEETH100</v>
      </c>
      <c r="C248" s="178"/>
      <c r="D248" s="179"/>
      <c r="E248" s="178"/>
      <c r="F248" s="182"/>
      <c r="G248" s="181"/>
      <c r="H248" s="182"/>
      <c r="I248" s="183">
        <f>AF$8</f>
        <v>2035</v>
      </c>
      <c r="J248" s="184"/>
      <c r="K248" s="184"/>
      <c r="L248" s="203" t="s">
        <v>1065</v>
      </c>
      <c r="M248" s="184" t="s">
        <v>748</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x14ac:dyDescent="0.3">
      <c r="A249" s="82"/>
      <c r="B249" s="178" t="str">
        <f t="shared" si="271"/>
        <v>TFMEETH100</v>
      </c>
      <c r="C249" s="178"/>
      <c r="D249" s="179"/>
      <c r="E249" s="178"/>
      <c r="F249" s="182"/>
      <c r="G249" s="181"/>
      <c r="H249" s="182"/>
      <c r="I249" s="183">
        <f>AF$9</f>
        <v>2040</v>
      </c>
      <c r="J249" s="184"/>
      <c r="K249" s="184"/>
      <c r="L249" s="203" t="s">
        <v>1065</v>
      </c>
      <c r="M249" s="184" t="s">
        <v>748</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x14ac:dyDescent="0.3">
      <c r="A250" s="82"/>
      <c r="B250" s="204" t="str">
        <f t="shared" si="271"/>
        <v>TFMEETH100</v>
      </c>
      <c r="C250" s="204"/>
      <c r="D250" s="205"/>
      <c r="E250" s="204"/>
      <c r="F250" s="206"/>
      <c r="G250" s="207"/>
      <c r="H250" s="206"/>
      <c r="I250" s="208">
        <f>AF$10</f>
        <v>2050</v>
      </c>
      <c r="J250" s="209"/>
      <c r="K250" s="209"/>
      <c r="L250" s="210" t="s">
        <v>1065</v>
      </c>
      <c r="M250" s="209" t="s">
        <v>748</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x14ac:dyDescent="0.3">
      <c r="A251" s="82"/>
      <c r="B251" s="178" t="str">
        <f>C251</f>
        <v>TFMEGAS100</v>
      </c>
      <c r="C251" s="178" t="s">
        <v>362</v>
      </c>
      <c r="D251" s="179" t="s">
        <v>834</v>
      </c>
      <c r="E251" s="407" t="s">
        <v>994</v>
      </c>
      <c r="F251" s="182"/>
      <c r="G251" s="181"/>
      <c r="H251" s="182"/>
      <c r="I251" s="183"/>
      <c r="J251" s="184"/>
      <c r="K251" s="184"/>
      <c r="L251" s="203" t="s">
        <v>1107</v>
      </c>
      <c r="M251" s="184" t="s">
        <v>1125</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x14ac:dyDescent="0.3">
      <c r="A252" s="82"/>
      <c r="B252" s="178" t="str">
        <f>B251</f>
        <v>TFMEGAS100</v>
      </c>
      <c r="C252" s="178"/>
      <c r="D252" s="179"/>
      <c r="E252" s="407" t="s">
        <v>1039</v>
      </c>
      <c r="F252" s="182"/>
      <c r="G252" s="180"/>
      <c r="H252" s="182"/>
      <c r="I252" s="183"/>
      <c r="J252" s="184" t="s">
        <v>1157</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x14ac:dyDescent="0.3">
      <c r="A253" s="82"/>
      <c r="B253" s="178" t="str">
        <f>B252</f>
        <v>TFMEGAS100</v>
      </c>
      <c r="C253" s="178"/>
      <c r="D253" s="179"/>
      <c r="E253" s="178"/>
      <c r="F253" s="182"/>
      <c r="G253" s="324" t="s">
        <v>435</v>
      </c>
      <c r="H253" s="182"/>
      <c r="I253" s="183"/>
      <c r="J253" s="184"/>
      <c r="K253" s="184"/>
      <c r="L253" s="184" t="s">
        <v>1126</v>
      </c>
      <c r="M253" s="184" t="s">
        <v>678</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x14ac:dyDescent="0.3">
      <c r="A254" s="82"/>
      <c r="B254" s="178" t="str">
        <f t="shared" ref="B254:B263" si="286">B253</f>
        <v>TFMEGAS100</v>
      </c>
      <c r="C254" s="178"/>
      <c r="D254" s="179"/>
      <c r="E254" s="178"/>
      <c r="F254" s="182"/>
      <c r="G254" s="324" t="s">
        <v>433</v>
      </c>
      <c r="H254" s="182"/>
      <c r="I254" s="183"/>
      <c r="J254" s="184"/>
      <c r="K254" s="184"/>
      <c r="L254" s="184" t="s">
        <v>1126</v>
      </c>
      <c r="M254" s="184" t="s">
        <v>678</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x14ac:dyDescent="0.3">
      <c r="A255" s="82"/>
      <c r="B255" s="178" t="str">
        <f t="shared" si="286"/>
        <v>TFMEGAS100</v>
      </c>
      <c r="C255" s="178"/>
      <c r="D255" s="179"/>
      <c r="E255" s="178"/>
      <c r="F255" s="182"/>
      <c r="G255" s="181"/>
      <c r="H255" s="182"/>
      <c r="I255" s="183"/>
      <c r="J255" s="184"/>
      <c r="K255" s="184" t="s">
        <v>749</v>
      </c>
      <c r="L255" s="184" t="s">
        <v>1128</v>
      </c>
      <c r="M255" s="184" t="s">
        <v>1175</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x14ac:dyDescent="0.3">
      <c r="A256" s="82"/>
      <c r="B256" s="178" t="str">
        <f t="shared" si="286"/>
        <v>TFMEGAS100</v>
      </c>
      <c r="C256" s="178"/>
      <c r="D256" s="179"/>
      <c r="E256" s="178"/>
      <c r="F256" s="182"/>
      <c r="G256" s="181"/>
      <c r="H256" s="182"/>
      <c r="I256" s="183"/>
      <c r="J256" s="184"/>
      <c r="K256" s="184"/>
      <c r="L256" s="203" t="s">
        <v>1130</v>
      </c>
      <c r="M256" s="184" t="s">
        <v>1131</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x14ac:dyDescent="0.3">
      <c r="A257" s="82"/>
      <c r="B257" s="178" t="str">
        <f t="shared" si="286"/>
        <v>TFMEGAS100</v>
      </c>
      <c r="C257" s="178"/>
      <c r="D257" s="179"/>
      <c r="E257" s="178"/>
      <c r="F257" s="182"/>
      <c r="G257" s="181"/>
      <c r="H257" s="182"/>
      <c r="I257" s="183">
        <f>$M$3</f>
        <v>2019</v>
      </c>
      <c r="J257" s="184"/>
      <c r="K257" s="184"/>
      <c r="L257" s="203" t="s">
        <v>1065</v>
      </c>
      <c r="M257" s="184" t="s">
        <v>748</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x14ac:dyDescent="0.3">
      <c r="A258" s="82"/>
      <c r="B258" s="178" t="str">
        <f t="shared" si="286"/>
        <v>TFMEGAS100</v>
      </c>
      <c r="C258" s="178"/>
      <c r="D258" s="179"/>
      <c r="E258" s="178"/>
      <c r="F258" s="182"/>
      <c r="G258" s="181"/>
      <c r="H258" s="182"/>
      <c r="I258" s="183">
        <f>AF$5</f>
        <v>2020</v>
      </c>
      <c r="J258" s="184"/>
      <c r="K258" s="184"/>
      <c r="L258" s="203" t="s">
        <v>1065</v>
      </c>
      <c r="M258" s="184" t="s">
        <v>748</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x14ac:dyDescent="0.3">
      <c r="A259" s="82"/>
      <c r="B259" s="178" t="str">
        <f t="shared" si="286"/>
        <v>TFMEGAS100</v>
      </c>
      <c r="C259" s="178"/>
      <c r="D259" s="179"/>
      <c r="E259" s="178"/>
      <c r="F259" s="182"/>
      <c r="G259" s="181"/>
      <c r="H259" s="182"/>
      <c r="I259" s="183">
        <f>AF$6</f>
        <v>2025</v>
      </c>
      <c r="J259" s="184"/>
      <c r="K259" s="184"/>
      <c r="L259" s="203" t="s">
        <v>1065</v>
      </c>
      <c r="M259" s="184" t="s">
        <v>748</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x14ac:dyDescent="0.3">
      <c r="A260" s="82"/>
      <c r="B260" s="178" t="str">
        <f t="shared" si="286"/>
        <v>TFMEGAS100</v>
      </c>
      <c r="C260" s="178"/>
      <c r="D260" s="179"/>
      <c r="E260" s="178"/>
      <c r="F260" s="182"/>
      <c r="G260" s="181"/>
      <c r="H260" s="182"/>
      <c r="I260" s="183">
        <f>AF$7</f>
        <v>2030</v>
      </c>
      <c r="J260" s="184"/>
      <c r="K260" s="184"/>
      <c r="L260" s="203" t="s">
        <v>1065</v>
      </c>
      <c r="M260" s="184" t="s">
        <v>748</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x14ac:dyDescent="0.3">
      <c r="A261" s="82"/>
      <c r="B261" s="178" t="str">
        <f t="shared" si="286"/>
        <v>TFMEGAS100</v>
      </c>
      <c r="C261" s="178"/>
      <c r="D261" s="179"/>
      <c r="E261" s="178"/>
      <c r="F261" s="182"/>
      <c r="G261" s="181"/>
      <c r="H261" s="182"/>
      <c r="I261" s="183">
        <f>AF$8</f>
        <v>2035</v>
      </c>
      <c r="J261" s="184"/>
      <c r="K261" s="184"/>
      <c r="L261" s="203" t="s">
        <v>1065</v>
      </c>
      <c r="M261" s="184" t="s">
        <v>748</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x14ac:dyDescent="0.3">
      <c r="A262" s="82"/>
      <c r="B262" s="178" t="str">
        <f t="shared" si="286"/>
        <v>TFMEGAS100</v>
      </c>
      <c r="C262" s="178"/>
      <c r="D262" s="179"/>
      <c r="E262" s="178"/>
      <c r="F262" s="182"/>
      <c r="G262" s="181"/>
      <c r="H262" s="182"/>
      <c r="I262" s="183">
        <f>AF$9</f>
        <v>2040</v>
      </c>
      <c r="J262" s="184"/>
      <c r="K262" s="184"/>
      <c r="L262" s="203" t="s">
        <v>1065</v>
      </c>
      <c r="M262" s="184" t="s">
        <v>748</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x14ac:dyDescent="0.3">
      <c r="A263" s="82"/>
      <c r="B263" s="204" t="str">
        <f t="shared" si="286"/>
        <v>TFMEGAS100</v>
      </c>
      <c r="C263" s="204"/>
      <c r="D263" s="205"/>
      <c r="E263" s="204"/>
      <c r="F263" s="206"/>
      <c r="G263" s="207"/>
      <c r="H263" s="206"/>
      <c r="I263" s="208">
        <f>AF$10</f>
        <v>2050</v>
      </c>
      <c r="J263" s="209"/>
      <c r="K263" s="209"/>
      <c r="L263" s="210" t="s">
        <v>1065</v>
      </c>
      <c r="M263" s="209" t="s">
        <v>748</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x14ac:dyDescent="0.3">
      <c r="A264" s="82"/>
      <c r="B264" s="178" t="str">
        <f>C264</f>
        <v>TFMEGSL100</v>
      </c>
      <c r="C264" s="178" t="s">
        <v>363</v>
      </c>
      <c r="D264" s="179" t="s">
        <v>836</v>
      </c>
      <c r="E264" s="407" t="s">
        <v>1014</v>
      </c>
      <c r="F264" s="182"/>
      <c r="G264" s="181"/>
      <c r="H264" s="182"/>
      <c r="I264" s="183"/>
      <c r="J264" s="184"/>
      <c r="K264" s="184"/>
      <c r="L264" s="203" t="s">
        <v>1107</v>
      </c>
      <c r="M264" s="184" t="s">
        <v>1125</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x14ac:dyDescent="0.3">
      <c r="A265" s="82"/>
      <c r="B265" s="178" t="str">
        <f>B264</f>
        <v>TFMEGSL100</v>
      </c>
      <c r="C265" s="178"/>
      <c r="D265" s="179"/>
      <c r="E265" s="407" t="s">
        <v>1012</v>
      </c>
      <c r="F265" s="182"/>
      <c r="G265" s="181"/>
      <c r="H265" s="182"/>
      <c r="I265" s="183"/>
      <c r="J265" s="184" t="s">
        <v>1127</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x14ac:dyDescent="0.3">
      <c r="A266" s="82"/>
      <c r="B266" s="178" t="str">
        <f>B265</f>
        <v>TFMEGSL100</v>
      </c>
      <c r="C266" s="178"/>
      <c r="D266" s="179"/>
      <c r="E266" s="178"/>
      <c r="F266" s="182"/>
      <c r="G266" s="324" t="s">
        <v>435</v>
      </c>
      <c r="H266" s="182"/>
      <c r="I266" s="183"/>
      <c r="J266" s="184"/>
      <c r="K266" s="184"/>
      <c r="L266" s="184" t="s">
        <v>1126</v>
      </c>
      <c r="M266" s="184" t="s">
        <v>678</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x14ac:dyDescent="0.3">
      <c r="A267" s="82"/>
      <c r="B267" s="178" t="str">
        <f>B266</f>
        <v>TFMEGSL100</v>
      </c>
      <c r="C267" s="178"/>
      <c r="D267" s="179"/>
      <c r="E267" s="178"/>
      <c r="F267" s="182"/>
      <c r="G267" s="324" t="s">
        <v>433</v>
      </c>
      <c r="H267" s="182"/>
      <c r="I267" s="183"/>
      <c r="J267" s="184"/>
      <c r="K267" s="184"/>
      <c r="L267" s="184" t="s">
        <v>1126</v>
      </c>
      <c r="M267" s="184" t="s">
        <v>678</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x14ac:dyDescent="0.3">
      <c r="A268" s="82"/>
      <c r="B268" s="178" t="str">
        <f t="shared" ref="B268:B276" si="300">B267</f>
        <v>TFMEGSL100</v>
      </c>
      <c r="C268" s="178"/>
      <c r="D268" s="179"/>
      <c r="E268" s="178"/>
      <c r="F268" s="182"/>
      <c r="G268" s="181"/>
      <c r="H268" s="182"/>
      <c r="I268" s="183"/>
      <c r="J268" s="184"/>
      <c r="K268" s="184" t="s">
        <v>749</v>
      </c>
      <c r="L268" s="184" t="s">
        <v>1128</v>
      </c>
      <c r="M268" s="184" t="s">
        <v>1175</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x14ac:dyDescent="0.3">
      <c r="A269" s="82"/>
      <c r="B269" s="178" t="str">
        <f t="shared" si="300"/>
        <v>TFMEGSL100</v>
      </c>
      <c r="C269" s="178"/>
      <c r="D269" s="179"/>
      <c r="E269" s="178"/>
      <c r="F269" s="182"/>
      <c r="G269" s="181"/>
      <c r="H269" s="182"/>
      <c r="I269" s="183"/>
      <c r="J269" s="184"/>
      <c r="K269" s="184"/>
      <c r="L269" s="203" t="s">
        <v>1130</v>
      </c>
      <c r="M269" s="184" t="s">
        <v>1131</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x14ac:dyDescent="0.3">
      <c r="A270" s="82"/>
      <c r="B270" s="178" t="str">
        <f t="shared" si="300"/>
        <v>TFMEGSL100</v>
      </c>
      <c r="C270" s="178"/>
      <c r="D270" s="179"/>
      <c r="E270" s="178"/>
      <c r="F270" s="182"/>
      <c r="G270" s="181"/>
      <c r="H270" s="182"/>
      <c r="I270" s="183">
        <f>$M$3</f>
        <v>2019</v>
      </c>
      <c r="J270" s="184"/>
      <c r="K270" s="184"/>
      <c r="L270" s="203" t="s">
        <v>1065</v>
      </c>
      <c r="M270" s="184" t="s">
        <v>748</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x14ac:dyDescent="0.3">
      <c r="A271" s="82"/>
      <c r="B271" s="178" t="str">
        <f t="shared" si="300"/>
        <v>TFMEGSL100</v>
      </c>
      <c r="C271" s="178"/>
      <c r="D271" s="179"/>
      <c r="E271" s="178"/>
      <c r="F271" s="182"/>
      <c r="G271" s="181"/>
      <c r="H271" s="182"/>
      <c r="I271" s="183">
        <f>AF$5</f>
        <v>2020</v>
      </c>
      <c r="J271" s="184"/>
      <c r="K271" s="184"/>
      <c r="L271" s="203" t="s">
        <v>1065</v>
      </c>
      <c r="M271" s="184" t="s">
        <v>748</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x14ac:dyDescent="0.3">
      <c r="A272" s="82"/>
      <c r="B272" s="178" t="str">
        <f t="shared" si="300"/>
        <v>TFMEGSL100</v>
      </c>
      <c r="C272" s="178"/>
      <c r="D272" s="179"/>
      <c r="E272" s="178"/>
      <c r="F272" s="182"/>
      <c r="G272" s="181"/>
      <c r="H272" s="182"/>
      <c r="I272" s="183">
        <f>AF$6</f>
        <v>2025</v>
      </c>
      <c r="J272" s="184"/>
      <c r="K272" s="184"/>
      <c r="L272" s="203" t="s">
        <v>1065</v>
      </c>
      <c r="M272" s="184" t="s">
        <v>748</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x14ac:dyDescent="0.3">
      <c r="A273" s="82"/>
      <c r="B273" s="178" t="str">
        <f t="shared" si="300"/>
        <v>TFMEGSL100</v>
      </c>
      <c r="C273" s="178"/>
      <c r="D273" s="179"/>
      <c r="E273" s="178"/>
      <c r="F273" s="182"/>
      <c r="G273" s="181"/>
      <c r="H273" s="182"/>
      <c r="I273" s="183">
        <f>AF$7</f>
        <v>2030</v>
      </c>
      <c r="J273" s="184"/>
      <c r="K273" s="184"/>
      <c r="L273" s="203" t="s">
        <v>1065</v>
      </c>
      <c r="M273" s="184" t="s">
        <v>748</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x14ac:dyDescent="0.3">
      <c r="A274" s="82"/>
      <c r="B274" s="178" t="str">
        <f t="shared" si="300"/>
        <v>TFMEGSL100</v>
      </c>
      <c r="C274" s="178"/>
      <c r="D274" s="179"/>
      <c r="E274" s="178"/>
      <c r="F274" s="182"/>
      <c r="G274" s="181"/>
      <c r="H274" s="182"/>
      <c r="I274" s="183">
        <f>AF$8</f>
        <v>2035</v>
      </c>
      <c r="J274" s="184"/>
      <c r="K274" s="184"/>
      <c r="L274" s="203" t="s">
        <v>1065</v>
      </c>
      <c r="M274" s="184" t="s">
        <v>748</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x14ac:dyDescent="0.3">
      <c r="A275" s="82"/>
      <c r="B275" s="178" t="str">
        <f t="shared" si="300"/>
        <v>TFMEGSL100</v>
      </c>
      <c r="C275" s="178"/>
      <c r="D275" s="179"/>
      <c r="E275" s="178"/>
      <c r="F275" s="182"/>
      <c r="G275" s="181"/>
      <c r="H275" s="182"/>
      <c r="I275" s="183">
        <f>AF$9</f>
        <v>2040</v>
      </c>
      <c r="J275" s="184"/>
      <c r="K275" s="184"/>
      <c r="L275" s="203" t="s">
        <v>1065</v>
      </c>
      <c r="M275" s="184" t="s">
        <v>748</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x14ac:dyDescent="0.3">
      <c r="A276" s="82"/>
      <c r="B276" s="204" t="str">
        <f t="shared" si="300"/>
        <v>TFMEGSL100</v>
      </c>
      <c r="C276" s="204"/>
      <c r="D276" s="205"/>
      <c r="E276" s="204"/>
      <c r="F276" s="206"/>
      <c r="G276" s="207"/>
      <c r="H276" s="206"/>
      <c r="I276" s="208">
        <f>AF$10</f>
        <v>2050</v>
      </c>
      <c r="J276" s="209"/>
      <c r="K276" s="209"/>
      <c r="L276" s="210" t="s">
        <v>1065</v>
      </c>
      <c r="M276" s="209" t="s">
        <v>748</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x14ac:dyDescent="0.3">
      <c r="A277" s="82"/>
      <c r="B277" s="178" t="str">
        <f>C277</f>
        <v>TFMEHYD100</v>
      </c>
      <c r="C277" s="178" t="s">
        <v>364</v>
      </c>
      <c r="D277" s="179" t="s">
        <v>838</v>
      </c>
      <c r="E277" s="407" t="s">
        <v>988</v>
      </c>
      <c r="F277" s="182"/>
      <c r="G277" s="181"/>
      <c r="H277" s="182"/>
      <c r="I277" s="183"/>
      <c r="J277" s="184"/>
      <c r="K277" s="184"/>
      <c r="L277" s="203" t="s">
        <v>1107</v>
      </c>
      <c r="M277" s="184" t="s">
        <v>1125</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x14ac:dyDescent="0.3">
      <c r="A279" s="82"/>
      <c r="B279" s="178" t="str">
        <f t="shared" ref="B279" si="313">B278</f>
        <v>TFMEHYD100</v>
      </c>
      <c r="C279" s="178"/>
      <c r="D279" s="179"/>
      <c r="E279" s="407" t="s">
        <v>990</v>
      </c>
      <c r="F279" s="182"/>
      <c r="G279" s="181"/>
      <c r="H279" s="182"/>
      <c r="I279" s="183"/>
      <c r="J279" s="184" t="s">
        <v>1157</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x14ac:dyDescent="0.3">
      <c r="B280" s="178" t="str">
        <f t="shared" ref="B280:B289" si="315">B279</f>
        <v>TFMEHYD100</v>
      </c>
      <c r="C280" s="178"/>
      <c r="D280" s="179"/>
      <c r="E280" s="178"/>
      <c r="F280" s="182"/>
      <c r="G280" s="324" t="s">
        <v>433</v>
      </c>
      <c r="H280" s="182"/>
      <c r="I280" s="183"/>
      <c r="J280" s="184"/>
      <c r="K280" s="184"/>
      <c r="L280" s="184" t="s">
        <v>1126</v>
      </c>
      <c r="M280" s="184" t="s">
        <v>678</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x14ac:dyDescent="0.3">
      <c r="B281" s="178" t="str">
        <f>B280</f>
        <v>TFMEHYD100</v>
      </c>
      <c r="C281" s="178"/>
      <c r="D281" s="179"/>
      <c r="E281" s="178"/>
      <c r="F281" s="182"/>
      <c r="G281" s="181"/>
      <c r="H281" s="182"/>
      <c r="I281" s="183"/>
      <c r="J281" s="184"/>
      <c r="K281" s="184" t="s">
        <v>749</v>
      </c>
      <c r="L281" s="184" t="s">
        <v>1128</v>
      </c>
      <c r="M281" s="184" t="s">
        <v>1175</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x14ac:dyDescent="0.3">
      <c r="B282" s="178" t="str">
        <f t="shared" si="315"/>
        <v>TFMEHYD100</v>
      </c>
      <c r="C282" s="178"/>
      <c r="D282" s="179"/>
      <c r="E282" s="178"/>
      <c r="F282" s="182"/>
      <c r="G282" s="181"/>
      <c r="H282" s="182"/>
      <c r="I282" s="183"/>
      <c r="J282" s="184"/>
      <c r="K282" s="184"/>
      <c r="L282" s="203" t="s">
        <v>1130</v>
      </c>
      <c r="M282" s="184" t="s">
        <v>1131</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x14ac:dyDescent="0.3">
      <c r="B283" s="178" t="str">
        <f>B282</f>
        <v>TFMEHYD100</v>
      </c>
      <c r="C283" s="178"/>
      <c r="D283" s="179"/>
      <c r="E283" s="178"/>
      <c r="F283" s="182"/>
      <c r="G283" s="181"/>
      <c r="H283" s="182"/>
      <c r="I283" s="183">
        <f>$M$3</f>
        <v>2019</v>
      </c>
      <c r="J283" s="184"/>
      <c r="K283" s="184"/>
      <c r="L283" s="203" t="s">
        <v>1065</v>
      </c>
      <c r="M283" s="184" t="s">
        <v>748</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x14ac:dyDescent="0.3">
      <c r="B284" s="178" t="str">
        <f t="shared" si="315"/>
        <v>TFMEHYD100</v>
      </c>
      <c r="C284" s="178"/>
      <c r="D284" s="179"/>
      <c r="E284" s="178"/>
      <c r="F284" s="182"/>
      <c r="G284" s="181"/>
      <c r="H284" s="182"/>
      <c r="I284" s="183">
        <f>AF$5</f>
        <v>2020</v>
      </c>
      <c r="J284" s="184"/>
      <c r="K284" s="184"/>
      <c r="L284" s="203" t="s">
        <v>1065</v>
      </c>
      <c r="M284" s="184" t="s">
        <v>748</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x14ac:dyDescent="0.3">
      <c r="B285" s="178" t="str">
        <f t="shared" si="315"/>
        <v>TFMEHYD100</v>
      </c>
      <c r="C285" s="178"/>
      <c r="D285" s="179"/>
      <c r="E285" s="178"/>
      <c r="F285" s="182"/>
      <c r="G285" s="181"/>
      <c r="H285" s="182"/>
      <c r="I285" s="183">
        <f>AF$6</f>
        <v>2025</v>
      </c>
      <c r="J285" s="184"/>
      <c r="K285" s="184"/>
      <c r="L285" s="203" t="s">
        <v>1065</v>
      </c>
      <c r="M285" s="184" t="s">
        <v>748</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x14ac:dyDescent="0.3">
      <c r="B286" s="178" t="str">
        <f t="shared" si="315"/>
        <v>TFMEHYD100</v>
      </c>
      <c r="C286" s="178"/>
      <c r="D286" s="179"/>
      <c r="E286" s="178"/>
      <c r="F286" s="182"/>
      <c r="G286" s="181"/>
      <c r="H286" s="182"/>
      <c r="I286" s="183">
        <f>AF$7</f>
        <v>2030</v>
      </c>
      <c r="J286" s="184"/>
      <c r="K286" s="184"/>
      <c r="L286" s="203" t="s">
        <v>1065</v>
      </c>
      <c r="M286" s="184" t="s">
        <v>748</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x14ac:dyDescent="0.3">
      <c r="B287" s="178" t="str">
        <f t="shared" si="315"/>
        <v>TFMEHYD100</v>
      </c>
      <c r="C287" s="178"/>
      <c r="D287" s="179"/>
      <c r="E287" s="178"/>
      <c r="F287" s="182"/>
      <c r="G287" s="181"/>
      <c r="H287" s="182"/>
      <c r="I287" s="183">
        <f>AF$8</f>
        <v>2035</v>
      </c>
      <c r="J287" s="184"/>
      <c r="K287" s="184"/>
      <c r="L287" s="203" t="s">
        <v>1065</v>
      </c>
      <c r="M287" s="184" t="s">
        <v>748</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x14ac:dyDescent="0.3">
      <c r="B288" s="178" t="str">
        <f t="shared" si="315"/>
        <v>TFMEHYD100</v>
      </c>
      <c r="C288" s="178"/>
      <c r="D288" s="179"/>
      <c r="E288" s="178"/>
      <c r="F288" s="182"/>
      <c r="G288" s="181"/>
      <c r="H288" s="182"/>
      <c r="I288" s="183">
        <f>AF$9</f>
        <v>2040</v>
      </c>
      <c r="J288" s="184"/>
      <c r="K288" s="184"/>
      <c r="L288" s="203" t="s">
        <v>1065</v>
      </c>
      <c r="M288" s="184" t="s">
        <v>748</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x14ac:dyDescent="0.3">
      <c r="B289" s="204" t="str">
        <f t="shared" si="315"/>
        <v>TFMEHYD100</v>
      </c>
      <c r="C289" s="204"/>
      <c r="D289" s="205"/>
      <c r="E289" s="204"/>
      <c r="F289" s="206"/>
      <c r="G289" s="207"/>
      <c r="H289" s="206"/>
      <c r="I289" s="208">
        <f>AF$10</f>
        <v>2050</v>
      </c>
      <c r="J289" s="209"/>
      <c r="K289" s="209"/>
      <c r="L289" s="210" t="s">
        <v>1065</v>
      </c>
      <c r="M289" s="209" t="s">
        <v>748</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x14ac:dyDescent="0.3">
      <c r="A290" s="82"/>
      <c r="B290" s="178" t="str">
        <f>C290</f>
        <v>TFMEHYG100</v>
      </c>
      <c r="C290" s="178" t="s">
        <v>365</v>
      </c>
      <c r="D290" s="179" t="s">
        <v>840</v>
      </c>
      <c r="E290" s="407" t="s">
        <v>1014</v>
      </c>
      <c r="F290" s="182"/>
      <c r="G290" s="181"/>
      <c r="H290" s="182"/>
      <c r="I290" s="183"/>
      <c r="J290" s="184"/>
      <c r="K290" s="184"/>
      <c r="L290" s="203" t="s">
        <v>1107</v>
      </c>
      <c r="M290" s="184" t="s">
        <v>1125</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x14ac:dyDescent="0.3">
      <c r="A291" s="82"/>
      <c r="B291" s="178" t="str">
        <f>B290</f>
        <v>TFMEHYG100</v>
      </c>
      <c r="C291" s="178"/>
      <c r="D291" s="179"/>
      <c r="E291" s="407" t="s">
        <v>1012</v>
      </c>
      <c r="F291" s="182"/>
      <c r="G291" s="181"/>
      <c r="H291" s="182"/>
      <c r="I291" s="183"/>
      <c r="J291" s="184" t="s">
        <v>1127</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x14ac:dyDescent="0.3">
      <c r="B292" s="178" t="str">
        <f t="shared" ref="B292:B302" si="329">B291</f>
        <v>TFMEHYG100</v>
      </c>
      <c r="C292" s="178"/>
      <c r="D292" s="179"/>
      <c r="E292" s="178"/>
      <c r="F292" s="182"/>
      <c r="G292" s="324" t="s">
        <v>435</v>
      </c>
      <c r="H292" s="182"/>
      <c r="I292" s="183"/>
      <c r="J292" s="184"/>
      <c r="K292" s="184"/>
      <c r="L292" s="184" t="s">
        <v>1126</v>
      </c>
      <c r="M292" s="184" t="s">
        <v>678</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x14ac:dyDescent="0.3">
      <c r="B293" s="178" t="str">
        <f t="shared" si="329"/>
        <v>TFMEHYG100</v>
      </c>
      <c r="C293" s="178"/>
      <c r="D293" s="179"/>
      <c r="E293" s="178"/>
      <c r="F293" s="182"/>
      <c r="G293" s="324" t="s">
        <v>433</v>
      </c>
      <c r="H293" s="182"/>
      <c r="I293" s="183"/>
      <c r="J293" s="184"/>
      <c r="K293" s="184"/>
      <c r="L293" s="184" t="s">
        <v>1126</v>
      </c>
      <c r="M293" s="184" t="s">
        <v>678</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x14ac:dyDescent="0.3">
      <c r="B294" s="178" t="str">
        <f>B293</f>
        <v>TFMEHYG100</v>
      </c>
      <c r="C294" s="178"/>
      <c r="D294" s="179"/>
      <c r="E294" s="178"/>
      <c r="F294" s="182"/>
      <c r="G294" s="181"/>
      <c r="H294" s="182"/>
      <c r="I294" s="183"/>
      <c r="J294" s="184"/>
      <c r="K294" s="184" t="s">
        <v>749</v>
      </c>
      <c r="L294" s="184" t="s">
        <v>1128</v>
      </c>
      <c r="M294" s="184" t="s">
        <v>1175</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x14ac:dyDescent="0.3">
      <c r="B295" s="178" t="str">
        <f t="shared" si="329"/>
        <v>TFMEHYG100</v>
      </c>
      <c r="C295" s="178"/>
      <c r="D295" s="179"/>
      <c r="E295" s="178"/>
      <c r="F295" s="182"/>
      <c r="G295" s="181"/>
      <c r="H295" s="182"/>
      <c r="I295" s="183"/>
      <c r="J295" s="184"/>
      <c r="K295" s="184"/>
      <c r="L295" s="203" t="s">
        <v>1130</v>
      </c>
      <c r="M295" s="184" t="s">
        <v>1131</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x14ac:dyDescent="0.3">
      <c r="B296" s="178" t="str">
        <f>B295</f>
        <v>TFMEHYG100</v>
      </c>
      <c r="C296" s="178"/>
      <c r="D296" s="179"/>
      <c r="E296" s="178"/>
      <c r="F296" s="182"/>
      <c r="G296" s="181"/>
      <c r="H296" s="182"/>
      <c r="I296" s="183">
        <f>$M$3</f>
        <v>2019</v>
      </c>
      <c r="J296" s="184"/>
      <c r="K296" s="184"/>
      <c r="L296" s="203" t="s">
        <v>1065</v>
      </c>
      <c r="M296" s="184" t="s">
        <v>748</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x14ac:dyDescent="0.3">
      <c r="B297" s="178" t="str">
        <f t="shared" si="329"/>
        <v>TFMEHYG100</v>
      </c>
      <c r="C297" s="178"/>
      <c r="D297" s="179"/>
      <c r="E297" s="178"/>
      <c r="F297" s="182"/>
      <c r="G297" s="181"/>
      <c r="H297" s="182"/>
      <c r="I297" s="183">
        <f>AF$5</f>
        <v>2020</v>
      </c>
      <c r="J297" s="184"/>
      <c r="K297" s="184"/>
      <c r="L297" s="203" t="s">
        <v>1065</v>
      </c>
      <c r="M297" s="184" t="s">
        <v>748</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x14ac:dyDescent="0.3">
      <c r="B298" s="178" t="str">
        <f t="shared" si="329"/>
        <v>TFMEHYG100</v>
      </c>
      <c r="C298" s="178"/>
      <c r="D298" s="179"/>
      <c r="E298" s="178"/>
      <c r="F298" s="182"/>
      <c r="G298" s="181"/>
      <c r="H298" s="182"/>
      <c r="I298" s="183">
        <f>AF$6</f>
        <v>2025</v>
      </c>
      <c r="J298" s="184"/>
      <c r="K298" s="184"/>
      <c r="L298" s="203" t="s">
        <v>1065</v>
      </c>
      <c r="M298" s="184" t="s">
        <v>748</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x14ac:dyDescent="0.3">
      <c r="B299" s="178" t="str">
        <f t="shared" si="329"/>
        <v>TFMEHYG100</v>
      </c>
      <c r="C299" s="178"/>
      <c r="D299" s="179"/>
      <c r="E299" s="178"/>
      <c r="F299" s="182"/>
      <c r="G299" s="181"/>
      <c r="H299" s="182"/>
      <c r="I299" s="183">
        <f>AF$7</f>
        <v>2030</v>
      </c>
      <c r="J299" s="184"/>
      <c r="K299" s="184"/>
      <c r="L299" s="203" t="s">
        <v>1065</v>
      </c>
      <c r="M299" s="184" t="s">
        <v>748</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x14ac:dyDescent="0.3">
      <c r="B300" s="178" t="str">
        <f t="shared" si="329"/>
        <v>TFMEHYG100</v>
      </c>
      <c r="C300" s="178"/>
      <c r="D300" s="179"/>
      <c r="E300" s="178"/>
      <c r="F300" s="182"/>
      <c r="G300" s="181"/>
      <c r="H300" s="182"/>
      <c r="I300" s="183">
        <f>AF$8</f>
        <v>2035</v>
      </c>
      <c r="J300" s="184"/>
      <c r="K300" s="184"/>
      <c r="L300" s="203" t="s">
        <v>1065</v>
      </c>
      <c r="M300" s="184" t="s">
        <v>748</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x14ac:dyDescent="0.3">
      <c r="B301" s="178" t="str">
        <f t="shared" si="329"/>
        <v>TFMEHYG100</v>
      </c>
      <c r="C301" s="178"/>
      <c r="D301" s="179"/>
      <c r="E301" s="178"/>
      <c r="F301" s="182"/>
      <c r="G301" s="181"/>
      <c r="H301" s="182"/>
      <c r="I301" s="183">
        <f>AF$9</f>
        <v>2040</v>
      </c>
      <c r="J301" s="184"/>
      <c r="K301" s="184"/>
      <c r="L301" s="203" t="s">
        <v>1065</v>
      </c>
      <c r="M301" s="184" t="s">
        <v>748</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x14ac:dyDescent="0.3">
      <c r="B302" s="204" t="str">
        <f t="shared" si="329"/>
        <v>TFMEHYG100</v>
      </c>
      <c r="C302" s="204"/>
      <c r="D302" s="205"/>
      <c r="E302" s="204"/>
      <c r="F302" s="206"/>
      <c r="G302" s="207"/>
      <c r="H302" s="206"/>
      <c r="I302" s="208">
        <f>AF$10</f>
        <v>2050</v>
      </c>
      <c r="J302" s="209"/>
      <c r="K302" s="209"/>
      <c r="L302" s="210" t="s">
        <v>1065</v>
      </c>
      <c r="M302" s="209" t="s">
        <v>748</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x14ac:dyDescent="0.3">
      <c r="A303" s="82"/>
      <c r="B303" s="178" t="str">
        <f>C303</f>
        <v>TFMELPG100</v>
      </c>
      <c r="C303" s="178" t="s">
        <v>366</v>
      </c>
      <c r="D303" s="179" t="s">
        <v>842</v>
      </c>
      <c r="E303" s="180" t="s">
        <v>1033</v>
      </c>
      <c r="F303" s="182"/>
      <c r="G303" s="181"/>
      <c r="H303" s="182"/>
      <c r="I303" s="183"/>
      <c r="J303" s="184"/>
      <c r="K303" s="184"/>
      <c r="L303" s="203" t="s">
        <v>1107</v>
      </c>
      <c r="M303" s="184" t="s">
        <v>1125</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x14ac:dyDescent="0.3">
      <c r="A304" s="22"/>
      <c r="B304" s="186" t="str">
        <f t="shared" ref="B304:B314" si="342">B303</f>
        <v>TFMELPG100</v>
      </c>
      <c r="C304" s="186"/>
      <c r="D304" s="187"/>
      <c r="E304" s="186"/>
      <c r="F304" s="170"/>
      <c r="G304" s="324" t="s">
        <v>435</v>
      </c>
      <c r="H304" s="170"/>
      <c r="I304" s="190"/>
      <c r="J304" s="191"/>
      <c r="K304" s="191"/>
      <c r="L304" s="191" t="s">
        <v>1126</v>
      </c>
      <c r="M304" s="191" t="s">
        <v>678</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x14ac:dyDescent="0.3">
      <c r="A305" s="22"/>
      <c r="B305" s="186" t="str">
        <f t="shared" si="342"/>
        <v>TFMELPG100</v>
      </c>
      <c r="C305" s="186"/>
      <c r="D305" s="187"/>
      <c r="E305" s="186"/>
      <c r="F305" s="170"/>
      <c r="G305" s="324" t="s">
        <v>433</v>
      </c>
      <c r="H305" s="170"/>
      <c r="I305" s="190"/>
      <c r="J305" s="191"/>
      <c r="K305" s="191"/>
      <c r="L305" s="191" t="s">
        <v>1126</v>
      </c>
      <c r="M305" s="191" t="s">
        <v>678</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x14ac:dyDescent="0.3">
      <c r="A306" s="22"/>
      <c r="B306" s="186" t="str">
        <f t="shared" si="342"/>
        <v>TFMELPG100</v>
      </c>
      <c r="C306" s="186"/>
      <c r="D306" s="187"/>
      <c r="E306" s="186"/>
      <c r="F306" s="170"/>
      <c r="G306" s="189"/>
      <c r="H306" s="170"/>
      <c r="I306" s="190"/>
      <c r="J306" s="191"/>
      <c r="K306" s="191" t="s">
        <v>749</v>
      </c>
      <c r="L306" s="191" t="s">
        <v>1128</v>
      </c>
      <c r="M306" s="191" t="s">
        <v>1175</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x14ac:dyDescent="0.3">
      <c r="A307" s="22"/>
      <c r="B307" s="186" t="str">
        <f t="shared" si="342"/>
        <v>TFMELPG100</v>
      </c>
      <c r="C307" s="186"/>
      <c r="D307" s="187"/>
      <c r="E307" s="186"/>
      <c r="F307" s="170"/>
      <c r="G307" s="189"/>
      <c r="H307" s="170"/>
      <c r="I307" s="190"/>
      <c r="J307" s="191"/>
      <c r="K307" s="191"/>
      <c r="L307" s="211" t="s">
        <v>1130</v>
      </c>
      <c r="M307" s="191" t="s">
        <v>1131</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x14ac:dyDescent="0.3">
      <c r="A308" s="22"/>
      <c r="B308" s="186" t="str">
        <f t="shared" si="342"/>
        <v>TFMELPG100</v>
      </c>
      <c r="C308" s="186"/>
      <c r="D308" s="187"/>
      <c r="E308" s="186"/>
      <c r="F308" s="170"/>
      <c r="G308" s="189"/>
      <c r="H308" s="170"/>
      <c r="I308" s="190">
        <f>$M$3</f>
        <v>2019</v>
      </c>
      <c r="J308" s="191"/>
      <c r="K308" s="191"/>
      <c r="L308" s="211" t="s">
        <v>1065</v>
      </c>
      <c r="M308" s="191" t="s">
        <v>748</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x14ac:dyDescent="0.3">
      <c r="A309" s="22"/>
      <c r="B309" s="186" t="str">
        <f t="shared" si="342"/>
        <v>TFMELPG100</v>
      </c>
      <c r="C309" s="186"/>
      <c r="D309" s="187"/>
      <c r="E309" s="186"/>
      <c r="F309" s="170"/>
      <c r="G309" s="189"/>
      <c r="H309" s="170"/>
      <c r="I309" s="190">
        <f>AF$5</f>
        <v>2020</v>
      </c>
      <c r="J309" s="191"/>
      <c r="K309" s="191"/>
      <c r="L309" s="211" t="s">
        <v>1065</v>
      </c>
      <c r="M309" s="191" t="s">
        <v>748</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x14ac:dyDescent="0.3">
      <c r="A310" s="22"/>
      <c r="B310" s="186" t="str">
        <f t="shared" si="342"/>
        <v>TFMELPG100</v>
      </c>
      <c r="C310" s="186"/>
      <c r="D310" s="187"/>
      <c r="E310" s="186"/>
      <c r="F310" s="170"/>
      <c r="G310" s="189"/>
      <c r="H310" s="170"/>
      <c r="I310" s="190">
        <f>AF$6</f>
        <v>2025</v>
      </c>
      <c r="J310" s="191"/>
      <c r="K310" s="191"/>
      <c r="L310" s="211" t="s">
        <v>1065</v>
      </c>
      <c r="M310" s="191" t="s">
        <v>748</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x14ac:dyDescent="0.3">
      <c r="A311" s="22"/>
      <c r="B311" s="186" t="str">
        <f t="shared" si="342"/>
        <v>TFMELPG100</v>
      </c>
      <c r="C311" s="186"/>
      <c r="D311" s="187"/>
      <c r="E311" s="186"/>
      <c r="F311" s="170"/>
      <c r="G311" s="189"/>
      <c r="H311" s="170"/>
      <c r="I311" s="190">
        <f>AF$7</f>
        <v>2030</v>
      </c>
      <c r="J311" s="191"/>
      <c r="K311" s="191"/>
      <c r="L311" s="211" t="s">
        <v>1065</v>
      </c>
      <c r="M311" s="191" t="s">
        <v>748</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x14ac:dyDescent="0.3">
      <c r="A312" s="22"/>
      <c r="B312" s="186" t="str">
        <f t="shared" si="342"/>
        <v>TFMELPG100</v>
      </c>
      <c r="C312" s="186"/>
      <c r="D312" s="187"/>
      <c r="E312" s="186"/>
      <c r="F312" s="170"/>
      <c r="G312" s="189"/>
      <c r="H312" s="170"/>
      <c r="I312" s="190">
        <f>AF$8</f>
        <v>2035</v>
      </c>
      <c r="J312" s="191"/>
      <c r="K312" s="191"/>
      <c r="L312" s="211" t="s">
        <v>1065</v>
      </c>
      <c r="M312" s="191" t="s">
        <v>748</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x14ac:dyDescent="0.3">
      <c r="A313" s="22"/>
      <c r="B313" s="186" t="str">
        <f t="shared" si="342"/>
        <v>TFMELPG100</v>
      </c>
      <c r="C313" s="186"/>
      <c r="D313" s="187"/>
      <c r="E313" s="186"/>
      <c r="F313" s="170"/>
      <c r="G313" s="189"/>
      <c r="H313" s="170"/>
      <c r="I313" s="190">
        <f>AF$9</f>
        <v>2040</v>
      </c>
      <c r="J313" s="191"/>
      <c r="K313" s="191"/>
      <c r="L313" s="211" t="s">
        <v>1065</v>
      </c>
      <c r="M313" s="191" t="s">
        <v>748</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x14ac:dyDescent="0.3">
      <c r="A314" s="22"/>
      <c r="B314" s="193" t="str">
        <f t="shared" si="342"/>
        <v>TFMELPG100</v>
      </c>
      <c r="C314" s="193"/>
      <c r="D314" s="194"/>
      <c r="E314" s="193"/>
      <c r="F314" s="196"/>
      <c r="G314" s="195"/>
      <c r="H314" s="196"/>
      <c r="I314" s="197">
        <f>AF$10</f>
        <v>2050</v>
      </c>
      <c r="J314" s="198"/>
      <c r="K314" s="198"/>
      <c r="L314" s="212" t="s">
        <v>1065</v>
      </c>
      <c r="M314" s="198" t="s">
        <v>748</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customHeight="1" x14ac:dyDescent="0.3">
      <c r="A315" s="82"/>
      <c r="B315" s="178" t="str">
        <f>C315</f>
        <v>TFMEPYD100</v>
      </c>
      <c r="C315" s="178" t="s">
        <v>367</v>
      </c>
      <c r="D315" s="179" t="s">
        <v>844</v>
      </c>
      <c r="E315" s="407" t="s">
        <v>988</v>
      </c>
      <c r="F315" s="182"/>
      <c r="G315" s="181"/>
      <c r="H315" s="182"/>
      <c r="I315" s="183"/>
      <c r="J315" s="184"/>
      <c r="K315" s="184"/>
      <c r="L315" s="203" t="s">
        <v>1107</v>
      </c>
      <c r="M315" s="184" t="s">
        <v>1125</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x14ac:dyDescent="0.3">
      <c r="A317" s="82"/>
      <c r="B317" s="178" t="str">
        <f t="shared" ref="B317" si="356">B316</f>
        <v>TFMEPYD100</v>
      </c>
      <c r="C317" s="178"/>
      <c r="D317" s="179"/>
      <c r="E317" s="407" t="s">
        <v>990</v>
      </c>
      <c r="F317" s="182"/>
      <c r="G317" s="181"/>
      <c r="H317" s="182"/>
      <c r="I317" s="183"/>
      <c r="J317" s="184" t="s">
        <v>1157</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x14ac:dyDescent="0.3">
      <c r="B318" s="178" t="str">
        <f>B316</f>
        <v>TFMEPYD100</v>
      </c>
      <c r="C318" s="178"/>
      <c r="D318" s="179"/>
      <c r="E318" s="178"/>
      <c r="F318" s="182"/>
      <c r="G318" s="324" t="s">
        <v>435</v>
      </c>
      <c r="H318" s="182"/>
      <c r="I318" s="183"/>
      <c r="J318" s="184"/>
      <c r="K318" s="184"/>
      <c r="L318" s="184" t="s">
        <v>1126</v>
      </c>
      <c r="M318" s="184" t="s">
        <v>678</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x14ac:dyDescent="0.3">
      <c r="B319" s="178" t="str">
        <f t="shared" ref="B319:B328" si="358">B318</f>
        <v>TFMEPYD100</v>
      </c>
      <c r="C319" s="178"/>
      <c r="D319" s="179"/>
      <c r="E319" s="178"/>
      <c r="F319" s="182"/>
      <c r="G319" s="324" t="s">
        <v>433</v>
      </c>
      <c r="H319" s="182"/>
      <c r="I319" s="183"/>
      <c r="J319" s="184"/>
      <c r="K319" s="184"/>
      <c r="L319" s="184" t="s">
        <v>1126</v>
      </c>
      <c r="M319" s="184" t="s">
        <v>678</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x14ac:dyDescent="0.3">
      <c r="B320" s="178" t="str">
        <f>B319</f>
        <v>TFMEPYD100</v>
      </c>
      <c r="C320" s="178"/>
      <c r="D320" s="179"/>
      <c r="E320" s="178"/>
      <c r="F320" s="182"/>
      <c r="G320" s="181"/>
      <c r="H320" s="182"/>
      <c r="I320" s="183"/>
      <c r="J320" s="184"/>
      <c r="K320" s="184" t="s">
        <v>749</v>
      </c>
      <c r="L320" s="184" t="s">
        <v>1128</v>
      </c>
      <c r="M320" s="184" t="s">
        <v>1175</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x14ac:dyDescent="0.3">
      <c r="B321" s="178" t="str">
        <f t="shared" si="358"/>
        <v>TFMEPYD100</v>
      </c>
      <c r="C321" s="178"/>
      <c r="D321" s="179"/>
      <c r="E321" s="178"/>
      <c r="F321" s="182"/>
      <c r="G321" s="181"/>
      <c r="H321" s="182"/>
      <c r="I321" s="183"/>
      <c r="J321" s="184"/>
      <c r="K321" s="184"/>
      <c r="L321" s="203" t="s">
        <v>1130</v>
      </c>
      <c r="M321" s="184" t="s">
        <v>1131</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x14ac:dyDescent="0.3">
      <c r="B322" s="178" t="str">
        <f>B321</f>
        <v>TFMEPYD100</v>
      </c>
      <c r="C322" s="178"/>
      <c r="D322" s="179"/>
      <c r="E322" s="178"/>
      <c r="F322" s="182"/>
      <c r="G322" s="181"/>
      <c r="H322" s="182"/>
      <c r="I322" s="183">
        <f>$M$3</f>
        <v>2019</v>
      </c>
      <c r="J322" s="184"/>
      <c r="K322" s="184"/>
      <c r="L322" s="203" t="s">
        <v>1065</v>
      </c>
      <c r="M322" s="184" t="s">
        <v>748</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x14ac:dyDescent="0.3">
      <c r="B323" s="178" t="str">
        <f t="shared" si="358"/>
        <v>TFMEPYD100</v>
      </c>
      <c r="C323" s="178"/>
      <c r="D323" s="179"/>
      <c r="E323" s="178"/>
      <c r="F323" s="182"/>
      <c r="G323" s="181"/>
      <c r="H323" s="182"/>
      <c r="I323" s="183">
        <f>AF$5</f>
        <v>2020</v>
      </c>
      <c r="J323" s="184"/>
      <c r="K323" s="184"/>
      <c r="L323" s="203" t="s">
        <v>1065</v>
      </c>
      <c r="M323" s="184" t="s">
        <v>748</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x14ac:dyDescent="0.3">
      <c r="B324" s="178" t="str">
        <f t="shared" si="358"/>
        <v>TFMEPYD100</v>
      </c>
      <c r="C324" s="178"/>
      <c r="D324" s="179"/>
      <c r="E324" s="178"/>
      <c r="F324" s="182"/>
      <c r="G324" s="181"/>
      <c r="H324" s="182"/>
      <c r="I324" s="183">
        <f>AF$6</f>
        <v>2025</v>
      </c>
      <c r="J324" s="184"/>
      <c r="K324" s="184"/>
      <c r="L324" s="203" t="s">
        <v>1065</v>
      </c>
      <c r="M324" s="184" t="s">
        <v>748</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x14ac:dyDescent="0.3">
      <c r="B325" s="178" t="str">
        <f t="shared" si="358"/>
        <v>TFMEPYD100</v>
      </c>
      <c r="C325" s="178"/>
      <c r="D325" s="179"/>
      <c r="E325" s="178"/>
      <c r="F325" s="182"/>
      <c r="G325" s="181"/>
      <c r="H325" s="182"/>
      <c r="I325" s="183">
        <f>AF$7</f>
        <v>2030</v>
      </c>
      <c r="J325" s="184"/>
      <c r="K325" s="184"/>
      <c r="L325" s="203" t="s">
        <v>1065</v>
      </c>
      <c r="M325" s="184" t="s">
        <v>748</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x14ac:dyDescent="0.3">
      <c r="B326" s="178" t="str">
        <f t="shared" si="358"/>
        <v>TFMEPYD100</v>
      </c>
      <c r="C326" s="178"/>
      <c r="D326" s="179"/>
      <c r="E326" s="178"/>
      <c r="F326" s="182"/>
      <c r="G326" s="181"/>
      <c r="H326" s="182"/>
      <c r="I326" s="183">
        <f>AF$8</f>
        <v>2035</v>
      </c>
      <c r="J326" s="184"/>
      <c r="K326" s="184"/>
      <c r="L326" s="203" t="s">
        <v>1065</v>
      </c>
      <c r="M326" s="184" t="s">
        <v>748</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x14ac:dyDescent="0.3">
      <c r="B327" s="178" t="str">
        <f t="shared" si="358"/>
        <v>TFMEPYD100</v>
      </c>
      <c r="C327" s="178"/>
      <c r="D327" s="179"/>
      <c r="E327" s="178"/>
      <c r="F327" s="182"/>
      <c r="G327" s="181"/>
      <c r="H327" s="182"/>
      <c r="I327" s="183">
        <f>AF$9</f>
        <v>2040</v>
      </c>
      <c r="J327" s="184"/>
      <c r="K327" s="184"/>
      <c r="L327" s="203" t="s">
        <v>1065</v>
      </c>
      <c r="M327" s="184" t="s">
        <v>748</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x14ac:dyDescent="0.3">
      <c r="B328" s="204" t="str">
        <f t="shared" si="358"/>
        <v>TFMEPYD100</v>
      </c>
      <c r="C328" s="204"/>
      <c r="D328" s="205"/>
      <c r="E328" s="204"/>
      <c r="F328" s="206"/>
      <c r="G328" s="207"/>
      <c r="H328" s="206"/>
      <c r="I328" s="208">
        <f>AF$10</f>
        <v>2050</v>
      </c>
      <c r="J328" s="209"/>
      <c r="K328" s="209"/>
      <c r="L328" s="210" t="s">
        <v>1065</v>
      </c>
      <c r="M328" s="209" t="s">
        <v>748</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customHeight="1" x14ac:dyDescent="0.3">
      <c r="A329" s="82"/>
      <c r="B329" s="178" t="str">
        <f>C329</f>
        <v>TFMEPYG100</v>
      </c>
      <c r="C329" s="178" t="s">
        <v>368</v>
      </c>
      <c r="D329" s="179" t="s">
        <v>846</v>
      </c>
      <c r="E329" s="407" t="s">
        <v>1014</v>
      </c>
      <c r="F329" s="182"/>
      <c r="G329" s="181"/>
      <c r="H329" s="182"/>
      <c r="I329" s="183"/>
      <c r="J329" s="184"/>
      <c r="K329" s="184"/>
      <c r="L329" s="203" t="s">
        <v>1107</v>
      </c>
      <c r="M329" s="184" t="s">
        <v>1125</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x14ac:dyDescent="0.3">
      <c r="A330" s="82"/>
      <c r="B330" s="178" t="str">
        <f>B329</f>
        <v>TFMEPYG100</v>
      </c>
      <c r="C330" s="178"/>
      <c r="D330" s="179"/>
      <c r="E330" s="407" t="s">
        <v>1012</v>
      </c>
      <c r="F330" s="182"/>
      <c r="G330" s="181"/>
      <c r="H330" s="182"/>
      <c r="I330" s="183"/>
      <c r="J330" s="184" t="s">
        <v>1127</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x14ac:dyDescent="0.3">
      <c r="B331" s="178" t="str">
        <f t="shared" ref="B331:B341" si="372">B330</f>
        <v>TFMEPYG100</v>
      </c>
      <c r="C331" s="178"/>
      <c r="D331" s="179"/>
      <c r="E331" s="178"/>
      <c r="F331" s="182"/>
      <c r="G331" s="324" t="s">
        <v>435</v>
      </c>
      <c r="H331" s="182"/>
      <c r="I331" s="183"/>
      <c r="J331" s="184"/>
      <c r="K331" s="184"/>
      <c r="L331" s="184" t="s">
        <v>1126</v>
      </c>
      <c r="M331" s="184" t="s">
        <v>678</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x14ac:dyDescent="0.3">
      <c r="B332" s="178" t="str">
        <f t="shared" si="372"/>
        <v>TFMEPYG100</v>
      </c>
      <c r="C332" s="178"/>
      <c r="D332" s="179"/>
      <c r="E332" s="178"/>
      <c r="F332" s="182"/>
      <c r="G332" s="324" t="s">
        <v>433</v>
      </c>
      <c r="H332" s="182"/>
      <c r="I332" s="183"/>
      <c r="J332" s="184"/>
      <c r="K332" s="184"/>
      <c r="L332" s="184" t="s">
        <v>1126</v>
      </c>
      <c r="M332" s="184" t="s">
        <v>678</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x14ac:dyDescent="0.3">
      <c r="B333" s="178" t="str">
        <f>B332</f>
        <v>TFMEPYG100</v>
      </c>
      <c r="C333" s="178"/>
      <c r="D333" s="179"/>
      <c r="E333" s="178"/>
      <c r="F333" s="182"/>
      <c r="G333" s="181"/>
      <c r="H333" s="182"/>
      <c r="I333" s="183"/>
      <c r="J333" s="184"/>
      <c r="K333" s="184" t="s">
        <v>749</v>
      </c>
      <c r="L333" s="184" t="s">
        <v>1128</v>
      </c>
      <c r="M333" s="184" t="s">
        <v>1175</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x14ac:dyDescent="0.3">
      <c r="B334" s="178" t="str">
        <f t="shared" si="372"/>
        <v>TFMEPYG100</v>
      </c>
      <c r="C334" s="178"/>
      <c r="D334" s="179"/>
      <c r="E334" s="178"/>
      <c r="F334" s="182"/>
      <c r="G334" s="181"/>
      <c r="H334" s="182"/>
      <c r="I334" s="183"/>
      <c r="J334" s="184"/>
      <c r="K334" s="184"/>
      <c r="L334" s="203" t="s">
        <v>1130</v>
      </c>
      <c r="M334" s="184" t="s">
        <v>1131</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x14ac:dyDescent="0.3">
      <c r="B335" s="178" t="str">
        <f>B334</f>
        <v>TFMEPYG100</v>
      </c>
      <c r="C335" s="178"/>
      <c r="D335" s="179"/>
      <c r="E335" s="178"/>
      <c r="F335" s="182"/>
      <c r="G335" s="181"/>
      <c r="H335" s="182"/>
      <c r="I335" s="183">
        <f>$M$3</f>
        <v>2019</v>
      </c>
      <c r="J335" s="184"/>
      <c r="K335" s="184"/>
      <c r="L335" s="203" t="s">
        <v>1065</v>
      </c>
      <c r="M335" s="184" t="s">
        <v>748</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x14ac:dyDescent="0.3">
      <c r="B336" s="178" t="str">
        <f t="shared" si="372"/>
        <v>TFMEPYG100</v>
      </c>
      <c r="C336" s="178"/>
      <c r="D336" s="179"/>
      <c r="E336" s="178"/>
      <c r="F336" s="182"/>
      <c r="G336" s="181"/>
      <c r="H336" s="182"/>
      <c r="I336" s="183">
        <f>AF$5</f>
        <v>2020</v>
      </c>
      <c r="J336" s="184"/>
      <c r="K336" s="184"/>
      <c r="L336" s="203" t="s">
        <v>1065</v>
      </c>
      <c r="M336" s="184" t="s">
        <v>748</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x14ac:dyDescent="0.3">
      <c r="B337" s="178" t="str">
        <f t="shared" si="372"/>
        <v>TFMEPYG100</v>
      </c>
      <c r="C337" s="178"/>
      <c r="D337" s="179"/>
      <c r="E337" s="178"/>
      <c r="F337" s="182"/>
      <c r="G337" s="181"/>
      <c r="H337" s="182"/>
      <c r="I337" s="183">
        <f>AF$6</f>
        <v>2025</v>
      </c>
      <c r="J337" s="184"/>
      <c r="K337" s="184"/>
      <c r="L337" s="203" t="s">
        <v>1065</v>
      </c>
      <c r="M337" s="184" t="s">
        <v>748</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x14ac:dyDescent="0.3">
      <c r="B338" s="178" t="str">
        <f t="shared" si="372"/>
        <v>TFMEPYG100</v>
      </c>
      <c r="C338" s="178"/>
      <c r="D338" s="179"/>
      <c r="E338" s="178"/>
      <c r="F338" s="182"/>
      <c r="G338" s="181"/>
      <c r="H338" s="182"/>
      <c r="I338" s="183">
        <f>AF$7</f>
        <v>2030</v>
      </c>
      <c r="J338" s="184"/>
      <c r="K338" s="184"/>
      <c r="L338" s="203" t="s">
        <v>1065</v>
      </c>
      <c r="M338" s="184" t="s">
        <v>748</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x14ac:dyDescent="0.3">
      <c r="B339" s="178" t="str">
        <f t="shared" si="372"/>
        <v>TFMEPYG100</v>
      </c>
      <c r="C339" s="178"/>
      <c r="D339" s="179"/>
      <c r="E339" s="178"/>
      <c r="F339" s="182"/>
      <c r="G339" s="181"/>
      <c r="H339" s="182"/>
      <c r="I339" s="183">
        <f>AF$8</f>
        <v>2035</v>
      </c>
      <c r="J339" s="184"/>
      <c r="K339" s="184"/>
      <c r="L339" s="203" t="s">
        <v>1065</v>
      </c>
      <c r="M339" s="184" t="s">
        <v>748</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x14ac:dyDescent="0.3">
      <c r="B340" s="178" t="str">
        <f t="shared" si="372"/>
        <v>TFMEPYG100</v>
      </c>
      <c r="C340" s="178"/>
      <c r="D340" s="179"/>
      <c r="E340" s="178"/>
      <c r="F340" s="182"/>
      <c r="G340" s="181"/>
      <c r="H340" s="182"/>
      <c r="I340" s="183">
        <f>AF$9</f>
        <v>2040</v>
      </c>
      <c r="J340" s="184"/>
      <c r="K340" s="184"/>
      <c r="L340" s="203" t="s">
        <v>1065</v>
      </c>
      <c r="M340" s="184" t="s">
        <v>748</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x14ac:dyDescent="0.3">
      <c r="B341" s="204" t="str">
        <f t="shared" si="372"/>
        <v>TFMEPYG100</v>
      </c>
      <c r="C341" s="204"/>
      <c r="D341" s="205"/>
      <c r="E341" s="204"/>
      <c r="F341" s="206"/>
      <c r="G341" s="207"/>
      <c r="H341" s="206"/>
      <c r="I341" s="208">
        <f>AF$10</f>
        <v>2050</v>
      </c>
      <c r="J341" s="209"/>
      <c r="K341" s="209"/>
      <c r="L341" s="210" t="s">
        <v>1065</v>
      </c>
      <c r="M341" s="209" t="s">
        <v>748</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x14ac:dyDescent="0.3">
      <c r="AV342" s="83"/>
      <c r="AW342" s="83"/>
      <c r="AX342" s="83"/>
      <c r="AY342" s="83"/>
      <c r="AZ342" s="83"/>
      <c r="BA342" s="83"/>
      <c r="BB342" s="83"/>
      <c r="BC342" s="83"/>
      <c r="BD342" s="83"/>
      <c r="BE342" s="83"/>
      <c r="BF342" s="83"/>
      <c r="BG342" s="83"/>
      <c r="BH342" s="83"/>
      <c r="BI342" s="83"/>
      <c r="BJ342" s="83"/>
      <c r="BK342" s="83"/>
      <c r="BL342" s="83"/>
    </row>
    <row r="343" spans="1:64"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1152</v>
      </c>
      <c r="N344" s="482">
        <v>0.19381209999999999</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1179</v>
      </c>
      <c r="C345" s="26"/>
      <c r="D345" s="26"/>
      <c r="I345" s="36"/>
      <c r="M345" s="473" t="s">
        <v>1154</v>
      </c>
      <c r="N345" s="482">
        <v>0</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-1.0592600813433828E-3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1052</v>
      </c>
    </row>
    <row r="348" spans="1:64" s="22" customFormat="1" x14ac:dyDescent="0.3">
      <c r="A348" s="35"/>
      <c r="B348" s="52" t="s">
        <v>1053</v>
      </c>
      <c r="C348" s="26" t="s">
        <v>104</v>
      </c>
      <c r="D348" s="26" t="s">
        <v>1054</v>
      </c>
      <c r="E348" s="26" t="s">
        <v>673</v>
      </c>
      <c r="F348" s="26" t="s">
        <v>1155</v>
      </c>
      <c r="G348" s="26" t="s">
        <v>674</v>
      </c>
      <c r="H348" s="26" t="s">
        <v>1055</v>
      </c>
      <c r="I348" s="53" t="s">
        <v>1056</v>
      </c>
      <c r="J348" s="26" t="s">
        <v>982</v>
      </c>
      <c r="K348" s="42" t="s">
        <v>1123</v>
      </c>
      <c r="L348" s="26" t="s">
        <v>1057</v>
      </c>
      <c r="M348" s="26" t="s">
        <v>1058</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1062</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1124</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7514.9686118368891</v>
      </c>
      <c r="AX349" s="718">
        <f t="shared" ref="AX349:BL349" si="387">SUM(AX350:AX484)</f>
        <v>7514.9686118368891</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848</v>
      </c>
      <c r="E350" s="407" t="s">
        <v>988</v>
      </c>
      <c r="F350" s="182"/>
      <c r="G350" s="181"/>
      <c r="H350" s="182"/>
      <c r="I350" s="183"/>
      <c r="J350" s="184"/>
      <c r="K350" s="184"/>
      <c r="L350" s="203" t="s">
        <v>1107</v>
      </c>
      <c r="M350" s="184" t="s">
        <v>1125</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3324.5215329494199</v>
      </c>
      <c r="AF350" s="322">
        <f t="shared" ref="AF350:AT350" si="389">SUM(AF351:AF492)</f>
        <v>3324.5215329494199</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1126</v>
      </c>
      <c r="M351" s="191" t="s">
        <v>678</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1126</v>
      </c>
      <c r="M352" s="191" t="s">
        <v>678</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749</v>
      </c>
      <c r="L353" s="191" t="s">
        <v>1128</v>
      </c>
      <c r="M353" s="191" t="s">
        <v>1175</v>
      </c>
      <c r="N353" s="368">
        <f t="shared" ref="N353:AB353" si="391">N$25</f>
        <v>8.61</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1130</v>
      </c>
      <c r="M354" s="191" t="s">
        <v>1131</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1065</v>
      </c>
      <c r="M355" s="191" t="s">
        <v>748</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1065</v>
      </c>
      <c r="M356" s="191" t="s">
        <v>748</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1065</v>
      </c>
      <c r="M357" s="191" t="s">
        <v>748</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1065</v>
      </c>
      <c r="M358" s="191" t="s">
        <v>748</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1065</v>
      </c>
      <c r="M359" s="191" t="s">
        <v>748</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1065</v>
      </c>
      <c r="M360" s="191" t="s">
        <v>748</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1065</v>
      </c>
      <c r="M361" s="198" t="s">
        <v>748</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850</v>
      </c>
      <c r="E362" s="407" t="s">
        <v>988</v>
      </c>
      <c r="F362" s="182"/>
      <c r="G362" s="181"/>
      <c r="H362" s="182"/>
      <c r="I362" s="183"/>
      <c r="J362" s="184"/>
      <c r="K362" s="184"/>
      <c r="L362" s="203" t="s">
        <v>1107</v>
      </c>
      <c r="M362" s="184" t="s">
        <v>1125</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1087.7643255251596</v>
      </c>
      <c r="AX362" s="721">
        <f>N$368*N$369*(1-N363-N364)/N$366/1000</f>
        <v>1087.7643255251596</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1157</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5656.3744927308317</v>
      </c>
      <c r="AX363" s="721">
        <f>N$368*N$369*N363/N$366/1000</f>
        <v>5656.3744927308317</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990</v>
      </c>
      <c r="F364" s="182"/>
      <c r="G364" s="181"/>
      <c r="H364" s="182"/>
      <c r="I364" s="183"/>
      <c r="J364" s="184" t="s">
        <v>1157</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507.62335191174145</v>
      </c>
      <c r="AX364" s="721">
        <f>N$368*N$369*N364/N$366/1000</f>
        <v>507.62335191174145</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1126</v>
      </c>
      <c r="M365" s="191" t="s">
        <v>678</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1126</v>
      </c>
      <c r="M366" s="191" t="s">
        <v>678</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749</v>
      </c>
      <c r="L367" s="191" t="s">
        <v>1128</v>
      </c>
      <c r="M367" s="191" t="s">
        <v>1175</v>
      </c>
      <c r="N367" s="368">
        <f t="shared" ref="N367:AB367" si="424">N$25</f>
        <v>8.61</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1130</v>
      </c>
      <c r="M368" s="191" t="s">
        <v>1131</v>
      </c>
      <c r="N368" s="369">
        <f>LOOKUP($C$362, T_NCAP_AF!$C$185:$C$195, T_NCAP_AF!D$185:D$195)*(1+N344)</f>
        <v>27.266668363999997</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3196.8088209993821</v>
      </c>
      <c r="AF368" s="85">
        <f t="shared" ref="AF368:AT368" si="425">N367*N368*N369/1000</f>
        <v>3196.8088209993821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1065</v>
      </c>
      <c r="M369" s="191" t="s">
        <v>748</v>
      </c>
      <c r="N369" s="694">
        <f>LOOKUP($C$362, T_Stock_Private!$C$122:$C$133,T_Stock_Private!D$122:D$133)*(1+N345)</f>
        <v>13617</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1065</v>
      </c>
      <c r="M370" s="191" t="s">
        <v>748</v>
      </c>
      <c r="N370" s="694">
        <f t="shared" ref="N370:AB370" si="426">N369*LOOKUP($AD362,$AG$4:$AP$4,$AG$5:$AP$5)</f>
        <v>12936.15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1065</v>
      </c>
      <c r="M371" s="191" t="s">
        <v>748</v>
      </c>
      <c r="N371" s="694">
        <f t="shared" ref="N371:AB371" si="427">N369*LOOKUP($AD362,$AG$4:$AP$4,$AG$6:$AP$6)</f>
        <v>9531.9</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1065</v>
      </c>
      <c r="M372" s="191" t="s">
        <v>748</v>
      </c>
      <c r="N372" s="694">
        <f t="shared" ref="N372:AB372" si="428">N369*LOOKUP($AD362,$AG$4:$AP$4,$AG$7:$AP$7)</f>
        <v>5446.8</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1065</v>
      </c>
      <c r="M373" s="191" t="s">
        <v>748</v>
      </c>
      <c r="N373" s="694">
        <f t="shared" ref="N373:AB373" si="429">N369*LOOKUP($AD362,$AG$4:$AP$4,$AG$8:$AP$8)</f>
        <v>2042.55</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1065</v>
      </c>
      <c r="M374" s="191" t="s">
        <v>748</v>
      </c>
      <c r="N374" s="694">
        <f t="shared" ref="N374:AB374" si="430">N369*LOOKUP($AD362,$AG$4:$AP$4,$AG$9:$AP$9)</f>
        <v>68.085000000000008</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1065</v>
      </c>
      <c r="M375" s="198" t="s">
        <v>748</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852</v>
      </c>
      <c r="E376" s="407" t="s">
        <v>683</v>
      </c>
      <c r="F376" s="182"/>
      <c r="G376" s="181"/>
      <c r="H376" s="182"/>
      <c r="I376" s="183"/>
      <c r="J376" s="184"/>
      <c r="K376" s="184"/>
      <c r="L376" s="203" t="s">
        <v>1107</v>
      </c>
      <c r="M376" s="184" t="s">
        <v>1125</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1126</v>
      </c>
      <c r="M377" s="191" t="s">
        <v>678</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1126</v>
      </c>
      <c r="M378" s="191" t="s">
        <v>678</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749</v>
      </c>
      <c r="L379" s="191" t="s">
        <v>1128</v>
      </c>
      <c r="M379" s="191" t="s">
        <v>1175</v>
      </c>
      <c r="N379" s="368">
        <f t="shared" ref="N379:AB379" si="436">N$25</f>
        <v>8.61</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1130</v>
      </c>
      <c r="M380" s="191" t="s">
        <v>1131</v>
      </c>
      <c r="N380" s="369">
        <f>LOOKUP($C$376, T_NCAP_AF!$C$185:$C$195, T_NCAP_AF!D$185:D$195)*(1+N344)</f>
        <v>27.266668363999997</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0.70429804384211991</v>
      </c>
      <c r="AF380" s="85">
        <f t="shared" ref="AF380:AT380" si="437">N379*N380*N381/1000</f>
        <v>0.70429804384211991</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1065</v>
      </c>
      <c r="M381" s="191" t="s">
        <v>748</v>
      </c>
      <c r="N381" s="694">
        <f>LOOKUP($C$376, T_Stock_Private!$C$122:$C$133,T_Stock_Private!D$122:D$133)*(1+N345)</f>
        <v>3</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1065</v>
      </c>
      <c r="M382" s="191" t="s">
        <v>748</v>
      </c>
      <c r="N382" s="694">
        <f t="shared" ref="N382:AB382" si="438">N381*LOOKUP($AD376,$AG$4:$AP$4,$AG$5:$AP$5)</f>
        <v>2.9699999999999998</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1065</v>
      </c>
      <c r="M383" s="191" t="s">
        <v>748</v>
      </c>
      <c r="N383" s="694">
        <f t="shared" ref="N383:AB383" si="439">N381*LOOKUP($AD376,$AG$4:$AP$4,$AG$6:$AP$6)</f>
        <v>2.25</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1065</v>
      </c>
      <c r="M384" s="191" t="s">
        <v>748</v>
      </c>
      <c r="N384" s="694">
        <f t="shared" ref="N384:AB384" si="440">N381*LOOKUP($AD376,$AG$4:$AP$4,$AG$7:$AP$7)</f>
        <v>1.5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1065</v>
      </c>
      <c r="M385" s="191" t="s">
        <v>748</v>
      </c>
      <c r="N385" s="694">
        <f t="shared" ref="N385:AB385" si="441">N381*LOOKUP($AD376,$AG$4:$AP$4,$AG$8:$AP$8)</f>
        <v>0.44999999999999996</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1065</v>
      </c>
      <c r="M386" s="191" t="s">
        <v>748</v>
      </c>
      <c r="N386" s="694">
        <f t="shared" ref="N386:AB386" si="442">N381*LOOKUP($AD376,$AG$4:$AP$4,$AG$9:$AP$9)</f>
        <v>1.4999999999999999E-2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1065</v>
      </c>
      <c r="M387" s="198" t="s">
        <v>748</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854</v>
      </c>
      <c r="E388" s="180" t="s">
        <v>1010</v>
      </c>
      <c r="F388" s="182"/>
      <c r="G388" s="181"/>
      <c r="H388" s="182"/>
      <c r="I388" s="183"/>
      <c r="J388" s="184"/>
      <c r="K388" s="184"/>
      <c r="L388" s="203" t="s">
        <v>1107</v>
      </c>
      <c r="M388" s="184" t="s">
        <v>1125</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1126</v>
      </c>
      <c r="M389" s="191" t="s">
        <v>678</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1126</v>
      </c>
      <c r="M390" s="191" t="s">
        <v>678</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749</v>
      </c>
      <c r="L391" s="191" t="s">
        <v>1128</v>
      </c>
      <c r="M391" s="191" t="s">
        <v>1175</v>
      </c>
      <c r="N391" s="368">
        <f t="shared" ref="N391:AB391" si="448">N$25</f>
        <v>8.61</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1130</v>
      </c>
      <c r="M392" s="191" t="s">
        <v>1131</v>
      </c>
      <c r="N392" s="369">
        <f>LOOKUP($C$388, T_NCAP_AF!$C$185:$C$195, T_NCAP_AF!D$185:D$195)*(1+N344)</f>
        <v>27.266668363999997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14.085960876842396</v>
      </c>
      <c r="AF392" s="85">
        <f t="shared" ref="AF392:AT392" si="449">N391*N392*N393/1000</f>
        <v>14.085960876842396</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1065</v>
      </c>
      <c r="M393" s="191" t="s">
        <v>748</v>
      </c>
      <c r="N393" s="694">
        <f>LOOKUP($C$388, T_Stock_Private!$C$122:$C$133,T_Stock_Private!D$122:D$133)*(1+N345)</f>
        <v>60</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1065</v>
      </c>
      <c r="M394" s="191" t="s">
        <v>748</v>
      </c>
      <c r="N394" s="694">
        <f t="shared" ref="N394:AB394" si="450">N393*LOOKUP($AD388,$AG$4:$AP$4,$AG$5:$AP$5)</f>
        <v>57</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1065</v>
      </c>
      <c r="M395" s="191" t="s">
        <v>748</v>
      </c>
      <c r="N395" s="694">
        <f t="shared" ref="N395:AB395" si="451">N393*LOOKUP($AD388,$AG$4:$AP$4,$AG$6:$AP$6)</f>
        <v>42</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1065</v>
      </c>
      <c r="M396" s="191" t="s">
        <v>748</v>
      </c>
      <c r="N396" s="694">
        <f t="shared" ref="N396:AB396" si="452">N393*LOOKUP($AD388,$AG$4:$AP$4,$AG$7:$AP$7)</f>
        <v>24</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1065</v>
      </c>
      <c r="M397" s="191" t="s">
        <v>748</v>
      </c>
      <c r="N397" s="694">
        <f t="shared" ref="N397:AB397" si="453">N393*LOOKUP($AD388,$AG$4:$AP$4,$AG$8:$AP$8)</f>
        <v>9</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1065</v>
      </c>
      <c r="M398" s="191" t="s">
        <v>748</v>
      </c>
      <c r="N398" s="694">
        <f t="shared" ref="N398:AB398" si="454">N393*LOOKUP($AD388,$AG$4:$AP$4,$AG$9:$AP$9)</f>
        <v>0.3</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1065</v>
      </c>
      <c r="M399" s="198" t="s">
        <v>748</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856</v>
      </c>
      <c r="E400" s="407" t="s">
        <v>994</v>
      </c>
      <c r="F400" s="182"/>
      <c r="G400" s="181"/>
      <c r="H400" s="182"/>
      <c r="I400" s="183"/>
      <c r="J400" s="184"/>
      <c r="K400" s="184"/>
      <c r="L400" s="203" t="s">
        <v>1107</v>
      </c>
      <c r="M400" s="184" t="s">
        <v>1125</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161.59572215724347</v>
      </c>
      <c r="AX400" s="721">
        <f>N$405*N$406*(1-N401)/N$403/1000</f>
        <v>161.59572215724347</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1039</v>
      </c>
      <c r="F401" s="170"/>
      <c r="G401" s="188"/>
      <c r="H401" s="170"/>
      <c r="I401" s="190"/>
      <c r="J401" s="191" t="s">
        <v>1157</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17.955080239693714</v>
      </c>
      <c r="AX401" s="721">
        <f>N$405*N$406*N401/N$403/1000</f>
        <v>17.955080239693714</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1126</v>
      </c>
      <c r="M402" s="191" t="s">
        <v>678</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1126</v>
      </c>
      <c r="M403" s="191" t="s">
        <v>678</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749</v>
      </c>
      <c r="L404" s="191" t="s">
        <v>1128</v>
      </c>
      <c r="M404" s="191" t="s">
        <v>1175</v>
      </c>
      <c r="N404" s="368">
        <f t="shared" ref="N404:AB404" si="465">N$25</f>
        <v>8.61</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1130</v>
      </c>
      <c r="M405" s="191" t="s">
        <v>1131</v>
      </c>
      <c r="N405" s="369">
        <f>LOOKUP($C$400, T_NCAP_AF!$C$185:$C$195, T_NCAP_AF!D$185:D$195)*(1+N344)</f>
        <v>27.266668363999997</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70.664570398826015</v>
      </c>
      <c r="AF405" s="85">
        <f t="shared" ref="AF405:AT405" si="466">N404*N405*N406/1000</f>
        <v>70.664570398826015</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1065</v>
      </c>
      <c r="M406" s="191" t="s">
        <v>748</v>
      </c>
      <c r="N406" s="694">
        <f>LOOKUP($C$400, T_Stock_Private!$C$122:$C$133,T_Stock_Private!D$122:D$133)*(1+N345)</f>
        <v>301</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1065</v>
      </c>
      <c r="M407" s="191" t="s">
        <v>748</v>
      </c>
      <c r="N407" s="694">
        <f t="shared" ref="N407:AB407" si="467">N406*LOOKUP($AD400,$AG$4:$AP$4,$AG$5:$AP$5)</f>
        <v>285.95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1065</v>
      </c>
      <c r="M408" s="191" t="s">
        <v>748</v>
      </c>
      <c r="N408" s="694">
        <f t="shared" ref="N408:AB408" si="468">N406*LOOKUP($AD400,$AG$4:$AP$4,$AG$6:$AP$6)</f>
        <v>210.7</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1065</v>
      </c>
      <c r="M409" s="191" t="s">
        <v>748</v>
      </c>
      <c r="N409" s="694">
        <f t="shared" ref="N409:AB409" si="469">N406*LOOKUP($AD400,$AG$4:$AP$4,$AG$7:$AP$7)</f>
        <v>120.4</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1065</v>
      </c>
      <c r="M410" s="191" t="s">
        <v>748</v>
      </c>
      <c r="N410" s="694">
        <f t="shared" ref="N410:AB410" si="470">N406*LOOKUP($AD400,$AG$4:$AP$4,$AG$8:$AP$8)</f>
        <v>45.15</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1065</v>
      </c>
      <c r="M411" s="191" t="s">
        <v>748</v>
      </c>
      <c r="N411" s="694">
        <f t="shared" ref="N411:AB411" si="471">N406*LOOKUP($AD400,$AG$4:$AP$4,$AG$9:$AP$9)</f>
        <v>1.5050000000000001</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1065</v>
      </c>
      <c r="M412" s="198" t="s">
        <v>748</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858</v>
      </c>
      <c r="E413" s="407" t="s">
        <v>1014</v>
      </c>
      <c r="F413" s="182"/>
      <c r="G413" s="181"/>
      <c r="H413" s="182"/>
      <c r="I413" s="183"/>
      <c r="J413" s="184"/>
      <c r="K413" s="184"/>
      <c r="L413" s="203" t="s">
        <v>1107</v>
      </c>
      <c r="M413" s="184" t="s">
        <v>1125</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81.145970094053538</v>
      </c>
      <c r="AX413" s="721">
        <f t="shared" ref="AX413:BL413" si="476">N$419*N$420*(1-N414)/N$417/1000</f>
        <v>81.145970094053538</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1012</v>
      </c>
      <c r="F414" s="170"/>
      <c r="G414" s="189"/>
      <c r="H414" s="170"/>
      <c r="I414" s="190"/>
      <c r="J414" s="191" t="s">
        <v>1127</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2.5096691781666047</v>
      </c>
      <c r="AX414" s="721">
        <f t="shared" ref="AX414:BL414" si="478">N$419*N$420*N414/N$417/1000</f>
        <v>2.5096691781666047</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996</v>
      </c>
      <c r="F415" s="170"/>
      <c r="G415" s="189"/>
      <c r="H415" s="170"/>
      <c r="I415" s="190"/>
      <c r="J415" s="191" t="s">
        <v>1157</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1126</v>
      </c>
      <c r="M416" s="191" t="s">
        <v>678</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1126</v>
      </c>
      <c r="M417" s="191" t="s">
        <v>678</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749</v>
      </c>
      <c r="L418" s="191" t="s">
        <v>1128</v>
      </c>
      <c r="M418" s="191" t="s">
        <v>1175</v>
      </c>
      <c r="N418" s="368">
        <f t="shared" ref="N418:AB418" si="482">N$25</f>
        <v>8.61</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1130</v>
      </c>
      <c r="M419" s="191" t="s">
        <v>1131</v>
      </c>
      <c r="N419" s="369">
        <f>LOOKUP($C$413, T_NCAP_AF!$C$185:$C$195, T_NCAP_AF!D$185:D$195)*(1+N344)</f>
        <v>27.266668363999997</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38.736392411316594</v>
      </c>
      <c r="AF419" s="85">
        <f t="shared" ref="AF419:AT419" si="483">N418*N419*N420/1000</f>
        <v>38.736392411316594</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1065</v>
      </c>
      <c r="M420" s="191" t="s">
        <v>748</v>
      </c>
      <c r="N420" s="694">
        <f>LOOKUP($C$413, T_Stock_Private!$C$122:$C$133,T_Stock_Private!D$122:D$133)*(1+N345)</f>
        <v>165</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1065</v>
      </c>
      <c r="M421" s="191" t="s">
        <v>748</v>
      </c>
      <c r="N421" s="694">
        <f t="shared" ref="N421:AB421" si="484">N420*LOOKUP($AD413,$AG$4:$AP$4,$AG$5:$AP$5)</f>
        <v>156.75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1065</v>
      </c>
      <c r="M422" s="191" t="s">
        <v>748</v>
      </c>
      <c r="N422" s="694">
        <f t="shared" ref="N422:AB422" si="485">N420*LOOKUP($AD413,$AG$4:$AP$4,$AG$6:$AP$6)</f>
        <v>115.49999999999999</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1065</v>
      </c>
      <c r="M423" s="191" t="s">
        <v>748</v>
      </c>
      <c r="N423" s="694">
        <f t="shared" ref="N423:AB423" si="486">N420*LOOKUP($AD413,$AG$4:$AP$4,$AG$7:$AP$7)</f>
        <v>66</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1065</v>
      </c>
      <c r="M424" s="191" t="s">
        <v>748</v>
      </c>
      <c r="N424" s="694">
        <f t="shared" ref="N424:AB424" si="487">N420*LOOKUP($AD413,$AG$4:$AP$4,$AG$8:$AP$8)</f>
        <v>24.75</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1065</v>
      </c>
      <c r="M425" s="191" t="s">
        <v>748</v>
      </c>
      <c r="N425" s="694">
        <f t="shared" ref="N425:AB425" si="488">N420*LOOKUP($AD413,$AG$4:$AP$4,$AG$9:$AP$9)</f>
        <v>0.82500000000000007</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1065</v>
      </c>
      <c r="M426" s="198" t="s">
        <v>748</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860</v>
      </c>
      <c r="E427" s="407" t="s">
        <v>988</v>
      </c>
      <c r="F427" s="182"/>
      <c r="G427" s="181"/>
      <c r="H427" s="182"/>
      <c r="I427" s="183"/>
      <c r="J427" s="184"/>
      <c r="K427" s="184"/>
      <c r="L427" s="203" t="s">
        <v>1107</v>
      </c>
      <c r="M427" s="184" t="s">
        <v>1125</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990</v>
      </c>
      <c r="F429" s="182"/>
      <c r="G429" s="181"/>
      <c r="H429" s="182"/>
      <c r="I429" s="183"/>
      <c r="J429" s="184" t="s">
        <v>1157</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1126</v>
      </c>
      <c r="M430" s="191" t="s">
        <v>678</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1126</v>
      </c>
      <c r="M431" s="191" t="s">
        <v>678</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749</v>
      </c>
      <c r="L432" s="191" t="s">
        <v>1128</v>
      </c>
      <c r="M432" s="191" t="s">
        <v>1175</v>
      </c>
      <c r="N432" s="368">
        <f t="shared" ref="N432:AB432" si="500">N$25</f>
        <v>8.61</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1130</v>
      </c>
      <c r="M433" s="191" t="s">
        <v>1131</v>
      </c>
      <c r="N433" s="369">
        <f>LOOKUP($C$427, T_NCAP_AF!$C$185:$C$195, T_NCAP_AF!D$185:D$195)*(1+N344)</f>
        <v>27.266668363999997</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1065</v>
      </c>
      <c r="M434" s="191" t="s">
        <v>748</v>
      </c>
      <c r="N434" s="694">
        <f>LOOKUP($C$427, T_Stock_Private!$C$122:$C$133,T_Stock_Private!D$122:D$133)*(1+N345)</f>
        <v>0</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1065</v>
      </c>
      <c r="M435" s="191" t="s">
        <v>748</v>
      </c>
      <c r="N435" s="694">
        <f t="shared" ref="N435:AB435" si="502">N434*LOOKUP($AD427,$AG$4:$AP$4,$AG$5:$AP$5)</f>
        <v>0</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1065</v>
      </c>
      <c r="M436" s="191" t="s">
        <v>748</v>
      </c>
      <c r="N436" s="694">
        <f t="shared" ref="N436:AB436" si="503">N434*LOOKUP($AD427,$AG$4:$AP$4,$AG$6:$AP$6)</f>
        <v>0</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1065</v>
      </c>
      <c r="M437" s="191" t="s">
        <v>748</v>
      </c>
      <c r="N437" s="694">
        <f t="shared" ref="N437:AB437" si="504">N434*LOOKUP($AD427,$AG$4:$AP$4,$AG$7:$AP$7)</f>
        <v>0</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1065</v>
      </c>
      <c r="M438" s="191" t="s">
        <v>748</v>
      </c>
      <c r="N438" s="694">
        <f t="shared" ref="N438:AB438" si="505">N434*LOOKUP($AD427,$AG$4:$AP$4,$AG$8:$AP$8)</f>
        <v>0</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1065</v>
      </c>
      <c r="M439" s="191" t="s">
        <v>748</v>
      </c>
      <c r="N439" s="694">
        <f t="shared" ref="N439:AB439" si="506">N434*LOOKUP($AD427,$AG$4:$AP$4,$AG$9:$AP$9)</f>
        <v>0</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1065</v>
      </c>
      <c r="M440" s="198" t="s">
        <v>748</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862</v>
      </c>
      <c r="E441" s="407" t="s">
        <v>1014</v>
      </c>
      <c r="F441" s="182"/>
      <c r="G441" s="181"/>
      <c r="H441" s="182"/>
      <c r="I441" s="183"/>
      <c r="J441" s="184"/>
      <c r="K441" s="184"/>
      <c r="L441" s="203" t="s">
        <v>1107</v>
      </c>
      <c r="M441" s="184" t="s">
        <v>1125</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1012</v>
      </c>
      <c r="F442" s="182"/>
      <c r="G442" s="181"/>
      <c r="H442" s="182"/>
      <c r="I442" s="183"/>
      <c r="J442" s="184" t="s">
        <v>1127</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1126</v>
      </c>
      <c r="M443" s="184" t="s">
        <v>678</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1126</v>
      </c>
      <c r="M444" s="184" t="s">
        <v>678</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749</v>
      </c>
      <c r="L445" s="184" t="s">
        <v>1128</v>
      </c>
      <c r="M445" s="184" t="s">
        <v>1175</v>
      </c>
      <c r="N445" s="368">
        <f t="shared" ref="N445:AB445" si="514">N$25</f>
        <v>8.61</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1130</v>
      </c>
      <c r="M446" s="184" t="s">
        <v>1131</v>
      </c>
      <c r="N446" s="397">
        <f>LOOKUP($C$441, T_NCAP_AF!$C$185:$C$195, T_NCAP_AF!D$185:D$195)*(1+N344)</f>
        <v>27.266668363999997</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3.521490219210599</v>
      </c>
      <c r="AF446" s="85">
        <f t="shared" ref="AF446:AT446" si="515">N445*N446*N447/1000</f>
        <v>3.521490219210599</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1065</v>
      </c>
      <c r="M447" s="184" t="s">
        <v>748</v>
      </c>
      <c r="N447" s="694">
        <f>LOOKUP($C$441, T_Stock_Private!$C$122:$C$133, T_Stock_Private!D$122:D$133)*(1+N345)</f>
        <v>15</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1065</v>
      </c>
      <c r="M448" s="184" t="s">
        <v>748</v>
      </c>
      <c r="N448" s="694">
        <f t="shared" ref="N448:AB448" si="516">N447*LOOKUP($AD441,$AG$4:$AP$4,$AG$5:$AP$5)</f>
        <v>14.85</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1065</v>
      </c>
      <c r="M449" s="184" t="s">
        <v>748</v>
      </c>
      <c r="N449" s="694">
        <f t="shared" ref="N449:AB449" si="517">N447*LOOKUP($AD441,$AG$4:$AP$4,$AG$6:$AP$6)</f>
        <v>11.25</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1065</v>
      </c>
      <c r="M450" s="184" t="s">
        <v>748</v>
      </c>
      <c r="N450" s="694">
        <f t="shared" ref="N450:AB450" si="518">N447*LOOKUP($AD441,$AG$4:$AP$4,$AG$7:$AP$7)</f>
        <v>7.5</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1065</v>
      </c>
      <c r="M451" s="184" t="s">
        <v>748</v>
      </c>
      <c r="N451" s="694">
        <f t="shared" ref="N451:AB451" si="519">N447*LOOKUP($AD441,$AG$4:$AP$4,$AG$8:$AP$8)</f>
        <v>2.25</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1065</v>
      </c>
      <c r="M452" s="184" t="s">
        <v>748</v>
      </c>
      <c r="N452" s="694">
        <f t="shared" ref="N452:AB452" si="520">N447*LOOKUP($AD441,$AG$4:$AP$4,$AG$9:$AP$9)</f>
        <v>7.4999999999999997E-2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1065</v>
      </c>
      <c r="M453" s="209" t="s">
        <v>748</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864</v>
      </c>
      <c r="E454" s="180" t="s">
        <v>1033</v>
      </c>
      <c r="F454" s="182"/>
      <c r="G454" s="181"/>
      <c r="H454" s="182"/>
      <c r="I454" s="183"/>
      <c r="J454" s="184"/>
      <c r="K454" s="184"/>
      <c r="L454" s="203" t="s">
        <v>1107</v>
      </c>
      <c r="M454" s="184" t="s">
        <v>1125</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1126</v>
      </c>
      <c r="M455" s="191" t="s">
        <v>678</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1126</v>
      </c>
      <c r="M456" s="191" t="s">
        <v>678</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749</v>
      </c>
      <c r="L457" s="191" t="s">
        <v>1128</v>
      </c>
      <c r="M457" s="191" t="s">
        <v>1175</v>
      </c>
      <c r="N457" s="368">
        <f t="shared" ref="N457:AB457" si="526">N$25</f>
        <v>8.61</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1130</v>
      </c>
      <c r="M458" s="191" t="s">
        <v>1131</v>
      </c>
      <c r="N458" s="397">
        <f>LOOKUP($C$454, T_NCAP_AF!$C$185:$C$195, T_NCAP_AF!D$185:D$195)*(1+N344)</f>
        <v>27.266668363999997</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1065</v>
      </c>
      <c r="M459" s="191" t="s">
        <v>748</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1065</v>
      </c>
      <c r="M460" s="191" t="s">
        <v>748</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1065</v>
      </c>
      <c r="M461" s="191" t="s">
        <v>748</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1065</v>
      </c>
      <c r="M462" s="191" t="s">
        <v>748</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1065</v>
      </c>
      <c r="M463" s="191" t="s">
        <v>748</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1065</v>
      </c>
      <c r="M464" s="191" t="s">
        <v>748</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1065</v>
      </c>
      <c r="M465" s="198" t="s">
        <v>748</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866</v>
      </c>
      <c r="E466" s="407" t="s">
        <v>988</v>
      </c>
      <c r="F466" s="182"/>
      <c r="G466" s="181"/>
      <c r="H466" s="182"/>
      <c r="I466" s="183"/>
      <c r="J466" s="184"/>
      <c r="K466" s="184"/>
      <c r="L466" s="203" t="s">
        <v>1107</v>
      </c>
      <c r="M466" s="184" t="s">
        <v>1125</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990</v>
      </c>
      <c r="F468" s="182"/>
      <c r="G468" s="181"/>
      <c r="H468" s="182"/>
      <c r="I468" s="183"/>
      <c r="J468" s="184" t="s">
        <v>1157</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1126</v>
      </c>
      <c r="M469" s="184" t="s">
        <v>678</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1126</v>
      </c>
      <c r="M470" s="184" t="s">
        <v>678</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749</v>
      </c>
      <c r="L471" s="184" t="s">
        <v>1128</v>
      </c>
      <c r="M471" s="184" t="s">
        <v>1175</v>
      </c>
      <c r="N471" s="368">
        <f t="shared" ref="N471:AB471" si="543">N$25</f>
        <v>8.61</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1130</v>
      </c>
      <c r="M472" s="184" t="s">
        <v>1131</v>
      </c>
      <c r="N472" s="397">
        <f>LOOKUP($C$466, T_NCAP_AF!$C$185:$C$195, T_NCAP_AF!D$185:D$195)*(1+N344)</f>
        <v>27.266668363999997</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1065</v>
      </c>
      <c r="M473" s="184" t="s">
        <v>748</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1065</v>
      </c>
      <c r="M474" s="184" t="s">
        <v>748</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1065</v>
      </c>
      <c r="M475" s="184" t="s">
        <v>748</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1065</v>
      </c>
      <c r="M476" s="184" t="s">
        <v>748</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1065</v>
      </c>
      <c r="M477" s="184" t="s">
        <v>748</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1065</v>
      </c>
      <c r="M478" s="184" t="s">
        <v>748</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1065</v>
      </c>
      <c r="M479" s="209" t="s">
        <v>748</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868</v>
      </c>
      <c r="E480" s="407" t="s">
        <v>1014</v>
      </c>
      <c r="F480" s="182"/>
      <c r="G480" s="181"/>
      <c r="H480" s="182"/>
      <c r="I480" s="183"/>
      <c r="J480" s="184"/>
      <c r="K480" s="184"/>
      <c r="L480" s="203" t="s">
        <v>1107</v>
      </c>
      <c r="M480" s="184" t="s">
        <v>1125</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1012</v>
      </c>
      <c r="F481" s="182"/>
      <c r="G481" s="181"/>
      <c r="H481" s="182"/>
      <c r="I481" s="183"/>
      <c r="J481" s="184" t="s">
        <v>1127</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1126</v>
      </c>
      <c r="M482" s="184" t="s">
        <v>678</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1126</v>
      </c>
      <c r="M483" s="184" t="s">
        <v>678</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749</v>
      </c>
      <c r="L484" s="184" t="s">
        <v>1128</v>
      </c>
      <c r="M484" s="184" t="s">
        <v>1175</v>
      </c>
      <c r="N484" s="368">
        <f t="shared" ref="N484:AB484" si="557">N$25</f>
        <v>8.61</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1130</v>
      </c>
      <c r="M485" s="184" t="s">
        <v>1131</v>
      </c>
      <c r="N485" s="397">
        <f>LOOKUP($C$480, T_NCAP_AF!$C$185:$C$195, T_NCAP_AF!D$185:D$195)*(1+N344)</f>
        <v>27.266668363999997</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1065</v>
      </c>
      <c r="M486" s="184" t="s">
        <v>748</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1065</v>
      </c>
      <c r="M487" s="184" t="s">
        <v>748</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1065</v>
      </c>
      <c r="M488" s="184" t="s">
        <v>748</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1065</v>
      </c>
      <c r="M489" s="184" t="s">
        <v>748</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1065</v>
      </c>
      <c r="M490" s="184" t="s">
        <v>748</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1065</v>
      </c>
      <c r="M491" s="184" t="s">
        <v>748</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1065</v>
      </c>
      <c r="M492" s="209" t="s">
        <v>748</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x14ac:dyDescent="0.3">
      <c r="A496" s="44"/>
      <c r="B496" s="474"/>
      <c r="D496" s="44"/>
      <c r="E496" s="44"/>
      <c r="F496" s="44"/>
      <c r="G496" s="44"/>
      <c r="M496" s="473" t="s">
        <v>1152</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x14ac:dyDescent="0.3">
      <c r="B497" s="32" t="s">
        <v>1174</v>
      </c>
      <c r="C497" s="88"/>
      <c r="D497" s="26"/>
      <c r="I497" s="36"/>
      <c r="M497" s="473" t="s">
        <v>1154</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x14ac:dyDescent="0.3">
      <c r="M498" s="35"/>
    </row>
    <row r="499" spans="1:64" s="22" customFormat="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1052</v>
      </c>
    </row>
    <row r="500" spans="1:64" s="22" customFormat="1" x14ac:dyDescent="0.3">
      <c r="A500" s="35"/>
      <c r="B500" s="52" t="s">
        <v>1053</v>
      </c>
      <c r="C500" s="26" t="s">
        <v>104</v>
      </c>
      <c r="D500" s="26" t="s">
        <v>1054</v>
      </c>
      <c r="E500" s="26" t="s">
        <v>673</v>
      </c>
      <c r="F500" s="26" t="s">
        <v>1155</v>
      </c>
      <c r="G500" s="26" t="s">
        <v>674</v>
      </c>
      <c r="H500" s="26" t="s">
        <v>1055</v>
      </c>
      <c r="I500" s="53" t="s">
        <v>1056</v>
      </c>
      <c r="J500" s="26" t="s">
        <v>982</v>
      </c>
      <c r="K500" s="42" t="s">
        <v>1123</v>
      </c>
      <c r="L500" s="26" t="s">
        <v>1057</v>
      </c>
      <c r="M500" s="26" t="s">
        <v>1058</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x14ac:dyDescent="0.3">
      <c r="A501" s="35"/>
      <c r="B501" s="176"/>
      <c r="C501" s="176"/>
      <c r="D501" s="176" t="s">
        <v>1062</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1124</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x14ac:dyDescent="0.3">
      <c r="A502" s="82"/>
      <c r="B502" s="178" t="str">
        <f>C502</f>
        <v>TLEFELC100</v>
      </c>
      <c r="C502" s="178" t="s">
        <v>557</v>
      </c>
      <c r="D502" s="179" t="s">
        <v>870</v>
      </c>
      <c r="E502" s="180" t="s">
        <v>683</v>
      </c>
      <c r="F502" s="182"/>
      <c r="G502" s="181"/>
      <c r="H502" s="182"/>
      <c r="I502" s="183"/>
      <c r="J502" s="184"/>
      <c r="K502" s="184"/>
      <c r="L502" s="203" t="s">
        <v>1107</v>
      </c>
      <c r="M502" s="184" t="s">
        <v>1156</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x14ac:dyDescent="0.3">
      <c r="A503" s="82"/>
      <c r="B503" s="178" t="str">
        <f>B502</f>
        <v>TLEFELC100</v>
      </c>
      <c r="C503" s="178"/>
      <c r="D503" s="179"/>
      <c r="E503" s="178"/>
      <c r="F503" s="182"/>
      <c r="G503" s="173" t="s">
        <v>427</v>
      </c>
      <c r="H503" s="182"/>
      <c r="I503" s="183"/>
      <c r="J503" s="184"/>
      <c r="K503" s="184"/>
      <c r="L503" s="184" t="s">
        <v>1126</v>
      </c>
      <c r="M503" s="184" t="s">
        <v>678</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x14ac:dyDescent="0.3">
      <c r="A504" s="82"/>
      <c r="B504" s="178" t="str">
        <f>B503</f>
        <v>TLEFELC100</v>
      </c>
      <c r="C504" s="178"/>
      <c r="D504" s="179"/>
      <c r="E504" s="178"/>
      <c r="F504" s="182"/>
      <c r="G504" s="181"/>
      <c r="H504" s="182"/>
      <c r="I504" s="183"/>
      <c r="J504" s="184"/>
      <c r="K504" s="184" t="s">
        <v>749</v>
      </c>
      <c r="L504" s="184" t="s">
        <v>1128</v>
      </c>
      <c r="M504" s="184" t="s">
        <v>1175</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x14ac:dyDescent="0.3">
      <c r="A505" s="82"/>
      <c r="B505" s="178" t="str">
        <f t="shared" ref="B505:B512" si="574">B504</f>
        <v>TLEFELC100</v>
      </c>
      <c r="C505" s="178"/>
      <c r="D505" s="179"/>
      <c r="E505" s="178"/>
      <c r="F505" s="182"/>
      <c r="G505" s="181"/>
      <c r="H505" s="182"/>
      <c r="I505" s="183"/>
      <c r="J505" s="184"/>
      <c r="K505" s="184"/>
      <c r="L505" s="203" t="s">
        <v>1130</v>
      </c>
      <c r="M505" s="184" t="s">
        <v>1131</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x14ac:dyDescent="0.3">
      <c r="A506" s="82"/>
      <c r="B506" s="178" t="str">
        <f>B505</f>
        <v>TLEFELC100</v>
      </c>
      <c r="C506" s="178"/>
      <c r="D506" s="179"/>
      <c r="E506" s="178"/>
      <c r="F506" s="182"/>
      <c r="G506" s="181"/>
      <c r="H506" s="182"/>
      <c r="I506" s="183">
        <f>$M$3</f>
        <v>2019</v>
      </c>
      <c r="J506" s="184"/>
      <c r="K506" s="184"/>
      <c r="L506" s="203" t="s">
        <v>1065</v>
      </c>
      <c r="M506" s="184" t="s">
        <v>748</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x14ac:dyDescent="0.3">
      <c r="A507" s="82"/>
      <c r="B507" s="178" t="str">
        <f t="shared" si="574"/>
        <v>TLEFELC100</v>
      </c>
      <c r="C507" s="178"/>
      <c r="D507" s="179"/>
      <c r="E507" s="178"/>
      <c r="F507" s="182"/>
      <c r="G507" s="181"/>
      <c r="H507" s="182"/>
      <c r="I507" s="183">
        <f>AF$5</f>
        <v>2020</v>
      </c>
      <c r="J507" s="184"/>
      <c r="K507" s="184"/>
      <c r="L507" s="203" t="s">
        <v>1065</v>
      </c>
      <c r="M507" s="184" t="s">
        <v>748</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x14ac:dyDescent="0.3">
      <c r="A508" s="82"/>
      <c r="B508" s="178" t="str">
        <f t="shared" si="574"/>
        <v>TLEFELC100</v>
      </c>
      <c r="C508" s="178"/>
      <c r="D508" s="179"/>
      <c r="E508" s="178"/>
      <c r="F508" s="182"/>
      <c r="G508" s="181"/>
      <c r="H508" s="182"/>
      <c r="I508" s="183">
        <f>AF$6</f>
        <v>2025</v>
      </c>
      <c r="J508" s="184"/>
      <c r="K508" s="184"/>
      <c r="L508" s="203" t="s">
        <v>1065</v>
      </c>
      <c r="M508" s="184" t="s">
        <v>748</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x14ac:dyDescent="0.3">
      <c r="A509" s="82"/>
      <c r="B509" s="178" t="str">
        <f t="shared" si="574"/>
        <v>TLEFELC100</v>
      </c>
      <c r="C509" s="178"/>
      <c r="D509" s="179"/>
      <c r="E509" s="178"/>
      <c r="F509" s="182"/>
      <c r="G509" s="181"/>
      <c r="H509" s="182"/>
      <c r="I509" s="183">
        <f>AF$7</f>
        <v>2030</v>
      </c>
      <c r="J509" s="184"/>
      <c r="K509" s="184"/>
      <c r="L509" s="203" t="s">
        <v>1065</v>
      </c>
      <c r="M509" s="184" t="s">
        <v>748</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x14ac:dyDescent="0.3">
      <c r="A510" s="82"/>
      <c r="B510" s="178" t="str">
        <f t="shared" si="574"/>
        <v>TLEFELC100</v>
      </c>
      <c r="C510" s="178"/>
      <c r="D510" s="179"/>
      <c r="E510" s="178"/>
      <c r="F510" s="182"/>
      <c r="G510" s="181"/>
      <c r="H510" s="182"/>
      <c r="I510" s="183">
        <f>AF$8</f>
        <v>2035</v>
      </c>
      <c r="J510" s="184"/>
      <c r="K510" s="184"/>
      <c r="L510" s="203" t="s">
        <v>1065</v>
      </c>
      <c r="M510" s="184" t="s">
        <v>748</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x14ac:dyDescent="0.3">
      <c r="A511" s="82"/>
      <c r="B511" s="178" t="str">
        <f t="shared" si="574"/>
        <v>TLEFELC100</v>
      </c>
      <c r="C511" s="178"/>
      <c r="D511" s="179"/>
      <c r="E511" s="178"/>
      <c r="F511" s="182"/>
      <c r="G511" s="181"/>
      <c r="H511" s="182"/>
      <c r="I511" s="183">
        <f>AF$9</f>
        <v>2040</v>
      </c>
      <c r="J511" s="184"/>
      <c r="K511" s="184"/>
      <c r="L511" s="203" t="s">
        <v>1065</v>
      </c>
      <c r="M511" s="184" t="s">
        <v>748</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x14ac:dyDescent="0.3">
      <c r="A512" s="82"/>
      <c r="B512" s="204" t="str">
        <f t="shared" si="574"/>
        <v>TLEFELC100</v>
      </c>
      <c r="C512" s="204"/>
      <c r="D512" s="205"/>
      <c r="E512" s="204"/>
      <c r="F512" s="206"/>
      <c r="G512" s="207"/>
      <c r="H512" s="206"/>
      <c r="I512" s="208">
        <f>AF$10</f>
        <v>2050</v>
      </c>
      <c r="J512" s="209"/>
      <c r="K512" s="209"/>
      <c r="L512" s="210" t="s">
        <v>1065</v>
      </c>
      <c r="M512" s="209" t="s">
        <v>748</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x14ac:dyDescent="0.3">
      <c r="A513" s="82"/>
      <c r="B513" s="178" t="str">
        <f>C513</f>
        <v>TYNF100</v>
      </c>
      <c r="C513" s="178" t="s">
        <v>566</v>
      </c>
      <c r="D513" s="179" t="s">
        <v>900</v>
      </c>
      <c r="E513" s="407" t="s">
        <v>681</v>
      </c>
      <c r="F513" s="182"/>
      <c r="G513" s="181"/>
      <c r="H513" s="182"/>
      <c r="I513" s="183"/>
      <c r="J513" s="184"/>
      <c r="K513" s="184"/>
      <c r="L513" s="203" t="s">
        <v>1107</v>
      </c>
      <c r="M513" s="184" t="s">
        <v>1156</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x14ac:dyDescent="0.3">
      <c r="A514" s="82"/>
      <c r="B514" s="178" t="str">
        <f>B513</f>
        <v>TYNF100</v>
      </c>
      <c r="C514" s="178"/>
      <c r="D514" s="179"/>
      <c r="E514" s="178"/>
      <c r="F514" s="558"/>
      <c r="G514" s="173" t="s">
        <v>423</v>
      </c>
      <c r="H514" s="182"/>
      <c r="I514" s="183"/>
      <c r="J514" s="184"/>
      <c r="K514" s="184"/>
      <c r="L514" s="184" t="s">
        <v>1126</v>
      </c>
      <c r="M514" s="184" t="s">
        <v>678</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x14ac:dyDescent="0.3">
      <c r="A515" s="82"/>
      <c r="B515" s="178" t="str">
        <f>B514</f>
        <v>TYNF100</v>
      </c>
      <c r="C515" s="178"/>
      <c r="D515" s="179"/>
      <c r="E515" s="178"/>
      <c r="F515" s="182"/>
      <c r="G515" s="181"/>
      <c r="H515" s="182"/>
      <c r="I515" s="183"/>
      <c r="J515" s="184"/>
      <c r="K515" s="184" t="s">
        <v>749</v>
      </c>
      <c r="L515" s="184" t="s">
        <v>1128</v>
      </c>
      <c r="M515" s="184" t="s">
        <v>1175</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x14ac:dyDescent="0.3">
      <c r="A516" s="82"/>
      <c r="B516" s="178" t="str">
        <f t="shared" ref="B516:B523" si="589">B515</f>
        <v>TYNF100</v>
      </c>
      <c r="C516" s="178"/>
      <c r="D516" s="179"/>
      <c r="E516" s="178"/>
      <c r="F516" s="182"/>
      <c r="G516" s="181"/>
      <c r="H516" s="182"/>
      <c r="I516" s="183"/>
      <c r="J516" s="184"/>
      <c r="K516" s="184"/>
      <c r="L516" s="203" t="s">
        <v>1130</v>
      </c>
      <c r="M516" s="184" t="s">
        <v>1131</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x14ac:dyDescent="0.3">
      <c r="A517" s="82"/>
      <c r="B517" s="178" t="str">
        <f>B516</f>
        <v>TYNF100</v>
      </c>
      <c r="C517" s="178"/>
      <c r="D517" s="179"/>
      <c r="E517" s="178"/>
      <c r="F517" s="182"/>
      <c r="G517" s="181"/>
      <c r="H517" s="182"/>
      <c r="I517" s="183">
        <f>$M$3</f>
        <v>2019</v>
      </c>
      <c r="J517" s="184"/>
      <c r="K517" s="184"/>
      <c r="L517" s="203" t="s">
        <v>1065</v>
      </c>
      <c r="M517" s="184" t="s">
        <v>748</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x14ac:dyDescent="0.3">
      <c r="A518" s="82"/>
      <c r="B518" s="178" t="str">
        <f t="shared" si="589"/>
        <v>TYNF100</v>
      </c>
      <c r="C518" s="178"/>
      <c r="D518" s="179"/>
      <c r="E518" s="178"/>
      <c r="F518" s="182"/>
      <c r="G518" s="181"/>
      <c r="H518" s="182"/>
      <c r="I518" s="183">
        <f>AF$5</f>
        <v>2020</v>
      </c>
      <c r="J518" s="184"/>
      <c r="K518" s="184"/>
      <c r="L518" s="203" t="s">
        <v>1065</v>
      </c>
      <c r="M518" s="184" t="s">
        <v>748</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x14ac:dyDescent="0.3">
      <c r="A519" s="82"/>
      <c r="B519" s="178" t="str">
        <f t="shared" si="589"/>
        <v>TYNF100</v>
      </c>
      <c r="C519" s="178"/>
      <c r="D519" s="179"/>
      <c r="E519" s="178"/>
      <c r="F519" s="182"/>
      <c r="G519" s="181"/>
      <c r="H519" s="182"/>
      <c r="I519" s="183">
        <f>AF$6</f>
        <v>2025</v>
      </c>
      <c r="J519" s="184"/>
      <c r="K519" s="184"/>
      <c r="L519" s="203" t="s">
        <v>1065</v>
      </c>
      <c r="M519" s="184" t="s">
        <v>748</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x14ac:dyDescent="0.3">
      <c r="A520" s="82"/>
      <c r="B520" s="178" t="str">
        <f t="shared" si="589"/>
        <v>TYNF100</v>
      </c>
      <c r="C520" s="178"/>
      <c r="D520" s="179"/>
      <c r="E520" s="178"/>
      <c r="F520" s="182"/>
      <c r="G520" s="181"/>
      <c r="H520" s="182"/>
      <c r="I520" s="183">
        <f>AF$7</f>
        <v>2030</v>
      </c>
      <c r="J520" s="184"/>
      <c r="K520" s="184"/>
      <c r="L520" s="203" t="s">
        <v>1065</v>
      </c>
      <c r="M520" s="184" t="s">
        <v>748</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x14ac:dyDescent="0.3">
      <c r="A521" s="82"/>
      <c r="B521" s="178" t="str">
        <f t="shared" si="589"/>
        <v>TYNF100</v>
      </c>
      <c r="C521" s="178"/>
      <c r="D521" s="179"/>
      <c r="E521" s="178"/>
      <c r="F521" s="182"/>
      <c r="G521" s="181"/>
      <c r="H521" s="182"/>
      <c r="I521" s="183">
        <f>AF$8</f>
        <v>2035</v>
      </c>
      <c r="J521" s="184"/>
      <c r="K521" s="184"/>
      <c r="L521" s="203" t="s">
        <v>1065</v>
      </c>
      <c r="M521" s="184" t="s">
        <v>748</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x14ac:dyDescent="0.3">
      <c r="A522" s="82"/>
      <c r="B522" s="178" t="str">
        <f t="shared" si="589"/>
        <v>TYNF100</v>
      </c>
      <c r="C522" s="178"/>
      <c r="D522" s="179"/>
      <c r="E522" s="178"/>
      <c r="F522" s="182"/>
      <c r="G522" s="181"/>
      <c r="H522" s="182"/>
      <c r="I522" s="183">
        <f>AF$9</f>
        <v>2040</v>
      </c>
      <c r="J522" s="184"/>
      <c r="K522" s="184"/>
      <c r="L522" s="203" t="s">
        <v>1065</v>
      </c>
      <c r="M522" s="184" t="s">
        <v>748</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x14ac:dyDescent="0.3">
      <c r="A523" s="82"/>
      <c r="B523" s="204" t="str">
        <f t="shared" si="589"/>
        <v>TYNF100</v>
      </c>
      <c r="C523" s="204"/>
      <c r="D523" s="205"/>
      <c r="E523" s="204"/>
      <c r="F523" s="206"/>
      <c r="G523" s="207"/>
      <c r="H523" s="206"/>
      <c r="I523" s="208">
        <f>AF$10</f>
        <v>2050</v>
      </c>
      <c r="J523" s="209"/>
      <c r="K523" s="209"/>
      <c r="L523" s="210" t="s">
        <v>1065</v>
      </c>
      <c r="M523" s="209" t="s">
        <v>748</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x14ac:dyDescent="0.3">
      <c r="A524" s="82"/>
      <c r="B524" s="178" t="str">
        <f>C524</f>
        <v>TYEF100</v>
      </c>
      <c r="C524" s="178" t="s">
        <v>565</v>
      </c>
      <c r="D524" s="179" t="s">
        <v>896</v>
      </c>
      <c r="E524" s="180"/>
      <c r="F524" s="182"/>
      <c r="G524" s="558" t="s">
        <v>425</v>
      </c>
      <c r="H524" s="182"/>
      <c r="I524" s="183"/>
      <c r="J524" s="184"/>
      <c r="K524" s="184"/>
      <c r="L524" s="203" t="s">
        <v>1107</v>
      </c>
      <c r="M524" s="184" t="s">
        <v>1156</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x14ac:dyDescent="0.3">
      <c r="A525" s="82"/>
      <c r="B525" s="178" t="str">
        <f>B524</f>
        <v>TYEF100</v>
      </c>
      <c r="C525" s="178"/>
      <c r="D525" s="179"/>
      <c r="E525" s="178" t="s">
        <v>681</v>
      </c>
      <c r="F525" s="182"/>
      <c r="G525" s="173"/>
      <c r="H525" s="182"/>
      <c r="I525" s="183"/>
      <c r="J525" s="184"/>
      <c r="K525" s="184"/>
      <c r="L525" s="184" t="s">
        <v>1126</v>
      </c>
      <c r="M525" s="184" t="s">
        <v>678</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x14ac:dyDescent="0.3">
      <c r="A526" s="82"/>
      <c r="B526" s="178" t="str">
        <f t="shared" ref="B526:B527" si="603">B525</f>
        <v>TYEF100</v>
      </c>
      <c r="C526" s="178"/>
      <c r="D526" s="179"/>
      <c r="E526" s="178" t="s">
        <v>683</v>
      </c>
      <c r="F526" s="182"/>
      <c r="G526" s="173"/>
      <c r="H526" s="182"/>
      <c r="I526" s="183"/>
      <c r="J526" s="184"/>
      <c r="K526" s="184"/>
      <c r="L526" s="184" t="s">
        <v>1126</v>
      </c>
      <c r="M526" s="184" t="s">
        <v>678</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x14ac:dyDescent="0.3">
      <c r="A527" s="82"/>
      <c r="B527" s="178" t="str">
        <f t="shared" si="603"/>
        <v>TYEF100</v>
      </c>
      <c r="C527" s="178"/>
      <c r="D527" s="179"/>
      <c r="E527" s="178" t="s">
        <v>683</v>
      </c>
      <c r="F527" s="182"/>
      <c r="G527" s="173"/>
      <c r="H527" s="182"/>
      <c r="I527" s="183"/>
      <c r="J527" s="184" t="s">
        <v>1127</v>
      </c>
      <c r="K527" s="184"/>
      <c r="L527" s="184" t="s">
        <v>1176</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x14ac:dyDescent="0.3">
      <c r="A528" s="82"/>
      <c r="B528" s="178" t="str">
        <f>B525</f>
        <v>TYEF100</v>
      </c>
      <c r="C528" s="178"/>
      <c r="D528" s="179"/>
      <c r="E528" s="178"/>
      <c r="F528" s="558"/>
      <c r="G528" s="558"/>
      <c r="H528" s="182"/>
      <c r="I528" s="183"/>
      <c r="J528" s="184"/>
      <c r="K528" s="184" t="s">
        <v>749</v>
      </c>
      <c r="L528" s="184" t="s">
        <v>1128</v>
      </c>
      <c r="M528" s="184" t="s">
        <v>1175</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x14ac:dyDescent="0.3">
      <c r="A529" s="82"/>
      <c r="B529" s="178" t="str">
        <f t="shared" ref="B529:B536" si="608">B528</f>
        <v>TYEF100</v>
      </c>
      <c r="C529" s="178"/>
      <c r="D529" s="179"/>
      <c r="E529" s="178"/>
      <c r="F529" s="182"/>
      <c r="G529" s="181"/>
      <c r="H529" s="182"/>
      <c r="I529" s="183"/>
      <c r="J529" s="184"/>
      <c r="K529" s="184"/>
      <c r="L529" s="203" t="s">
        <v>1130</v>
      </c>
      <c r="M529" s="184" t="s">
        <v>1131</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x14ac:dyDescent="0.3">
      <c r="A530" s="82"/>
      <c r="B530" s="178" t="str">
        <f>B529</f>
        <v>TYEF100</v>
      </c>
      <c r="C530" s="178"/>
      <c r="D530" s="179"/>
      <c r="E530" s="178"/>
      <c r="F530" s="182"/>
      <c r="G530" s="181"/>
      <c r="H530" s="182"/>
      <c r="I530" s="183">
        <f>$M$3</f>
        <v>2019</v>
      </c>
      <c r="J530" s="184"/>
      <c r="K530" s="184"/>
      <c r="L530" s="203" t="s">
        <v>1065</v>
      </c>
      <c r="M530" s="184" t="s">
        <v>748</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x14ac:dyDescent="0.3">
      <c r="A531" s="82"/>
      <c r="B531" s="178" t="str">
        <f t="shared" si="608"/>
        <v>TYEF100</v>
      </c>
      <c r="C531" s="178"/>
      <c r="D531" s="179"/>
      <c r="E531" s="178"/>
      <c r="F531" s="182"/>
      <c r="G531" s="181"/>
      <c r="H531" s="182"/>
      <c r="I531" s="183">
        <f>AF$5</f>
        <v>2020</v>
      </c>
      <c r="J531" s="184"/>
      <c r="K531" s="184"/>
      <c r="L531" s="203" t="s">
        <v>1065</v>
      </c>
      <c r="M531" s="184" t="s">
        <v>748</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x14ac:dyDescent="0.3">
      <c r="A532" s="82"/>
      <c r="B532" s="178" t="str">
        <f t="shared" si="608"/>
        <v>TYEF100</v>
      </c>
      <c r="C532" s="178"/>
      <c r="D532" s="179"/>
      <c r="E532" s="178"/>
      <c r="F532" s="182"/>
      <c r="G532" s="181"/>
      <c r="H532" s="182"/>
      <c r="I532" s="183">
        <f>AF$6</f>
        <v>2025</v>
      </c>
      <c r="J532" s="184"/>
      <c r="K532" s="184"/>
      <c r="L532" s="203" t="s">
        <v>1065</v>
      </c>
      <c r="M532" s="184" t="s">
        <v>748</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x14ac:dyDescent="0.3">
      <c r="A533" s="82"/>
      <c r="B533" s="178" t="str">
        <f t="shared" si="608"/>
        <v>TYEF100</v>
      </c>
      <c r="C533" s="178"/>
      <c r="D533" s="179"/>
      <c r="E533" s="178"/>
      <c r="F533" s="182"/>
      <c r="G533" s="181"/>
      <c r="H533" s="182"/>
      <c r="I533" s="183">
        <f>AF$7</f>
        <v>2030</v>
      </c>
      <c r="J533" s="184"/>
      <c r="K533" s="184"/>
      <c r="L533" s="203" t="s">
        <v>1065</v>
      </c>
      <c r="M533" s="184" t="s">
        <v>748</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x14ac:dyDescent="0.3">
      <c r="A534" s="82"/>
      <c r="B534" s="178" t="str">
        <f t="shared" si="608"/>
        <v>TYEF100</v>
      </c>
      <c r="C534" s="178"/>
      <c r="D534" s="179"/>
      <c r="E534" s="178"/>
      <c r="F534" s="182"/>
      <c r="G534" s="181"/>
      <c r="H534" s="182"/>
      <c r="I534" s="183">
        <f>AF$8</f>
        <v>2035</v>
      </c>
      <c r="J534" s="184"/>
      <c r="K534" s="184"/>
      <c r="L534" s="203" t="s">
        <v>1065</v>
      </c>
      <c r="M534" s="184" t="s">
        <v>748</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x14ac:dyDescent="0.3">
      <c r="A535" s="82"/>
      <c r="B535" s="178" t="str">
        <f t="shared" si="608"/>
        <v>TYEF100</v>
      </c>
      <c r="C535" s="178"/>
      <c r="D535" s="179"/>
      <c r="E535" s="178"/>
      <c r="F535" s="182"/>
      <c r="G535" s="181"/>
      <c r="H535" s="182"/>
      <c r="I535" s="183">
        <f>AF$9</f>
        <v>2040</v>
      </c>
      <c r="J535" s="184"/>
      <c r="K535" s="184"/>
      <c r="L535" s="203" t="s">
        <v>1065</v>
      </c>
      <c r="M535" s="184" t="s">
        <v>748</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x14ac:dyDescent="0.3">
      <c r="A536" s="82"/>
      <c r="B536" s="204" t="str">
        <f t="shared" si="608"/>
        <v>TYEF100</v>
      </c>
      <c r="C536" s="204"/>
      <c r="D536" s="205"/>
      <c r="E536" s="204"/>
      <c r="F536" s="206"/>
      <c r="G536" s="207"/>
      <c r="H536" s="206"/>
      <c r="I536" s="208">
        <f>AF$10</f>
        <v>2050</v>
      </c>
      <c r="J536" s="209"/>
      <c r="K536" s="209"/>
      <c r="L536" s="210" t="s">
        <v>1065</v>
      </c>
      <c r="M536" s="209" t="s">
        <v>748</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1237</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ok</v>
      </c>
      <c r="E9" s="867" t="str">
        <f>TC_Private!AF31</f>
        <v>ok</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1238</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1239</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500</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503</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3">
      <c r="B17" s="394" t="s">
        <v>78</v>
      </c>
      <c r="C17" s="394" t="s">
        <v>505</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507</v>
      </c>
      <c r="C21" s="394" t="s">
        <v>500</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507</v>
      </c>
      <c r="C22" s="394" t="s">
        <v>503</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507</v>
      </c>
      <c r="C23" s="394" t="s">
        <v>505</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507</v>
      </c>
      <c r="C24" s="394" t="s">
        <v>634</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507</v>
      </c>
      <c r="C25" s="394" t="s">
        <v>510</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507</v>
      </c>
      <c r="C26" s="394" t="s">
        <v>509</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511</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513</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737</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735</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94" zoomScale="75" zoomScaleNormal="75" workbookViewId="0">
      <selection activeCell="M122" sqref="M122:AA128"/>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1110</v>
      </c>
      <c r="C1" s="22"/>
      <c r="D1" s="22"/>
      <c r="H1" s="36"/>
      <c r="L1" s="113" t="s">
        <v>1111</v>
      </c>
      <c r="M1" s="119"/>
      <c r="N1" s="119"/>
      <c r="O1" s="119"/>
      <c r="P1" s="119"/>
      <c r="AE1" s="37" t="s">
        <v>1112</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1052</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1051</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980</v>
      </c>
      <c r="I8" s="42" t="s">
        <v>1113</v>
      </c>
      <c r="J8" s="42" t="s">
        <v>1114</v>
      </c>
      <c r="K8" s="42" t="s">
        <v>1057</v>
      </c>
      <c r="L8" s="43" t="s">
        <v>1058</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988</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1115</v>
      </c>
      <c r="I9" s="171" t="s">
        <v>1116</v>
      </c>
      <c r="J9" s="171" t="s">
        <v>1117</v>
      </c>
      <c r="K9" s="171"/>
      <c r="L9" s="171"/>
      <c r="M9" s="171"/>
      <c r="N9" s="171"/>
      <c r="O9" s="171"/>
      <c r="P9" s="171"/>
      <c r="Q9" s="171"/>
      <c r="R9" s="171"/>
      <c r="S9" s="171"/>
      <c r="T9" s="171"/>
      <c r="U9" s="171"/>
      <c r="V9" s="171"/>
      <c r="W9" s="171"/>
      <c r="X9" s="171"/>
      <c r="Y9" s="171"/>
      <c r="Z9" s="171"/>
      <c r="AA9" s="171"/>
      <c r="AC9" s="171"/>
      <c r="AN9" s="35"/>
      <c r="AO9" s="35"/>
      <c r="AV9" s="725" t="s">
        <v>994</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1118</v>
      </c>
      <c r="L10" s="173" t="s">
        <v>583</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998</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1118</v>
      </c>
      <c r="L11" s="173" t="s">
        <v>583</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1000</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1118</v>
      </c>
      <c r="L12" s="173" t="s">
        <v>583</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1118</v>
      </c>
      <c r="L13" s="173" t="s">
        <v>583</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683</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1118</v>
      </c>
      <c r="L14" s="173" t="s">
        <v>583</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1010</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1118</v>
      </c>
      <c r="L15" s="173" t="s">
        <v>583</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1012</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1118</v>
      </c>
      <c r="L16" s="173" t="s">
        <v>583</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1014</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1118</v>
      </c>
      <c r="L17" s="173" t="s">
        <v>583</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1016</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1023</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681</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1119</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1029</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1120</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1031</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1121</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1033</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1035</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1039</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1122</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1052</v>
      </c>
    </row>
    <row r="28" spans="1:64" s="82" customFormat="1" x14ac:dyDescent="0.3">
      <c r="A28" s="83"/>
      <c r="B28" s="351" t="s">
        <v>1053</v>
      </c>
      <c r="C28" s="352" t="s">
        <v>104</v>
      </c>
      <c r="D28" s="352" t="s">
        <v>1054</v>
      </c>
      <c r="E28" s="352" t="s">
        <v>673</v>
      </c>
      <c r="F28" s="352" t="s">
        <v>674</v>
      </c>
      <c r="G28" s="352" t="s">
        <v>1055</v>
      </c>
      <c r="H28" s="353" t="s">
        <v>1056</v>
      </c>
      <c r="I28" s="352" t="s">
        <v>982</v>
      </c>
      <c r="J28" s="354" t="s">
        <v>1123</v>
      </c>
      <c r="K28" s="352" t="s">
        <v>1057</v>
      </c>
      <c r="L28" s="352" t="s">
        <v>1058</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1062</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1124</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898</v>
      </c>
      <c r="E30" s="188"/>
      <c r="F30" s="213" t="s">
        <v>398</v>
      </c>
      <c r="G30" s="170"/>
      <c r="H30" s="190"/>
      <c r="I30" s="191"/>
      <c r="J30" s="191"/>
      <c r="K30" s="192" t="s">
        <v>1107</v>
      </c>
      <c r="L30" s="191" t="s">
        <v>1125</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681</v>
      </c>
      <c r="F31" s="213"/>
      <c r="G31" s="170"/>
      <c r="H31" s="190"/>
      <c r="I31" s="191"/>
      <c r="J31" s="191"/>
      <c r="K31" s="186" t="s">
        <v>1064</v>
      </c>
      <c r="L31" s="191" t="s">
        <v>678</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683</v>
      </c>
      <c r="F32" s="213"/>
      <c r="G32" s="170"/>
      <c r="H32" s="190"/>
      <c r="I32" s="191"/>
      <c r="J32" s="191"/>
      <c r="K32" s="186" t="s">
        <v>1126</v>
      </c>
      <c r="L32" s="191" t="s">
        <v>678</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1127</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749</v>
      </c>
      <c r="K34" s="186" t="s">
        <v>1128</v>
      </c>
      <c r="L34" s="191" t="s">
        <v>1129</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1130</v>
      </c>
      <c r="L35" s="191" t="s">
        <v>1131</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1065</v>
      </c>
      <c r="L36" s="191" t="s">
        <v>748</v>
      </c>
      <c r="M36" s="689"/>
      <c r="N36" s="689"/>
      <c r="O36" s="689"/>
      <c r="P36" s="689"/>
      <c r="Q36" s="689"/>
      <c r="R36" s="689"/>
      <c r="S36" s="689"/>
      <c r="T36" s="689"/>
      <c r="U36" s="689"/>
      <c r="V36" s="689"/>
      <c r="W36" s="689"/>
      <c r="X36" s="689"/>
      <c r="Y36" s="689"/>
      <c r="Z36" s="689"/>
      <c r="AA36" s="689"/>
      <c r="AB36" s="325"/>
      <c r="AC36" s="512" t="s">
        <v>1132</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1065</v>
      </c>
      <c r="L37" s="191" t="s">
        <v>748</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1065</v>
      </c>
      <c r="L38" s="191" t="s">
        <v>748</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1065</v>
      </c>
      <c r="L39" s="191" t="s">
        <v>748</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1065</v>
      </c>
      <c r="L40" s="191" t="s">
        <v>748</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1065</v>
      </c>
      <c r="L41" s="191" t="s">
        <v>748</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1065</v>
      </c>
      <c r="L42" s="209" t="s">
        <v>748</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902</v>
      </c>
      <c r="E43" s="188"/>
      <c r="F43" s="213" t="s">
        <v>396</v>
      </c>
      <c r="G43" s="170"/>
      <c r="H43" s="190"/>
      <c r="I43" s="191"/>
      <c r="J43" s="191"/>
      <c r="K43" s="192" t="s">
        <v>1107</v>
      </c>
      <c r="L43" s="191" t="s">
        <v>1125</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681</v>
      </c>
      <c r="F44" s="220"/>
      <c r="G44" s="170"/>
      <c r="H44" s="190"/>
      <c r="I44" s="191"/>
      <c r="J44" s="191"/>
      <c r="K44" s="186" t="s">
        <v>1064</v>
      </c>
      <c r="L44" s="191" t="s">
        <v>678</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749</v>
      </c>
      <c r="K45" s="186" t="s">
        <v>1128</v>
      </c>
      <c r="L45" s="191" t="s">
        <v>1129</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1130</v>
      </c>
      <c r="L46" s="191" t="s">
        <v>1131</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1065</v>
      </c>
      <c r="L47" s="184" t="s">
        <v>748</v>
      </c>
      <c r="M47" s="689"/>
      <c r="N47" s="689"/>
      <c r="O47" s="689"/>
      <c r="P47" s="689"/>
      <c r="Q47" s="689"/>
      <c r="R47" s="689"/>
      <c r="S47" s="689"/>
      <c r="T47" s="689"/>
      <c r="U47" s="689"/>
      <c r="V47" s="689"/>
      <c r="W47" s="689"/>
      <c r="X47" s="689"/>
      <c r="Y47" s="689"/>
      <c r="Z47" s="689"/>
      <c r="AA47" s="689"/>
      <c r="AB47" s="93"/>
      <c r="AC47" s="513" t="s">
        <v>1132</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1065</v>
      </c>
      <c r="L48" s="191" t="s">
        <v>748</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1065</v>
      </c>
      <c r="L49" s="191" t="s">
        <v>748</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1065</v>
      </c>
      <c r="L50" s="191" t="s">
        <v>748</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1065</v>
      </c>
      <c r="L51" s="191" t="s">
        <v>748</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1065</v>
      </c>
      <c r="L52" s="191" t="s">
        <v>748</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1065</v>
      </c>
      <c r="L53" s="198" t="s">
        <v>748</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894</v>
      </c>
      <c r="E54" s="188"/>
      <c r="F54" s="213" t="s">
        <v>394</v>
      </c>
      <c r="G54" s="170"/>
      <c r="H54" s="190"/>
      <c r="I54" s="191"/>
      <c r="J54" s="191"/>
      <c r="K54" s="192" t="s">
        <v>1107</v>
      </c>
      <c r="L54" s="191" t="s">
        <v>1125</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681</v>
      </c>
      <c r="F55" s="189"/>
      <c r="G55" s="170"/>
      <c r="H55" s="190"/>
      <c r="I55" s="191"/>
      <c r="J55" s="191"/>
      <c r="K55" s="186" t="s">
        <v>1064</v>
      </c>
      <c r="L55" s="191" t="s">
        <v>678</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749</v>
      </c>
      <c r="K56" s="186" t="s">
        <v>1128</v>
      </c>
      <c r="L56" s="191" t="s">
        <v>1129</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1130</v>
      </c>
      <c r="L57" s="191" t="s">
        <v>1131</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1065</v>
      </c>
      <c r="L58" s="191" t="s">
        <v>748</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1065</v>
      </c>
      <c r="L59" s="191" t="s">
        <v>748</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1065</v>
      </c>
      <c r="L60" s="191" t="s">
        <v>748</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1065</v>
      </c>
      <c r="L61" s="191" t="s">
        <v>748</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1065</v>
      </c>
      <c r="L62" s="191" t="s">
        <v>748</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1065</v>
      </c>
      <c r="L63" s="191" t="s">
        <v>748</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1065</v>
      </c>
      <c r="L64" s="198" t="s">
        <v>748</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553</v>
      </c>
      <c r="D65" s="187" t="s">
        <v>872</v>
      </c>
      <c r="E65" s="258"/>
      <c r="F65" s="213" t="s">
        <v>400</v>
      </c>
      <c r="G65" s="170"/>
      <c r="H65" s="190"/>
      <c r="I65" s="191"/>
      <c r="J65" s="191"/>
      <c r="K65" s="192" t="s">
        <v>1107</v>
      </c>
      <c r="L65" s="191" t="s">
        <v>1125</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683</v>
      </c>
      <c r="F66" s="220"/>
      <c r="G66" s="170"/>
      <c r="H66" s="190"/>
      <c r="I66" s="191"/>
      <c r="J66" s="191"/>
      <c r="K66" s="186" t="s">
        <v>1126</v>
      </c>
      <c r="L66" s="191" t="s">
        <v>678</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749</v>
      </c>
      <c r="K67" s="186" t="s">
        <v>1128</v>
      </c>
      <c r="L67" s="191" t="s">
        <v>1129</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1130</v>
      </c>
      <c r="L68" s="191" t="s">
        <v>1131</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1065</v>
      </c>
      <c r="L69" s="184" t="s">
        <v>748</v>
      </c>
      <c r="M69" s="689"/>
      <c r="N69" s="689"/>
      <c r="O69" s="689"/>
      <c r="P69" s="689"/>
      <c r="Q69" s="689"/>
      <c r="R69" s="689"/>
      <c r="S69" s="689"/>
      <c r="T69" s="689"/>
      <c r="U69" s="689"/>
      <c r="V69" s="689"/>
      <c r="W69" s="689"/>
      <c r="X69" s="689"/>
      <c r="Y69" s="689"/>
      <c r="Z69" s="689"/>
      <c r="AA69" s="689"/>
      <c r="AB69" s="93"/>
      <c r="AC69" s="513" t="s">
        <v>1132</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1065</v>
      </c>
      <c r="L70" s="191" t="s">
        <v>748</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1065</v>
      </c>
      <c r="L71" s="191" t="s">
        <v>748</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1065</v>
      </c>
      <c r="L72" s="191" t="s">
        <v>748</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1065</v>
      </c>
      <c r="L73" s="191" t="s">
        <v>748</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1065</v>
      </c>
      <c r="L74" s="191" t="s">
        <v>748</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1065</v>
      </c>
      <c r="L75" s="198" t="s">
        <v>748</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1133</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1134</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1052</v>
      </c>
    </row>
    <row r="81" spans="1:64" s="82" customFormat="1" x14ac:dyDescent="0.3">
      <c r="A81" s="83"/>
      <c r="B81" s="351" t="s">
        <v>1053</v>
      </c>
      <c r="C81" s="352" t="s">
        <v>104</v>
      </c>
      <c r="D81" s="352" t="s">
        <v>1054</v>
      </c>
      <c r="E81" s="352" t="s">
        <v>673</v>
      </c>
      <c r="F81" s="352" t="s">
        <v>674</v>
      </c>
      <c r="G81" s="352" t="s">
        <v>1055</v>
      </c>
      <c r="H81" s="353" t="s">
        <v>1056</v>
      </c>
      <c r="I81" s="352" t="s">
        <v>982</v>
      </c>
      <c r="J81" s="354" t="s">
        <v>1123</v>
      </c>
      <c r="K81" s="352" t="s">
        <v>1057</v>
      </c>
      <c r="L81" s="352" t="s">
        <v>1058</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1062</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1124</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562</v>
      </c>
      <c r="D83" s="187" t="s">
        <v>899</v>
      </c>
      <c r="E83" s="188" t="s">
        <v>683</v>
      </c>
      <c r="F83" s="213" t="s">
        <v>473</v>
      </c>
      <c r="G83" s="170"/>
      <c r="H83" s="190"/>
      <c r="I83" s="191"/>
      <c r="J83" s="191"/>
      <c r="K83" s="192" t="s">
        <v>1107</v>
      </c>
      <c r="L83" s="191" t="s">
        <v>1125</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681</v>
      </c>
      <c r="F84" s="213"/>
      <c r="G84" s="170"/>
      <c r="H84" s="190"/>
      <c r="I84" s="191"/>
      <c r="J84" s="191"/>
      <c r="K84" s="186" t="s">
        <v>1064</v>
      </c>
      <c r="L84" s="191" t="s">
        <v>678</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1126</v>
      </c>
      <c r="L85" s="191" t="s">
        <v>678</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1127</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749</v>
      </c>
      <c r="K87" s="186" t="s">
        <v>1128</v>
      </c>
      <c r="L87" s="191" t="s">
        <v>1129</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1130</v>
      </c>
      <c r="L88" s="191" t="s">
        <v>1131</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1065</v>
      </c>
      <c r="L89" s="191" t="s">
        <v>748</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1065</v>
      </c>
      <c r="L90" s="191" t="s">
        <v>748</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1065</v>
      </c>
      <c r="L91" s="191" t="s">
        <v>748</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1065</v>
      </c>
      <c r="L92" s="191" t="s">
        <v>748</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1065</v>
      </c>
      <c r="L93" s="191" t="s">
        <v>748</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1065</v>
      </c>
      <c r="L94" s="191" t="s">
        <v>748</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1065</v>
      </c>
      <c r="L95" s="198" t="s">
        <v>748</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563</v>
      </c>
      <c r="D96" s="187" t="s">
        <v>903</v>
      </c>
      <c r="E96" s="188"/>
      <c r="F96" s="213" t="s">
        <v>476</v>
      </c>
      <c r="G96" s="170"/>
      <c r="H96" s="190"/>
      <c r="I96" s="191"/>
      <c r="J96" s="191"/>
      <c r="K96" s="192" t="s">
        <v>1107</v>
      </c>
      <c r="L96" s="191" t="s">
        <v>1125</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681</v>
      </c>
      <c r="F97" s="213"/>
      <c r="G97" s="170"/>
      <c r="H97" s="190"/>
      <c r="I97" s="191"/>
      <c r="J97" s="191"/>
      <c r="K97" s="186" t="s">
        <v>1064</v>
      </c>
      <c r="L97" s="191" t="s">
        <v>678</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749</v>
      </c>
      <c r="K98" s="186" t="s">
        <v>1128</v>
      </c>
      <c r="L98" s="191" t="s">
        <v>1129</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1130</v>
      </c>
      <c r="L99" s="191" t="s">
        <v>1131</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1065</v>
      </c>
      <c r="L100" s="191" t="s">
        <v>748</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1065</v>
      </c>
      <c r="L101" s="191" t="s">
        <v>748</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1065</v>
      </c>
      <c r="L102" s="191" t="s">
        <v>748</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1065</v>
      </c>
      <c r="L103" s="191" t="s">
        <v>748</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1065</v>
      </c>
      <c r="L104" s="191" t="s">
        <v>748</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1065</v>
      </c>
      <c r="L105" s="191" t="s">
        <v>748</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1065</v>
      </c>
      <c r="L106" s="198" t="s">
        <v>748</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895</v>
      </c>
      <c r="E107" s="188"/>
      <c r="F107" s="213" t="s">
        <v>470</v>
      </c>
      <c r="G107" s="170"/>
      <c r="H107" s="190"/>
      <c r="I107" s="191"/>
      <c r="J107" s="191"/>
      <c r="K107" s="192" t="s">
        <v>1107</v>
      </c>
      <c r="L107" s="191" t="s">
        <v>1125</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681</v>
      </c>
      <c r="F108" s="189"/>
      <c r="G108" s="170"/>
      <c r="H108" s="190"/>
      <c r="I108" s="191"/>
      <c r="J108" s="191"/>
      <c r="K108" s="186" t="s">
        <v>1064</v>
      </c>
      <c r="L108" s="191" t="s">
        <v>678</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749</v>
      </c>
      <c r="K109" s="186" t="s">
        <v>1128</v>
      </c>
      <c r="L109" s="191" t="s">
        <v>1129</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1130</v>
      </c>
      <c r="L110" s="191" t="s">
        <v>1131</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1065</v>
      </c>
      <c r="L111" s="191" t="s">
        <v>748</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1065</v>
      </c>
      <c r="L112" s="191" t="s">
        <v>748</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1065</v>
      </c>
      <c r="L113" s="191" t="s">
        <v>748</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1065</v>
      </c>
      <c r="L114" s="191" t="s">
        <v>748</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1065</v>
      </c>
      <c r="L115" s="191" t="s">
        <v>748</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1065</v>
      </c>
      <c r="L116" s="191" t="s">
        <v>748</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1065</v>
      </c>
      <c r="L117" s="198" t="s">
        <v>748</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555</v>
      </c>
      <c r="D118" s="179" t="s">
        <v>873</v>
      </c>
      <c r="E118" s="407"/>
      <c r="F118" s="326" t="s">
        <v>479</v>
      </c>
      <c r="G118" s="182"/>
      <c r="H118" s="183"/>
      <c r="I118" s="184"/>
      <c r="J118" s="184"/>
      <c r="K118" s="185" t="s">
        <v>1107</v>
      </c>
      <c r="L118" s="184" t="s">
        <v>1125</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683</v>
      </c>
      <c r="F119" s="220"/>
      <c r="G119" s="170"/>
      <c r="H119" s="190"/>
      <c r="I119" s="191"/>
      <c r="J119" s="191"/>
      <c r="K119" s="186" t="s">
        <v>1126</v>
      </c>
      <c r="L119" s="191" t="s">
        <v>678</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749</v>
      </c>
      <c r="K120" s="186" t="s">
        <v>1128</v>
      </c>
      <c r="L120" s="191" t="s">
        <v>1129</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1130</v>
      </c>
      <c r="L121" s="191" t="s">
        <v>1131</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1065</v>
      </c>
      <c r="L122" s="184" t="s">
        <v>748</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1065</v>
      </c>
      <c r="L123" s="191" t="s">
        <v>748</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1065</v>
      </c>
      <c r="L124" s="191" t="s">
        <v>748</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1065</v>
      </c>
      <c r="L125" s="191" t="s">
        <v>748</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1065</v>
      </c>
      <c r="L126" s="191" t="s">
        <v>748</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1065</v>
      </c>
      <c r="L127" s="191" t="s">
        <v>748</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1065</v>
      </c>
      <c r="L128" s="198" t="s">
        <v>748</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1135</v>
      </c>
      <c r="C1" s="22"/>
      <c r="D1" s="22"/>
      <c r="H1" s="36"/>
      <c r="L1" s="113" t="s">
        <v>1111</v>
      </c>
      <c r="M1" s="119"/>
      <c r="N1" s="119"/>
      <c r="O1" s="119"/>
      <c r="P1" s="119"/>
      <c r="AE1" s="37" t="s">
        <v>1112</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1051</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980</v>
      </c>
      <c r="I8" s="42" t="s">
        <v>1113</v>
      </c>
      <c r="J8" s="42" t="s">
        <v>1114</v>
      </c>
      <c r="K8" s="42" t="s">
        <v>1057</v>
      </c>
      <c r="L8" s="43" t="s">
        <v>1058</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1115</v>
      </c>
      <c r="I9" s="171" t="s">
        <v>1116</v>
      </c>
      <c r="J9" s="171" t="s">
        <v>1117</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1118</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1118</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1136</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1053</v>
      </c>
      <c r="C17" s="26" t="s">
        <v>104</v>
      </c>
      <c r="D17" s="26" t="s">
        <v>1054</v>
      </c>
      <c r="E17" s="26" t="s">
        <v>673</v>
      </c>
      <c r="F17" s="26" t="s">
        <v>674</v>
      </c>
      <c r="G17" s="26" t="s">
        <v>1055</v>
      </c>
      <c r="H17" s="53" t="s">
        <v>1056</v>
      </c>
      <c r="I17" s="26" t="s">
        <v>982</v>
      </c>
      <c r="J17" s="42" t="s">
        <v>1123</v>
      </c>
      <c r="K17" s="26" t="s">
        <v>1057</v>
      </c>
      <c r="L17" s="26" t="s">
        <v>1058</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1062</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689</v>
      </c>
      <c r="D19" s="609" t="s">
        <v>881</v>
      </c>
      <c r="E19" s="258" t="s">
        <v>683</v>
      </c>
      <c r="F19" s="213"/>
      <c r="G19" s="170"/>
      <c r="H19" s="190"/>
      <c r="I19" s="191"/>
      <c r="J19" s="191"/>
      <c r="K19" s="192" t="s">
        <v>1137</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1138</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1139</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1053</v>
      </c>
      <c r="C26" s="26" t="s">
        <v>104</v>
      </c>
      <c r="D26" s="26" t="s">
        <v>1054</v>
      </c>
      <c r="E26" s="26" t="s">
        <v>673</v>
      </c>
      <c r="F26" s="26" t="s">
        <v>674</v>
      </c>
      <c r="G26" s="26" t="s">
        <v>1055</v>
      </c>
      <c r="H26" s="53" t="s">
        <v>1056</v>
      </c>
      <c r="I26" s="26" t="s">
        <v>982</v>
      </c>
      <c r="J26" s="42" t="s">
        <v>1123</v>
      </c>
      <c r="K26" s="26" t="s">
        <v>1057</v>
      </c>
      <c r="L26" s="26" t="s">
        <v>1058</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1062</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690</v>
      </c>
      <c r="D28" s="609" t="s">
        <v>1140</v>
      </c>
      <c r="E28" s="258" t="s">
        <v>683</v>
      </c>
      <c r="F28" s="213"/>
      <c r="G28" s="170"/>
      <c r="H28" s="190"/>
      <c r="I28" s="191"/>
      <c r="J28" s="191"/>
      <c r="K28" s="192" t="s">
        <v>1137</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1138</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topLeftCell="M1"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1111</v>
      </c>
    </row>
    <row r="2" spans="1:64" ht="18.600000000000001" customHeight="1" x14ac:dyDescent="0.3">
      <c r="A2" s="22"/>
      <c r="B2" s="148" t="s">
        <v>1180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1052</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988</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1051</v>
      </c>
      <c r="M7" s="40"/>
      <c r="R7" s="41"/>
      <c r="V7" s="41"/>
      <c r="AV7" s="725" t="s">
        <v>990</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980</v>
      </c>
      <c r="J8" s="42" t="s">
        <v>1113</v>
      </c>
      <c r="K8" s="42" t="s">
        <v>1114</v>
      </c>
      <c r="L8" s="42" t="s">
        <v>1057</v>
      </c>
      <c r="M8" s="43" t="s">
        <v>1058</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996</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1115</v>
      </c>
      <c r="J9" s="171" t="s">
        <v>1116</v>
      </c>
      <c r="K9" s="171" t="s">
        <v>1117</v>
      </c>
      <c r="L9" s="171"/>
      <c r="M9" s="171"/>
      <c r="N9" s="171"/>
      <c r="O9" s="171"/>
      <c r="P9" s="171"/>
      <c r="Q9" s="171"/>
      <c r="R9" s="171"/>
      <c r="S9" s="171"/>
      <c r="T9" s="171"/>
      <c r="U9" s="171"/>
      <c r="V9" s="171"/>
      <c r="W9" s="171"/>
      <c r="X9" s="171"/>
      <c r="Y9" s="171"/>
      <c r="Z9" s="171"/>
      <c r="AA9" s="171"/>
      <c r="AB9" s="171"/>
      <c r="AD9" s="171"/>
      <c r="AV9" s="725" t="s">
        <v>994</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1118</v>
      </c>
      <c r="M10" s="173" t="s">
        <v>583</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998</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1118</v>
      </c>
      <c r="M11" s="173" t="s">
        <v>583</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1000</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1119</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1142</v>
      </c>
      <c r="AG13" s="38"/>
      <c r="AH13" s="38"/>
      <c r="AI13" s="38"/>
      <c r="AJ13" s="38"/>
      <c r="AK13" s="38"/>
      <c r="AL13" s="38"/>
      <c r="AM13" s="38"/>
      <c r="AN13" s="38"/>
      <c r="AO13" s="38"/>
      <c r="AP13" s="38"/>
      <c r="AV13" s="728" t="s">
        <v>683</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1168</v>
      </c>
      <c r="M14" s="190" t="s">
        <v>1119</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1161</v>
      </c>
      <c r="AH14" s="38" t="s">
        <v>1181</v>
      </c>
      <c r="AI14" s="38" t="s">
        <v>1143</v>
      </c>
      <c r="AJ14" s="38" t="s">
        <v>1007</v>
      </c>
      <c r="AK14" s="38" t="s">
        <v>1144</v>
      </c>
      <c r="AL14" s="38" t="s">
        <v>1145</v>
      </c>
      <c r="AM14" s="38" t="s">
        <v>1146</v>
      </c>
      <c r="AN14" s="38" t="s">
        <v>1182</v>
      </c>
      <c r="AO14" s="38" t="s">
        <v>115</v>
      </c>
      <c r="AP14" s="38" t="s">
        <v>1183</v>
      </c>
      <c r="AV14" s="728" t="s">
        <v>1010</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1012</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1014</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1016</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1023</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681</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1029</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1031</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1033</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1035</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1039</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1152</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1184</v>
      </c>
      <c r="C27" s="26"/>
      <c r="I27" s="36"/>
      <c r="M27" s="473" t="s">
        <v>1154</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1052</v>
      </c>
    </row>
    <row r="30" spans="1:64" s="22" customFormat="1" x14ac:dyDescent="0.3">
      <c r="A30" s="35"/>
      <c r="B30" s="52" t="s">
        <v>1053</v>
      </c>
      <c r="C30" s="26" t="s">
        <v>104</v>
      </c>
      <c r="D30" s="26" t="s">
        <v>1054</v>
      </c>
      <c r="E30" s="26" t="s">
        <v>673</v>
      </c>
      <c r="F30" s="26" t="s">
        <v>1155</v>
      </c>
      <c r="G30" s="26" t="s">
        <v>674</v>
      </c>
      <c r="H30" s="26" t="s">
        <v>1055</v>
      </c>
      <c r="I30" s="53" t="s">
        <v>1056</v>
      </c>
      <c r="J30" s="26" t="s">
        <v>982</v>
      </c>
      <c r="K30" s="42" t="s">
        <v>1123</v>
      </c>
      <c r="L30" s="26" t="s">
        <v>1057</v>
      </c>
      <c r="M30" s="26" t="s">
        <v>1058</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1062</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1124</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529</v>
      </c>
      <c r="D32" s="187" t="s">
        <v>776</v>
      </c>
      <c r="E32" s="258" t="s">
        <v>988</v>
      </c>
      <c r="F32" s="170"/>
      <c r="G32" s="189"/>
      <c r="H32" s="170"/>
      <c r="I32" s="190"/>
      <c r="J32" s="191"/>
      <c r="K32" s="191"/>
      <c r="L32" s="211" t="s">
        <v>1107</v>
      </c>
      <c r="M32" s="191" t="s">
        <v>1156</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1157</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990</v>
      </c>
      <c r="F34" s="170"/>
      <c r="G34" s="189"/>
      <c r="H34" s="170"/>
      <c r="I34" s="190"/>
      <c r="J34" s="191" t="s">
        <v>1157</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1126</v>
      </c>
      <c r="M35" s="186" t="s">
        <v>678</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1126</v>
      </c>
      <c r="M36" s="186" t="s">
        <v>678</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749</v>
      </c>
      <c r="L37" s="191" t="s">
        <v>1128</v>
      </c>
      <c r="M37" s="186" t="s">
        <v>1119</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1130</v>
      </c>
      <c r="M38" s="186" t="s">
        <v>1131</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1065</v>
      </c>
      <c r="M39" s="186" t="s">
        <v>748</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1065</v>
      </c>
      <c r="M40" s="186" t="s">
        <v>748</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1065</v>
      </c>
      <c r="M41" s="186" t="s">
        <v>748</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1065</v>
      </c>
      <c r="M42" s="186" t="s">
        <v>748</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1065</v>
      </c>
      <c r="M43" s="186" t="s">
        <v>748</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1065</v>
      </c>
      <c r="M44" s="186" t="s">
        <v>748</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1065</v>
      </c>
      <c r="M45" s="193" t="s">
        <v>748</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530</v>
      </c>
      <c r="D46" s="187" t="s">
        <v>779</v>
      </c>
      <c r="E46" s="188" t="s">
        <v>683</v>
      </c>
      <c r="F46" s="170"/>
      <c r="G46" s="189"/>
      <c r="H46" s="170"/>
      <c r="I46" s="190"/>
      <c r="J46" s="191"/>
      <c r="K46" s="191"/>
      <c r="L46" s="211" t="s">
        <v>1107</v>
      </c>
      <c r="M46" s="191" t="s">
        <v>1156</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1126</v>
      </c>
      <c r="M47" s="186" t="s">
        <v>678</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1126</v>
      </c>
      <c r="M48" s="186" t="s">
        <v>678</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749</v>
      </c>
      <c r="L49" s="191" t="s">
        <v>1128</v>
      </c>
      <c r="M49" s="186" t="s">
        <v>1119</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1130</v>
      </c>
      <c r="M50" s="186" t="s">
        <v>1131</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1065</v>
      </c>
      <c r="M51" s="186" t="s">
        <v>748</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1065</v>
      </c>
      <c r="M52" s="186" t="s">
        <v>748</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1065</v>
      </c>
      <c r="M53" s="186" t="s">
        <v>748</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1065</v>
      </c>
      <c r="M54" s="186" t="s">
        <v>748</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1065</v>
      </c>
      <c r="M55" s="186" t="s">
        <v>748</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1065</v>
      </c>
      <c r="M56" s="186" t="s">
        <v>748</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1065</v>
      </c>
      <c r="M57" s="193" t="s">
        <v>748</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531</v>
      </c>
      <c r="D58" s="187" t="s">
        <v>782</v>
      </c>
      <c r="E58" s="188" t="s">
        <v>1010</v>
      </c>
      <c r="F58" s="170"/>
      <c r="G58" s="189"/>
      <c r="H58" s="170"/>
      <c r="I58" s="190"/>
      <c r="J58" s="191"/>
      <c r="K58" s="191"/>
      <c r="L58" s="211" t="s">
        <v>1107</v>
      </c>
      <c r="M58" s="191" t="s">
        <v>1156</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1014</v>
      </c>
      <c r="F59" s="170"/>
      <c r="G59" s="189"/>
      <c r="H59" s="170"/>
      <c r="I59" s="190"/>
      <c r="J59" s="191" t="s">
        <v>1157</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1126</v>
      </c>
      <c r="M60" s="186" t="s">
        <v>678</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1126</v>
      </c>
      <c r="M61" s="186" t="s">
        <v>678</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749</v>
      </c>
      <c r="L62" s="191" t="s">
        <v>1128</v>
      </c>
      <c r="M62" s="186" t="s">
        <v>1119</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1130</v>
      </c>
      <c r="M63" s="186" t="s">
        <v>1131</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1065</v>
      </c>
      <c r="M64" s="186" t="s">
        <v>748</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1065</v>
      </c>
      <c r="M65" s="186" t="s">
        <v>748</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1065</v>
      </c>
      <c r="M66" s="186" t="s">
        <v>748</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1065</v>
      </c>
      <c r="M67" s="186" t="s">
        <v>748</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1065</v>
      </c>
      <c r="M68" s="186" t="s">
        <v>748</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1065</v>
      </c>
      <c r="M69" s="186" t="s">
        <v>748</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1065</v>
      </c>
      <c r="M70" s="193" t="s">
        <v>748</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532</v>
      </c>
      <c r="D71" s="187" t="s">
        <v>785</v>
      </c>
      <c r="E71" s="258" t="s">
        <v>994</v>
      </c>
      <c r="F71" s="170"/>
      <c r="G71" s="189"/>
      <c r="H71" s="170"/>
      <c r="I71" s="190"/>
      <c r="J71" s="191"/>
      <c r="K71" s="191"/>
      <c r="L71" s="211" t="s">
        <v>1107</v>
      </c>
      <c r="M71" s="191" t="s">
        <v>1156</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1039</v>
      </c>
      <c r="F72" s="170"/>
      <c r="G72" s="189"/>
      <c r="H72" s="170"/>
      <c r="I72" s="190"/>
      <c r="J72" s="191" t="s">
        <v>1157</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1014</v>
      </c>
      <c r="F73" s="170"/>
      <c r="G73" s="189"/>
      <c r="H73" s="170"/>
      <c r="I73" s="190"/>
      <c r="J73" s="191" t="s">
        <v>1157</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1126</v>
      </c>
      <c r="M74" s="186" t="s">
        <v>678</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1126</v>
      </c>
      <c r="M75" s="186" t="s">
        <v>678</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749</v>
      </c>
      <c r="L76" s="191" t="s">
        <v>1128</v>
      </c>
      <c r="M76" s="186" t="s">
        <v>1119</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1130</v>
      </c>
      <c r="M77" s="186" t="s">
        <v>1131</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1065</v>
      </c>
      <c r="M78" s="186" t="s">
        <v>748</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1065</v>
      </c>
      <c r="M79" s="186" t="s">
        <v>748</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1065</v>
      </c>
      <c r="M80" s="186" t="s">
        <v>748</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1065</v>
      </c>
      <c r="M81" s="186" t="s">
        <v>748</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1065</v>
      </c>
      <c r="M82" s="186" t="s">
        <v>748</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1065</v>
      </c>
      <c r="M83" s="186" t="s">
        <v>748</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1065</v>
      </c>
      <c r="M84" s="193" t="s">
        <v>748</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533</v>
      </c>
      <c r="D85" s="187" t="s">
        <v>788</v>
      </c>
      <c r="E85" s="258" t="s">
        <v>1014</v>
      </c>
      <c r="F85" s="170"/>
      <c r="G85" s="189"/>
      <c r="H85" s="170"/>
      <c r="I85" s="190"/>
      <c r="J85" s="191"/>
      <c r="K85" s="191"/>
      <c r="L85" s="211" t="s">
        <v>1107</v>
      </c>
      <c r="M85" s="191" t="s">
        <v>1156</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1012</v>
      </c>
      <c r="F86" s="170"/>
      <c r="G86" s="189"/>
      <c r="H86" s="170"/>
      <c r="I86" s="190"/>
      <c r="J86" s="191" t="s">
        <v>1157</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996</v>
      </c>
      <c r="F87" s="170"/>
      <c r="G87" s="213"/>
      <c r="H87" s="170"/>
      <c r="I87" s="190"/>
      <c r="J87" s="191" t="s">
        <v>1157</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1126</v>
      </c>
      <c r="M88" s="186" t="s">
        <v>678</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1126</v>
      </c>
      <c r="M89" s="186" t="s">
        <v>678</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749</v>
      </c>
      <c r="L90" s="191" t="s">
        <v>1128</v>
      </c>
      <c r="M90" s="186" t="s">
        <v>1119</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1130</v>
      </c>
      <c r="M91" s="186" t="s">
        <v>1131</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1065</v>
      </c>
      <c r="M92" s="186" t="s">
        <v>748</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1065</v>
      </c>
      <c r="M93" s="186" t="s">
        <v>748</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1065</v>
      </c>
      <c r="M94" s="186" t="s">
        <v>748</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1065</v>
      </c>
      <c r="M95" s="186" t="s">
        <v>748</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1065</v>
      </c>
      <c r="M96" s="186" t="s">
        <v>748</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1065</v>
      </c>
      <c r="M97" s="186" t="s">
        <v>748</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1065</v>
      </c>
      <c r="M98" s="193" t="s">
        <v>748</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534</v>
      </c>
      <c r="D99" s="187" t="s">
        <v>791</v>
      </c>
      <c r="E99" s="258" t="s">
        <v>988</v>
      </c>
      <c r="F99" s="170"/>
      <c r="G99" s="213"/>
      <c r="H99" s="170"/>
      <c r="I99" s="190"/>
      <c r="J99" s="191"/>
      <c r="K99" s="191"/>
      <c r="L99" s="211" t="s">
        <v>1107</v>
      </c>
      <c r="M99" s="191" t="s">
        <v>1156</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1182</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1157</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990</v>
      </c>
      <c r="F101" s="170"/>
      <c r="G101" s="189"/>
      <c r="H101" s="170"/>
      <c r="I101" s="190"/>
      <c r="J101" s="191" t="s">
        <v>1157</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1126</v>
      </c>
      <c r="M102" s="186" t="s">
        <v>678</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1126</v>
      </c>
      <c r="M103" s="186" t="s">
        <v>678</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749</v>
      </c>
      <c r="L104" s="191" t="s">
        <v>1128</v>
      </c>
      <c r="M104" s="186" t="s">
        <v>1119</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1130</v>
      </c>
      <c r="M105" s="186" t="s">
        <v>1131</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1065</v>
      </c>
      <c r="M106" s="186" t="s">
        <v>748</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1065</v>
      </c>
      <c r="M107" s="186" t="s">
        <v>748</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1065</v>
      </c>
      <c r="M108" s="186" t="s">
        <v>748</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1065</v>
      </c>
      <c r="M109" s="186" t="s">
        <v>748</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1065</v>
      </c>
      <c r="M110" s="186" t="s">
        <v>748</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1065</v>
      </c>
      <c r="M111" s="186" t="s">
        <v>748</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1065</v>
      </c>
      <c r="M112" s="193" t="s">
        <v>748</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535</v>
      </c>
      <c r="D113" s="187" t="s">
        <v>794</v>
      </c>
      <c r="E113" s="258" t="s">
        <v>1014</v>
      </c>
      <c r="F113" s="170"/>
      <c r="G113" s="213"/>
      <c r="H113" s="170"/>
      <c r="I113" s="190"/>
      <c r="J113" s="191"/>
      <c r="K113" s="191"/>
      <c r="L113" s="211" t="s">
        <v>1107</v>
      </c>
      <c r="M113" s="191" t="s">
        <v>1156</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1182</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1012</v>
      </c>
      <c r="F114" s="170"/>
      <c r="G114" s="213"/>
      <c r="H114" s="170"/>
      <c r="I114" s="190"/>
      <c r="J114" s="191" t="s">
        <v>1157</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996</v>
      </c>
      <c r="F115" s="170"/>
      <c r="G115" s="213"/>
      <c r="H115" s="170"/>
      <c r="I115" s="190"/>
      <c r="J115" s="191" t="s">
        <v>1157</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1126</v>
      </c>
      <c r="M116" s="186" t="s">
        <v>678</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1126</v>
      </c>
      <c r="M117" s="186" t="s">
        <v>678</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749</v>
      </c>
      <c r="L118" s="191" t="s">
        <v>1128</v>
      </c>
      <c r="M118" s="186" t="s">
        <v>1119</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1130</v>
      </c>
      <c r="M119" s="186" t="s">
        <v>1131</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1065</v>
      </c>
      <c r="M120" s="186" t="s">
        <v>748</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1065</v>
      </c>
      <c r="M121" s="186" t="s">
        <v>748</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1065</v>
      </c>
      <c r="M122" s="186" t="s">
        <v>748</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1065</v>
      </c>
      <c r="M123" s="186" t="s">
        <v>748</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1065</v>
      </c>
      <c r="M124" s="186" t="s">
        <v>748</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1065</v>
      </c>
      <c r="M125" s="186" t="s">
        <v>748</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1065</v>
      </c>
      <c r="M126" s="193" t="s">
        <v>748</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536</v>
      </c>
      <c r="D127" s="187" t="s">
        <v>797</v>
      </c>
      <c r="E127" s="188" t="s">
        <v>1033</v>
      </c>
      <c r="F127" s="170"/>
      <c r="G127" s="189"/>
      <c r="H127" s="170"/>
      <c r="I127" s="190"/>
      <c r="J127" s="191"/>
      <c r="K127" s="191"/>
      <c r="L127" s="211" t="s">
        <v>1107</v>
      </c>
      <c r="M127" s="191" t="s">
        <v>1156</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1126</v>
      </c>
      <c r="M128" s="186" t="s">
        <v>678</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1126</v>
      </c>
      <c r="M129" s="186" t="s">
        <v>678</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749</v>
      </c>
      <c r="L130" s="191" t="s">
        <v>1128</v>
      </c>
      <c r="M130" s="186" t="s">
        <v>1119</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1130</v>
      </c>
      <c r="M131" s="186" t="s">
        <v>1131</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1065</v>
      </c>
      <c r="M132" s="186" t="s">
        <v>748</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1065</v>
      </c>
      <c r="M133" s="186" t="s">
        <v>748</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1065</v>
      </c>
      <c r="M134" s="186" t="s">
        <v>748</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1065</v>
      </c>
      <c r="M135" s="186" t="s">
        <v>748</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1065</v>
      </c>
      <c r="M136" s="186" t="s">
        <v>748</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1065</v>
      </c>
      <c r="M137" s="186" t="s">
        <v>748</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1065</v>
      </c>
      <c r="M138" s="193" t="s">
        <v>748</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537</v>
      </c>
      <c r="D139" s="179" t="s">
        <v>800</v>
      </c>
      <c r="E139" s="407" t="s">
        <v>988</v>
      </c>
      <c r="F139" s="182"/>
      <c r="G139" s="326"/>
      <c r="H139" s="182"/>
      <c r="I139" s="183"/>
      <c r="J139" s="184"/>
      <c r="K139" s="184"/>
      <c r="L139" s="203" t="s">
        <v>1107</v>
      </c>
      <c r="M139" s="191" t="s">
        <v>1156</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1183</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1157</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990</v>
      </c>
      <c r="F141" s="170"/>
      <c r="G141" s="189"/>
      <c r="H141" s="170"/>
      <c r="I141" s="190"/>
      <c r="J141" s="191" t="s">
        <v>1157</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1126</v>
      </c>
      <c r="M142" s="186" t="s">
        <v>678</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1126</v>
      </c>
      <c r="M143" s="186" t="s">
        <v>678</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749</v>
      </c>
      <c r="L144" s="191" t="s">
        <v>1128</v>
      </c>
      <c r="M144" s="186" t="s">
        <v>1119</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1130</v>
      </c>
      <c r="M145" s="186" t="s">
        <v>1131</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1065</v>
      </c>
      <c r="M146" s="186" t="s">
        <v>748</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1065</v>
      </c>
      <c r="M147" s="186" t="s">
        <v>748</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1065</v>
      </c>
      <c r="M148" s="186" t="s">
        <v>748</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1065</v>
      </c>
      <c r="M149" s="186" t="s">
        <v>748</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1065</v>
      </c>
      <c r="M150" s="186" t="s">
        <v>748</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1065</v>
      </c>
      <c r="M151" s="186" t="s">
        <v>748</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1065</v>
      </c>
      <c r="M152" s="193" t="s">
        <v>748</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538</v>
      </c>
      <c r="D153" s="187" t="s">
        <v>803</v>
      </c>
      <c r="E153" s="258" t="s">
        <v>1014</v>
      </c>
      <c r="F153" s="170"/>
      <c r="G153" s="213"/>
      <c r="H153" s="170"/>
      <c r="I153" s="190"/>
      <c r="J153" s="191"/>
      <c r="K153" s="191"/>
      <c r="L153" s="211" t="s">
        <v>1107</v>
      </c>
      <c r="M153" s="191" t="s">
        <v>1156</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1183</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1012</v>
      </c>
      <c r="F154" s="170"/>
      <c r="G154" s="213"/>
      <c r="H154" s="170"/>
      <c r="I154" s="190"/>
      <c r="J154" s="191" t="s">
        <v>1157</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996</v>
      </c>
      <c r="F155" s="170"/>
      <c r="G155" s="213"/>
      <c r="H155" s="170"/>
      <c r="I155" s="190"/>
      <c r="J155" s="191" t="s">
        <v>1157</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1126</v>
      </c>
      <c r="M156" s="186" t="s">
        <v>678</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1126</v>
      </c>
      <c r="M157" s="186" t="s">
        <v>678</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749</v>
      </c>
      <c r="L158" s="191" t="s">
        <v>1128</v>
      </c>
      <c r="M158" s="186" t="s">
        <v>1119</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1130</v>
      </c>
      <c r="M159" s="186" t="s">
        <v>1131</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1065</v>
      </c>
      <c r="M160" s="186" t="s">
        <v>748</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1065</v>
      </c>
      <c r="M161" s="186" t="s">
        <v>748</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1065</v>
      </c>
      <c r="M162" s="186" t="s">
        <v>748</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1065</v>
      </c>
      <c r="M163" s="186" t="s">
        <v>748</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1065</v>
      </c>
      <c r="M164" s="186" t="s">
        <v>748</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1065</v>
      </c>
      <c r="M165" s="186" t="s">
        <v>748</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1065</v>
      </c>
      <c r="M166" s="193" t="s">
        <v>748</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1111</v>
      </c>
      <c r="N1" s="35"/>
      <c r="O1" s="35"/>
      <c r="P1" s="35"/>
      <c r="Q1" s="35"/>
      <c r="R1" s="35"/>
      <c r="S1" s="35"/>
      <c r="T1" s="35"/>
      <c r="U1" s="35"/>
      <c r="V1" s="35"/>
      <c r="W1" s="35"/>
      <c r="X1" s="35"/>
      <c r="Y1" s="35"/>
      <c r="Z1" s="35"/>
      <c r="AA1" s="35"/>
      <c r="AB1" s="35"/>
    </row>
    <row r="2" spans="1:42" s="35" customFormat="1" ht="18.600000000000001" customHeight="1" x14ac:dyDescent="0.3">
      <c r="A2" s="22"/>
      <c r="B2" s="148" t="s">
        <v>1185</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1142</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1143</v>
      </c>
      <c r="AH4" s="38" t="s">
        <v>1007</v>
      </c>
      <c r="AI4" s="38" t="s">
        <v>1144</v>
      </c>
      <c r="AJ4" s="38" t="s">
        <v>1145</v>
      </c>
      <c r="AK4" s="38" t="s">
        <v>1146</v>
      </c>
      <c r="AL4" s="406" t="s">
        <v>1147</v>
      </c>
      <c r="AM4" s="406" t="s">
        <v>1148</v>
      </c>
      <c r="AN4" s="38" t="s">
        <v>115</v>
      </c>
      <c r="AO4" s="406" t="s">
        <v>1149</v>
      </c>
      <c r="AP4" s="406" t="s">
        <v>1150</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1051</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980</v>
      </c>
      <c r="J8" s="42" t="s">
        <v>1113</v>
      </c>
      <c r="K8" s="42" t="s">
        <v>1114</v>
      </c>
      <c r="L8" s="42" t="s">
        <v>1057</v>
      </c>
      <c r="M8" s="43" t="s">
        <v>1058</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1115</v>
      </c>
      <c r="J9" s="171" t="s">
        <v>1116</v>
      </c>
      <c r="K9" s="171" t="s">
        <v>1117</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1118</v>
      </c>
      <c r="M10" s="173" t="s">
        <v>583</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1118</v>
      </c>
      <c r="M11" s="173" t="s">
        <v>583</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1119</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1168</v>
      </c>
      <c r="M14" s="190" t="s">
        <v>1119</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1186</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1152</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1153</v>
      </c>
      <c r="C25" s="26"/>
      <c r="D25" s="44"/>
      <c r="E25" s="44"/>
      <c r="F25" s="44"/>
      <c r="G25" s="44"/>
      <c r="M25" s="473" t="s">
        <v>1154</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1053</v>
      </c>
      <c r="C28" s="352" t="s">
        <v>104</v>
      </c>
      <c r="D28" s="352" t="s">
        <v>1054</v>
      </c>
      <c r="E28" s="352" t="s">
        <v>673</v>
      </c>
      <c r="F28" s="352" t="s">
        <v>1155</v>
      </c>
      <c r="G28" s="352" t="s">
        <v>674</v>
      </c>
      <c r="H28" s="352" t="s">
        <v>1055</v>
      </c>
      <c r="I28" s="353" t="s">
        <v>1056</v>
      </c>
      <c r="J28" s="352" t="s">
        <v>982</v>
      </c>
      <c r="K28" s="354" t="s">
        <v>1123</v>
      </c>
      <c r="L28" s="352" t="s">
        <v>1057</v>
      </c>
      <c r="M28" s="352" t="s">
        <v>1058</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1062</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1124</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775</v>
      </c>
      <c r="E30" s="258" t="s">
        <v>988</v>
      </c>
      <c r="F30" s="170"/>
      <c r="G30" s="189"/>
      <c r="H30" s="170"/>
      <c r="I30" s="190"/>
      <c r="J30" s="191"/>
      <c r="K30" s="191"/>
      <c r="L30" s="211" t="s">
        <v>1107</v>
      </c>
      <c r="M30" s="191" t="s">
        <v>1156</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1157</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1126</v>
      </c>
      <c r="M32" s="186" t="s">
        <v>678</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1126</v>
      </c>
      <c r="M33" s="186" t="s">
        <v>678</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749</v>
      </c>
      <c r="L34" s="191" t="s">
        <v>1128</v>
      </c>
      <c r="M34" s="186" t="s">
        <v>1159</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1130</v>
      </c>
      <c r="M35" s="186" t="s">
        <v>1131</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1065</v>
      </c>
      <c r="M36" s="217" t="s">
        <v>748</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1065</v>
      </c>
      <c r="M37" s="186" t="s">
        <v>748</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1065</v>
      </c>
      <c r="M38" s="186" t="s">
        <v>748</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1065</v>
      </c>
      <c r="M39" s="186" t="s">
        <v>748</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1065</v>
      </c>
      <c r="M40" s="186" t="s">
        <v>748</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1065</v>
      </c>
      <c r="M41" s="186" t="s">
        <v>748</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1065</v>
      </c>
      <c r="M42" s="193" t="s">
        <v>748</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778</v>
      </c>
      <c r="E43" s="188" t="s">
        <v>683</v>
      </c>
      <c r="F43" s="170"/>
      <c r="G43" s="213"/>
      <c r="H43" s="170"/>
      <c r="I43" s="190"/>
      <c r="J43" s="191"/>
      <c r="K43" s="191"/>
      <c r="L43" s="211" t="s">
        <v>1107</v>
      </c>
      <c r="M43" s="191" t="s">
        <v>1156</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1126</v>
      </c>
      <c r="M44" s="186" t="s">
        <v>678</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1126</v>
      </c>
      <c r="M45" s="186" t="s">
        <v>678</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749</v>
      </c>
      <c r="L46" s="191" t="s">
        <v>1128</v>
      </c>
      <c r="M46" s="186" t="s">
        <v>1159</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1130</v>
      </c>
      <c r="M47" s="186" t="s">
        <v>1131</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1065</v>
      </c>
      <c r="M48" s="186" t="s">
        <v>748</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1065</v>
      </c>
      <c r="M49" s="186" t="s">
        <v>748</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1065</v>
      </c>
      <c r="M50" s="186" t="s">
        <v>748</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1065</v>
      </c>
      <c r="M51" s="186" t="s">
        <v>748</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1065</v>
      </c>
      <c r="M52" s="186" t="s">
        <v>748</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1065</v>
      </c>
      <c r="M53" s="186" t="s">
        <v>748</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1065</v>
      </c>
      <c r="M54" s="193" t="s">
        <v>748</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781</v>
      </c>
      <c r="E55" s="188" t="s">
        <v>1010</v>
      </c>
      <c r="F55" s="170"/>
      <c r="G55" s="213"/>
      <c r="H55" s="170"/>
      <c r="I55" s="190"/>
      <c r="J55" s="191"/>
      <c r="K55" s="191"/>
      <c r="L55" s="211" t="s">
        <v>1107</v>
      </c>
      <c r="M55" s="191" t="s">
        <v>1156</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1014</v>
      </c>
      <c r="F56" s="170"/>
      <c r="G56" s="213"/>
      <c r="H56" s="170"/>
      <c r="I56" s="190"/>
      <c r="J56" s="191" t="s">
        <v>1157</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1126</v>
      </c>
      <c r="M57" s="186" t="s">
        <v>678</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1126</v>
      </c>
      <c r="M58" s="186" t="s">
        <v>678</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749</v>
      </c>
      <c r="L59" s="191" t="s">
        <v>1128</v>
      </c>
      <c r="M59" s="186" t="s">
        <v>1159</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1130</v>
      </c>
      <c r="M60" s="186" t="s">
        <v>1131</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1065</v>
      </c>
      <c r="M61" s="186" t="s">
        <v>748</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1065</v>
      </c>
      <c r="M62" s="186" t="s">
        <v>748</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1065</v>
      </c>
      <c r="M63" s="186" t="s">
        <v>748</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1065</v>
      </c>
      <c r="M64" s="186" t="s">
        <v>748</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1065</v>
      </c>
      <c r="M65" s="186" t="s">
        <v>748</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1065</v>
      </c>
      <c r="M66" s="186" t="s">
        <v>748</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1065</v>
      </c>
      <c r="M67" s="193" t="s">
        <v>748</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784</v>
      </c>
      <c r="E68" s="258" t="s">
        <v>994</v>
      </c>
      <c r="F68" s="170"/>
      <c r="G68" s="213"/>
      <c r="H68" s="170"/>
      <c r="I68" s="190"/>
      <c r="J68" s="191"/>
      <c r="K68" s="191"/>
      <c r="L68" s="211" t="s">
        <v>1107</v>
      </c>
      <c r="M68" s="191" t="s">
        <v>1156</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1039</v>
      </c>
      <c r="F69" s="170"/>
      <c r="G69" s="213"/>
      <c r="H69" s="170"/>
      <c r="I69" s="190"/>
      <c r="J69" s="191" t="s">
        <v>1157</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1014</v>
      </c>
      <c r="F70" s="170"/>
      <c r="G70" s="213"/>
      <c r="H70" s="170"/>
      <c r="I70" s="190"/>
      <c r="J70" s="191" t="s">
        <v>1157</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1126</v>
      </c>
      <c r="M71" s="186" t="s">
        <v>678</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1126</v>
      </c>
      <c r="M72" s="186" t="s">
        <v>678</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749</v>
      </c>
      <c r="L73" s="191" t="s">
        <v>1128</v>
      </c>
      <c r="M73" s="186" t="s">
        <v>1159</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1130</v>
      </c>
      <c r="M74" s="186" t="s">
        <v>1131</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1065</v>
      </c>
      <c r="M75" s="186" t="s">
        <v>748</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1065</v>
      </c>
      <c r="M76" s="186" t="s">
        <v>748</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1065</v>
      </c>
      <c r="M77" s="186" t="s">
        <v>748</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1065</v>
      </c>
      <c r="M78" s="186" t="s">
        <v>748</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1065</v>
      </c>
      <c r="M79" s="186" t="s">
        <v>748</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1065</v>
      </c>
      <c r="M80" s="186" t="s">
        <v>748</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1065</v>
      </c>
      <c r="M81" s="193" t="s">
        <v>748</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787</v>
      </c>
      <c r="E82" s="258" t="s">
        <v>1014</v>
      </c>
      <c r="F82" s="170"/>
      <c r="G82" s="213"/>
      <c r="H82" s="170"/>
      <c r="I82" s="190"/>
      <c r="J82" s="191"/>
      <c r="K82" s="191"/>
      <c r="L82" s="211" t="s">
        <v>1107</v>
      </c>
      <c r="M82" s="191" t="s">
        <v>1156</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1012</v>
      </c>
      <c r="F83" s="170"/>
      <c r="G83" s="213"/>
      <c r="H83" s="170"/>
      <c r="I83" s="190"/>
      <c r="J83" s="191" t="s">
        <v>1157</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1126</v>
      </c>
      <c r="M84" s="186" t="s">
        <v>678</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1126</v>
      </c>
      <c r="M85" s="186" t="s">
        <v>678</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749</v>
      </c>
      <c r="L86" s="191" t="s">
        <v>1128</v>
      </c>
      <c r="M86" s="186" t="s">
        <v>1159</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1130</v>
      </c>
      <c r="M87" s="186" t="s">
        <v>1131</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1065</v>
      </c>
      <c r="M88" s="186" t="s">
        <v>748</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1065</v>
      </c>
      <c r="M89" s="186" t="s">
        <v>748</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1065</v>
      </c>
      <c r="M90" s="186" t="s">
        <v>748</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1065</v>
      </c>
      <c r="M91" s="186" t="s">
        <v>748</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1065</v>
      </c>
      <c r="M92" s="186" t="s">
        <v>748</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1065</v>
      </c>
      <c r="M93" s="186" t="s">
        <v>748</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1065</v>
      </c>
      <c r="M94" s="193" t="s">
        <v>748</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790</v>
      </c>
      <c r="E95" s="407" t="s">
        <v>988</v>
      </c>
      <c r="F95" s="182"/>
      <c r="G95" s="326"/>
      <c r="H95" s="182"/>
      <c r="I95" s="183"/>
      <c r="J95" s="184"/>
      <c r="K95" s="184"/>
      <c r="L95" s="203" t="s">
        <v>1107</v>
      </c>
      <c r="M95" s="191" t="s">
        <v>1156</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1157</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1126</v>
      </c>
      <c r="M97" s="186" t="s">
        <v>678</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1126</v>
      </c>
      <c r="M98" s="186" t="s">
        <v>678</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749</v>
      </c>
      <c r="L99" s="191" t="s">
        <v>1128</v>
      </c>
      <c r="M99" s="186" t="s">
        <v>1159</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1130</v>
      </c>
      <c r="M100" s="186" t="s">
        <v>1131</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1065</v>
      </c>
      <c r="M101" s="186" t="s">
        <v>748</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1065</v>
      </c>
      <c r="M102" s="186" t="s">
        <v>748</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1065</v>
      </c>
      <c r="M103" s="186" t="s">
        <v>748</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1065</v>
      </c>
      <c r="M104" s="186" t="s">
        <v>748</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1065</v>
      </c>
      <c r="M105" s="186" t="s">
        <v>748</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1065</v>
      </c>
      <c r="M106" s="186" t="s">
        <v>748</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1065</v>
      </c>
      <c r="M107" s="193" t="s">
        <v>748</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793</v>
      </c>
      <c r="E108" s="258" t="s">
        <v>1014</v>
      </c>
      <c r="F108" s="170"/>
      <c r="G108" s="213"/>
      <c r="H108" s="170"/>
      <c r="I108" s="190"/>
      <c r="J108" s="191"/>
      <c r="K108" s="191"/>
      <c r="L108" s="211" t="s">
        <v>1107</v>
      </c>
      <c r="M108" s="191" t="s">
        <v>1156</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1012</v>
      </c>
      <c r="F109" s="170"/>
      <c r="G109" s="213"/>
      <c r="H109" s="170"/>
      <c r="I109" s="190"/>
      <c r="J109" s="191" t="s">
        <v>1157</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1126</v>
      </c>
      <c r="M110" s="186" t="s">
        <v>678</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1126</v>
      </c>
      <c r="M111" s="186" t="s">
        <v>678</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749</v>
      </c>
      <c r="L112" s="191" t="s">
        <v>1128</v>
      </c>
      <c r="M112" s="186" t="s">
        <v>1159</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1130</v>
      </c>
      <c r="M113" s="186" t="s">
        <v>1131</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1065</v>
      </c>
      <c r="M114" s="186" t="s">
        <v>748</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1065</v>
      </c>
      <c r="M115" s="186" t="s">
        <v>748</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1065</v>
      </c>
      <c r="M116" s="186" t="s">
        <v>748</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1065</v>
      </c>
      <c r="M117" s="186" t="s">
        <v>748</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1065</v>
      </c>
      <c r="M118" s="186" t="s">
        <v>748</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1065</v>
      </c>
      <c r="M119" s="186" t="s">
        <v>748</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1065</v>
      </c>
      <c r="M120" s="193" t="s">
        <v>748</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796</v>
      </c>
      <c r="E121" s="188" t="s">
        <v>1033</v>
      </c>
      <c r="F121" s="170"/>
      <c r="G121" s="213"/>
      <c r="H121" s="170"/>
      <c r="I121" s="190"/>
      <c r="J121" s="191"/>
      <c r="K121" s="191"/>
      <c r="L121" s="211" t="s">
        <v>1107</v>
      </c>
      <c r="M121" s="191" t="s">
        <v>1156</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1126</v>
      </c>
      <c r="M122" s="186" t="s">
        <v>678</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1126</v>
      </c>
      <c r="M123" s="186" t="s">
        <v>678</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749</v>
      </c>
      <c r="L124" s="191" t="s">
        <v>1128</v>
      </c>
      <c r="M124" s="186" t="s">
        <v>1159</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1130</v>
      </c>
      <c r="M125" s="186" t="s">
        <v>1131</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1065</v>
      </c>
      <c r="M126" s="186" t="s">
        <v>748</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1065</v>
      </c>
      <c r="M127" s="186" t="s">
        <v>748</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1065</v>
      </c>
      <c r="M128" s="186" t="s">
        <v>748</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1065</v>
      </c>
      <c r="M129" s="186" t="s">
        <v>748</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1065</v>
      </c>
      <c r="M130" s="186" t="s">
        <v>748</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1065</v>
      </c>
      <c r="M131" s="186" t="s">
        <v>748</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1065</v>
      </c>
      <c r="M132" s="193" t="s">
        <v>748</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799</v>
      </c>
      <c r="E133" s="407" t="s">
        <v>988</v>
      </c>
      <c r="F133" s="182"/>
      <c r="G133" s="326"/>
      <c r="H133" s="182"/>
      <c r="I133" s="183"/>
      <c r="J133" s="184"/>
      <c r="K133" s="184"/>
      <c r="L133" s="203" t="s">
        <v>1107</v>
      </c>
      <c r="M133" s="184" t="s">
        <v>1156</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1157</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1126</v>
      </c>
      <c r="M135" s="186" t="s">
        <v>678</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1126</v>
      </c>
      <c r="M136" s="186" t="s">
        <v>678</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749</v>
      </c>
      <c r="L137" s="191" t="s">
        <v>1128</v>
      </c>
      <c r="M137" s="186" t="s">
        <v>1159</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1130</v>
      </c>
      <c r="M138" s="186" t="s">
        <v>1131</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1065</v>
      </c>
      <c r="M139" s="186" t="s">
        <v>748</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1065</v>
      </c>
      <c r="M140" s="186" t="s">
        <v>748</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1065</v>
      </c>
      <c r="M141" s="186" t="s">
        <v>748</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1065</v>
      </c>
      <c r="M142" s="186" t="s">
        <v>748</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1065</v>
      </c>
      <c r="M143" s="186" t="s">
        <v>748</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1065</v>
      </c>
      <c r="M144" s="186" t="s">
        <v>748</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1065</v>
      </c>
      <c r="M145" s="193" t="s">
        <v>748</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802</v>
      </c>
      <c r="E146" s="258" t="s">
        <v>1014</v>
      </c>
      <c r="F146" s="182"/>
      <c r="G146" s="326"/>
      <c r="H146" s="182"/>
      <c r="I146" s="183"/>
      <c r="J146" s="184"/>
      <c r="K146" s="184"/>
      <c r="L146" s="203" t="s">
        <v>1107</v>
      </c>
      <c r="M146" s="191" t="s">
        <v>1156</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1012</v>
      </c>
      <c r="F147" s="170"/>
      <c r="G147" s="213"/>
      <c r="H147" s="170"/>
      <c r="I147" s="190"/>
      <c r="J147" s="191" t="s">
        <v>1157</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1126</v>
      </c>
      <c r="M148" s="186" t="s">
        <v>678</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1126</v>
      </c>
      <c r="M149" s="186" t="s">
        <v>678</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749</v>
      </c>
      <c r="L150" s="191" t="s">
        <v>1128</v>
      </c>
      <c r="M150" s="186" t="s">
        <v>1159</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1130</v>
      </c>
      <c r="M151" s="186" t="s">
        <v>1131</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1065</v>
      </c>
      <c r="M152" s="186" t="s">
        <v>748</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1065</v>
      </c>
      <c r="M153" s="186" t="s">
        <v>748</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1065</v>
      </c>
      <c r="M154" s="186" t="s">
        <v>748</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1065</v>
      </c>
      <c r="M155" s="186" t="s">
        <v>748</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1065</v>
      </c>
      <c r="M156" s="186" t="s">
        <v>748</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1065</v>
      </c>
      <c r="M157" s="186" t="s">
        <v>748</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1065</v>
      </c>
      <c r="M158" s="193" t="s">
        <v>748</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1111</v>
      </c>
      <c r="N1" s="35"/>
      <c r="O1" s="35"/>
      <c r="P1" s="35"/>
      <c r="Q1" s="35"/>
      <c r="R1" s="35"/>
      <c r="S1" s="35"/>
      <c r="T1" s="35"/>
      <c r="U1" s="35"/>
      <c r="V1" s="35"/>
      <c r="W1" s="35"/>
      <c r="X1" s="35"/>
      <c r="Y1" s="35"/>
      <c r="Z1" s="35"/>
      <c r="AA1" s="35"/>
      <c r="AB1" s="35"/>
    </row>
    <row r="2" spans="1:46" s="35" customFormat="1" ht="19.5" customHeight="1" x14ac:dyDescent="0.3">
      <c r="A2" s="22"/>
      <c r="B2" s="148" t="s">
        <v>1187</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1142</v>
      </c>
      <c r="AG3" s="38"/>
      <c r="AH3" s="38"/>
      <c r="AI3" s="38"/>
      <c r="AJ3" s="38"/>
      <c r="AK3" s="38"/>
      <c r="AL3" s="38"/>
      <c r="AM3" s="38"/>
      <c r="AN3" s="38"/>
      <c r="AO3" s="38"/>
      <c r="AP3" s="38" t="s">
        <v>1188</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1161</v>
      </c>
      <c r="AH4" s="38" t="s">
        <v>1181</v>
      </c>
      <c r="AI4" s="38" t="s">
        <v>1143</v>
      </c>
      <c r="AJ4" s="38" t="s">
        <v>1007</v>
      </c>
      <c r="AK4" s="38" t="s">
        <v>1144</v>
      </c>
      <c r="AL4" s="38" t="s">
        <v>1145</v>
      </c>
      <c r="AM4" s="38" t="s">
        <v>1146</v>
      </c>
      <c r="AN4" s="38" t="s">
        <v>1189</v>
      </c>
      <c r="AO4" s="38" t="s">
        <v>115</v>
      </c>
      <c r="AP4" s="38" t="s">
        <v>1190</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1051</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980</v>
      </c>
      <c r="J8" s="42" t="s">
        <v>1113</v>
      </c>
      <c r="K8" s="42" t="s">
        <v>1114</v>
      </c>
      <c r="L8" s="42" t="s">
        <v>1057</v>
      </c>
      <c r="M8" s="43" t="s">
        <v>1058</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1115</v>
      </c>
      <c r="J9" s="171" t="s">
        <v>1116</v>
      </c>
      <c r="K9" s="171" t="s">
        <v>1117</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1118</v>
      </c>
      <c r="M10" s="173" t="s">
        <v>583</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1118</v>
      </c>
      <c r="M11" s="173" t="s">
        <v>583</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1059</v>
      </c>
      <c r="C14" s="44"/>
      <c r="D14" s="35"/>
      <c r="E14" s="35"/>
      <c r="F14" s="44"/>
      <c r="G14" s="44"/>
      <c r="H14" s="35"/>
      <c r="I14" s="35"/>
      <c r="J14" s="35"/>
      <c r="K14" s="35"/>
      <c r="L14" s="43" t="s">
        <v>461</v>
      </c>
      <c r="M14" s="43" t="s">
        <v>1119</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1186</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1152</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1191</v>
      </c>
      <c r="C26" s="26"/>
      <c r="I26" s="36"/>
      <c r="M26" s="473" t="s">
        <v>1154</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1053</v>
      </c>
      <c r="C29" s="26" t="s">
        <v>104</v>
      </c>
      <c r="D29" s="26" t="s">
        <v>1054</v>
      </c>
      <c r="E29" s="26" t="s">
        <v>673</v>
      </c>
      <c r="F29" s="26" t="s">
        <v>1155</v>
      </c>
      <c r="G29" s="26" t="s">
        <v>674</v>
      </c>
      <c r="H29" s="26" t="s">
        <v>1055</v>
      </c>
      <c r="I29" s="53" t="s">
        <v>1056</v>
      </c>
      <c r="J29" s="26" t="s">
        <v>982</v>
      </c>
      <c r="K29" s="42" t="s">
        <v>1123</v>
      </c>
      <c r="L29" s="26" t="s">
        <v>1057</v>
      </c>
      <c r="M29" s="73" t="s">
        <v>1058</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1062</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1124</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874</v>
      </c>
      <c r="E31" s="600" t="s">
        <v>683</v>
      </c>
      <c r="F31" s="326"/>
      <c r="G31" s="178"/>
      <c r="H31" s="178"/>
      <c r="I31" s="183"/>
      <c r="J31" s="184"/>
      <c r="K31" s="184"/>
      <c r="L31" s="185" t="s">
        <v>1107</v>
      </c>
      <c r="M31" s="178" t="s">
        <v>1156</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1126</v>
      </c>
      <c r="M32" s="186" t="s">
        <v>678</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749</v>
      </c>
      <c r="L33" s="186" t="s">
        <v>1128</v>
      </c>
      <c r="M33" s="186" t="s">
        <v>1159</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1130</v>
      </c>
      <c r="M34" s="186" t="s">
        <v>1131</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1065</v>
      </c>
      <c r="M35" s="186" t="s">
        <v>748</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1065</v>
      </c>
      <c r="M36" s="186" t="s">
        <v>748</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1065</v>
      </c>
      <c r="M37" s="186" t="s">
        <v>748</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1065</v>
      </c>
      <c r="M38" s="186" t="s">
        <v>748</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1065</v>
      </c>
      <c r="M39" s="186" t="s">
        <v>748</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1065</v>
      </c>
      <c r="M40" s="186" t="s">
        <v>748</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1065</v>
      </c>
      <c r="M41" s="193" t="s">
        <v>748</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876</v>
      </c>
      <c r="E42" s="407" t="s">
        <v>1014</v>
      </c>
      <c r="F42" s="181"/>
      <c r="G42" s="182"/>
      <c r="H42" s="182"/>
      <c r="I42" s="183"/>
      <c r="J42" s="184"/>
      <c r="K42" s="184"/>
      <c r="L42" s="185" t="s">
        <v>1107</v>
      </c>
      <c r="M42" s="178" t="s">
        <v>1156</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1012</v>
      </c>
      <c r="F43" s="189"/>
      <c r="G43" s="170"/>
      <c r="H43" s="170"/>
      <c r="I43" s="190"/>
      <c r="J43" s="191" t="s">
        <v>1157</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1126</v>
      </c>
      <c r="M44" s="186" t="s">
        <v>678</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749</v>
      </c>
      <c r="L45" s="186" t="s">
        <v>1128</v>
      </c>
      <c r="M45" s="186" t="s">
        <v>1159</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1130</v>
      </c>
      <c r="M46" s="186" t="s">
        <v>1131</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1065</v>
      </c>
      <c r="M47" s="186" t="s">
        <v>748</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1065</v>
      </c>
      <c r="M48" s="186" t="s">
        <v>748</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1065</v>
      </c>
      <c r="M49" s="186" t="s">
        <v>748</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1065</v>
      </c>
      <c r="M50" s="186" t="s">
        <v>748</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1065</v>
      </c>
      <c r="M51" s="186" t="s">
        <v>748</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1065</v>
      </c>
      <c r="M52" s="186" t="s">
        <v>748</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1065</v>
      </c>
      <c r="M53" s="193" t="s">
        <v>748</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1152</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1192</v>
      </c>
      <c r="C57" s="26"/>
      <c r="I57" s="36"/>
      <c r="M57" s="473" t="s">
        <v>1154</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1053</v>
      </c>
      <c r="C60" s="26" t="s">
        <v>104</v>
      </c>
      <c r="D60" s="26" t="s">
        <v>1054</v>
      </c>
      <c r="E60" s="26" t="s">
        <v>673</v>
      </c>
      <c r="F60" s="26" t="s">
        <v>1155</v>
      </c>
      <c r="G60" s="26" t="s">
        <v>674</v>
      </c>
      <c r="H60" s="26" t="s">
        <v>1055</v>
      </c>
      <c r="I60" s="53" t="s">
        <v>1056</v>
      </c>
      <c r="J60" s="26" t="s">
        <v>982</v>
      </c>
      <c r="K60" s="42" t="s">
        <v>1123</v>
      </c>
      <c r="L60" s="26" t="s">
        <v>1057</v>
      </c>
      <c r="M60" s="73" t="s">
        <v>1058</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1062</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1124</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542</v>
      </c>
      <c r="D62" s="599" t="s">
        <v>875</v>
      </c>
      <c r="E62" s="600" t="s">
        <v>683</v>
      </c>
      <c r="F62" s="326"/>
      <c r="G62" s="178"/>
      <c r="H62" s="178"/>
      <c r="I62" s="183"/>
      <c r="J62" s="184"/>
      <c r="K62" s="184"/>
      <c r="L62" s="185" t="s">
        <v>1107</v>
      </c>
      <c r="M62" s="178" t="s">
        <v>1156</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1126</v>
      </c>
      <c r="M63" s="186" t="s">
        <v>678</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749</v>
      </c>
      <c r="L64" s="186" t="s">
        <v>1128</v>
      </c>
      <c r="M64" s="186" t="s">
        <v>1159</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1130</v>
      </c>
      <c r="M65" s="186" t="s">
        <v>1131</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1065</v>
      </c>
      <c r="M66" s="186" t="s">
        <v>748</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1065</v>
      </c>
      <c r="M67" s="186" t="s">
        <v>748</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1065</v>
      </c>
      <c r="M68" s="186" t="s">
        <v>748</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1065</v>
      </c>
      <c r="M69" s="186" t="s">
        <v>748</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1065</v>
      </c>
      <c r="M70" s="186" t="s">
        <v>748</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1065</v>
      </c>
      <c r="M71" s="186" t="s">
        <v>748</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1065</v>
      </c>
      <c r="M72" s="193" t="s">
        <v>748</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543</v>
      </c>
      <c r="D73" s="179" t="s">
        <v>877</v>
      </c>
      <c r="E73" s="407" t="s">
        <v>1014</v>
      </c>
      <c r="F73" s="181"/>
      <c r="G73" s="182"/>
      <c r="H73" s="182"/>
      <c r="I73" s="183"/>
      <c r="J73" s="184"/>
      <c r="K73" s="184"/>
      <c r="L73" s="185" t="s">
        <v>1107</v>
      </c>
      <c r="M73" s="178" t="s">
        <v>1156</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1012</v>
      </c>
      <c r="F74" s="189"/>
      <c r="G74" s="170"/>
      <c r="H74" s="170"/>
      <c r="I74" s="190"/>
      <c r="J74" s="191" t="s">
        <v>1157</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1126</v>
      </c>
      <c r="M75" s="186" t="s">
        <v>678</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749</v>
      </c>
      <c r="L76" s="186" t="s">
        <v>1128</v>
      </c>
      <c r="M76" s="186" t="s">
        <v>1159</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1130</v>
      </c>
      <c r="M77" s="186" t="s">
        <v>1131</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1065</v>
      </c>
      <c r="M78" s="186" t="s">
        <v>748</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1065</v>
      </c>
      <c r="M79" s="186" t="s">
        <v>748</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1065</v>
      </c>
      <c r="M80" s="186" t="s">
        <v>748</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1065</v>
      </c>
      <c r="M81" s="186" t="s">
        <v>748</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1065</v>
      </c>
      <c r="M82" s="186" t="s">
        <v>748</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1065</v>
      </c>
      <c r="M83" s="186" t="s">
        <v>748</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1065</v>
      </c>
      <c r="M84" s="193" t="s">
        <v>748</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topLeftCell="E1"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1111</v>
      </c>
      <c r="M1" s="35"/>
      <c r="N1" s="35"/>
      <c r="O1" s="35"/>
      <c r="P1" s="35"/>
      <c r="Q1" s="35"/>
      <c r="R1" s="35"/>
      <c r="S1" s="35"/>
      <c r="T1" s="35"/>
      <c r="U1" s="35"/>
      <c r="V1" s="35"/>
      <c r="W1" s="35"/>
      <c r="X1" s="35"/>
      <c r="Y1" s="35"/>
      <c r="Z1" s="35"/>
      <c r="AA1" s="35"/>
    </row>
    <row r="2" spans="1:64" s="35" customFormat="1" ht="19.5" customHeight="1" x14ac:dyDescent="0.3">
      <c r="A2" s="22"/>
      <c r="B2" s="148" t="s">
        <v>1193</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1142</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1194</v>
      </c>
      <c r="AG3" s="38" t="s">
        <v>1195</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1052</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1051</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1196</v>
      </c>
      <c r="H8" s="42" t="s">
        <v>980</v>
      </c>
      <c r="I8" s="42" t="s">
        <v>1113</v>
      </c>
      <c r="J8" s="42" t="s">
        <v>1114</v>
      </c>
      <c r="K8" s="42" t="s">
        <v>1057</v>
      </c>
      <c r="L8" s="43" t="s">
        <v>1058</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988</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1115</v>
      </c>
      <c r="I9" s="171" t="s">
        <v>1116</v>
      </c>
      <c r="J9" s="171" t="s">
        <v>1117</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994</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518</v>
      </c>
      <c r="H10" s="172" t="s">
        <v>441</v>
      </c>
      <c r="I10" s="173" t="str">
        <f>LOOKUP(H10,TRA_Comm!$C$29:$C$90,TRA_Comm!$D$29:$D$90)</f>
        <v>Rail.Freight.</v>
      </c>
      <c r="J10" s="173"/>
      <c r="K10" s="173" t="s">
        <v>1118</v>
      </c>
      <c r="L10" s="173" t="s">
        <v>633</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998</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518</v>
      </c>
      <c r="H11" s="541" t="s">
        <v>662</v>
      </c>
      <c r="I11" s="541" t="str">
        <f>LOOKUP(H11,TRA_Comm!$C$29:$C$90,TRA_Comm!$D$29:$D$90)</f>
        <v>Rail.Freight.City.</v>
      </c>
      <c r="J11" s="542"/>
      <c r="K11" s="542" t="s">
        <v>1118</v>
      </c>
      <c r="L11" s="542" t="s">
        <v>633</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1000</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1197</v>
      </c>
      <c r="H12" s="224" t="s">
        <v>419</v>
      </c>
      <c r="I12" s="173" t="str">
        <f>LOOKUP(H12,TRA_Comm!$C$29:$C$90,TRA_Comm!$D$29:$D$90)</f>
        <v>Rail.Passenger.HighSpeed.</v>
      </c>
      <c r="J12" s="173"/>
      <c r="K12" s="173" t="s">
        <v>1118</v>
      </c>
      <c r="L12" s="173" t="s">
        <v>583</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1002</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1197</v>
      </c>
      <c r="H13" s="224" t="s">
        <v>614</v>
      </c>
      <c r="I13" s="173" t="str">
        <f>LOOKUP(H13,TRA_Comm!$C$29:$C$90,TRA_Comm!$D$29:$D$90)</f>
        <v>Rail.Passenger.HighSpeed.City.</v>
      </c>
      <c r="J13" s="173"/>
      <c r="K13" s="173" t="s">
        <v>1118</v>
      </c>
      <c r="L13" s="173" t="s">
        <v>583</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1198</v>
      </c>
      <c r="H14" s="172" t="s">
        <v>511</v>
      </c>
      <c r="I14" s="173" t="str">
        <f>LOOKUP(H14,TRA_Comm!$C$29:$C$90,TRA_Comm!$D$29:$D$90)</f>
        <v>Rail.Passenger.LightRail.</v>
      </c>
      <c r="J14" s="173"/>
      <c r="K14" s="173" t="s">
        <v>1118</v>
      </c>
      <c r="L14" s="173" t="s">
        <v>583</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683</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1198</v>
      </c>
      <c r="H15" s="172" t="s">
        <v>617</v>
      </c>
      <c r="I15" s="173" t="str">
        <f>LOOKUP(H15,TRA_Comm!$C$29:$C$90,TRA_Comm!$D$29:$D$90)</f>
        <v>Rail.Passenger.LightRail.City.</v>
      </c>
      <c r="J15" s="173"/>
      <c r="K15" s="173" t="s">
        <v>1118</v>
      </c>
      <c r="L15" s="173" t="s">
        <v>583</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1008</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1198</v>
      </c>
      <c r="H16" s="172" t="s">
        <v>513</v>
      </c>
      <c r="I16" s="173" t="str">
        <f>LOOKUP(H16,TRA_Comm!$C$29:$C$90,TRA_Comm!$D$29:$D$90)</f>
        <v>Rail.Passenger.Metro.</v>
      </c>
      <c r="J16" s="173"/>
      <c r="K16" s="173" t="s">
        <v>1118</v>
      </c>
      <c r="L16" s="173" t="s">
        <v>583</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1010</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1198</v>
      </c>
      <c r="H17" s="172" t="s">
        <v>620</v>
      </c>
      <c r="I17" s="173" t="str">
        <f>LOOKUP(H17,TRA_Comm!$C$29:$C$90,TRA_Comm!$D$29:$D$90)</f>
        <v>Rail.Passenger.Metro.City.</v>
      </c>
      <c r="J17" s="173"/>
      <c r="K17" s="173" t="s">
        <v>1118</v>
      </c>
      <c r="L17" s="173" t="s">
        <v>583</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1012</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1197</v>
      </c>
      <c r="H18" s="172" t="s">
        <v>417</v>
      </c>
      <c r="I18" s="173" t="str">
        <f>LOOKUP(H18,TRA_Comm!$C$29:$C$90,TRA_Comm!$D$29:$D$90)</f>
        <v>Rail.Passenger.</v>
      </c>
      <c r="J18" s="173"/>
      <c r="K18" s="173" t="s">
        <v>1118</v>
      </c>
      <c r="L18" s="173" t="s">
        <v>583</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1014</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1197</v>
      </c>
      <c r="H19" s="172" t="s">
        <v>623</v>
      </c>
      <c r="I19" s="173" t="str">
        <f>LOOKUP(H19,TRA_Comm!$C$29:$C$90,TRA_Comm!$D$29:$D$90)</f>
        <v>Rail.Passenger.City.</v>
      </c>
      <c r="J19" s="173"/>
      <c r="K19" s="173" t="s">
        <v>1118</v>
      </c>
      <c r="L19" s="173" t="s">
        <v>583</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1016</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1023</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1199</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681</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1200</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1029</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1201</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1031</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1202</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1033</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1203</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1035</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1204</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1039</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1205</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1206</v>
      </c>
      <c r="L29" s="186" t="s">
        <v>1207</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1206</v>
      </c>
      <c r="L30" s="186" t="s">
        <v>1208</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1209</v>
      </c>
      <c r="L31" s="186" t="s">
        <v>1207</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1209</v>
      </c>
      <c r="L32" s="186" t="s">
        <v>1208</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1210</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1052</v>
      </c>
    </row>
    <row r="37" spans="1:64" s="82" customFormat="1" x14ac:dyDescent="0.3">
      <c r="A37" s="83"/>
      <c r="B37" s="351" t="s">
        <v>1053</v>
      </c>
      <c r="C37" s="352" t="s">
        <v>104</v>
      </c>
      <c r="D37" s="352" t="s">
        <v>1054</v>
      </c>
      <c r="E37" s="352" t="s">
        <v>673</v>
      </c>
      <c r="F37" s="352" t="s">
        <v>674</v>
      </c>
      <c r="G37" s="352" t="s">
        <v>1055</v>
      </c>
      <c r="H37" s="353" t="s">
        <v>1056</v>
      </c>
      <c r="I37" s="352" t="s">
        <v>982</v>
      </c>
      <c r="J37" s="354" t="s">
        <v>1123</v>
      </c>
      <c r="K37" s="352" t="s">
        <v>1057</v>
      </c>
      <c r="L37" s="352" t="s">
        <v>1058</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1062</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1124</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892</v>
      </c>
      <c r="E39" s="188" t="s">
        <v>1008</v>
      </c>
      <c r="F39" s="189"/>
      <c r="G39" s="170"/>
      <c r="H39" s="190"/>
      <c r="I39" s="191"/>
      <c r="J39" s="191"/>
      <c r="K39" s="192" t="s">
        <v>1107</v>
      </c>
      <c r="L39" s="191" t="s">
        <v>1125</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1126</v>
      </c>
      <c r="L40" s="191" t="s">
        <v>678</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623</v>
      </c>
      <c r="G41" s="170"/>
      <c r="H41" s="190"/>
      <c r="I41" s="191"/>
      <c r="J41" s="191"/>
      <c r="K41" s="186" t="s">
        <v>1126</v>
      </c>
      <c r="L41" s="191" t="s">
        <v>678</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749</v>
      </c>
      <c r="K42" s="186" t="s">
        <v>1128</v>
      </c>
      <c r="L42" s="191" t="s">
        <v>1211</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1132</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1130</v>
      </c>
      <c r="L43" s="191" t="s">
        <v>1131</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1065</v>
      </c>
      <c r="L44" s="191" t="s">
        <v>748</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1065</v>
      </c>
      <c r="L45" s="191" t="s">
        <v>748</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1065</v>
      </c>
      <c r="L46" s="191" t="s">
        <v>748</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1065</v>
      </c>
      <c r="L47" s="191" t="s">
        <v>748</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1065</v>
      </c>
      <c r="L48" s="191" t="s">
        <v>748</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1065</v>
      </c>
      <c r="L49" s="191" t="s">
        <v>748</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1065</v>
      </c>
      <c r="L50" s="198" t="s">
        <v>748</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891</v>
      </c>
      <c r="E51" s="188" t="s">
        <v>1002</v>
      </c>
      <c r="F51" s="189"/>
      <c r="G51" s="170"/>
      <c r="H51" s="190"/>
      <c r="I51" s="191"/>
      <c r="J51" s="191"/>
      <c r="K51" s="192" t="s">
        <v>1107</v>
      </c>
      <c r="L51" s="191" t="s">
        <v>1125</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992</v>
      </c>
      <c r="F52" s="189"/>
      <c r="G52" s="170"/>
      <c r="H52" s="190"/>
      <c r="I52" s="191" t="s">
        <v>1157</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1126</v>
      </c>
      <c r="L53" s="191" t="s">
        <v>678</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623</v>
      </c>
      <c r="G54" s="170"/>
      <c r="H54" s="190"/>
      <c r="I54" s="191"/>
      <c r="J54" s="191"/>
      <c r="K54" s="186" t="s">
        <v>1126</v>
      </c>
      <c r="L54" s="191" t="s">
        <v>678</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749</v>
      </c>
      <c r="K55" s="186" t="s">
        <v>1128</v>
      </c>
      <c r="L55" s="191" t="s">
        <v>1211</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1132</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1130</v>
      </c>
      <c r="L56" s="191" t="s">
        <v>1131</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1065</v>
      </c>
      <c r="L57" s="191" t="s">
        <v>748</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1065</v>
      </c>
      <c r="L58" s="191" t="s">
        <v>748</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1065</v>
      </c>
      <c r="L59" s="191" t="s">
        <v>748</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1065</v>
      </c>
      <c r="L60" s="191" t="s">
        <v>748</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1065</v>
      </c>
      <c r="L61" s="191" t="s">
        <v>748</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1065</v>
      </c>
      <c r="L62" s="191" t="s">
        <v>748</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1065</v>
      </c>
      <c r="L63" s="198" t="s">
        <v>748</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893</v>
      </c>
      <c r="E64" s="180" t="s">
        <v>1008</v>
      </c>
      <c r="F64" s="540"/>
      <c r="G64" s="182"/>
      <c r="H64" s="183"/>
      <c r="I64" s="184"/>
      <c r="J64" s="184"/>
      <c r="K64" s="185" t="s">
        <v>1107</v>
      </c>
      <c r="L64" s="184" t="s">
        <v>1125</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1126</v>
      </c>
      <c r="L65" s="191" t="s">
        <v>678</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614</v>
      </c>
      <c r="G66" s="170"/>
      <c r="H66" s="190"/>
      <c r="I66" s="191"/>
      <c r="J66" s="191"/>
      <c r="K66" s="186" t="s">
        <v>1126</v>
      </c>
      <c r="L66" s="191" t="s">
        <v>678</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749</v>
      </c>
      <c r="K67" s="186" t="s">
        <v>1128</v>
      </c>
      <c r="L67" s="191" t="s">
        <v>1211</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1132</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1130</v>
      </c>
      <c r="L68" s="191" t="s">
        <v>1131</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1065</v>
      </c>
      <c r="L69" s="191" t="s">
        <v>748</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1065</v>
      </c>
      <c r="L70" s="191" t="s">
        <v>748</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1065</v>
      </c>
      <c r="L71" s="191" t="s">
        <v>748</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1065</v>
      </c>
      <c r="L72" s="191" t="s">
        <v>748</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1065</v>
      </c>
      <c r="L73" s="191" t="s">
        <v>748</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1065</v>
      </c>
      <c r="L74" s="191" t="s">
        <v>748</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1065</v>
      </c>
      <c r="L75" s="198" t="s">
        <v>748</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1212</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1052</v>
      </c>
    </row>
    <row r="81" spans="1:64" s="22" customFormat="1" x14ac:dyDescent="0.3">
      <c r="A81" s="35"/>
      <c r="B81" s="52" t="s">
        <v>1053</v>
      </c>
      <c r="C81" s="26" t="s">
        <v>104</v>
      </c>
      <c r="D81" s="26" t="s">
        <v>1054</v>
      </c>
      <c r="E81" s="26" t="s">
        <v>673</v>
      </c>
      <c r="F81" s="26" t="s">
        <v>674</v>
      </c>
      <c r="G81" s="26" t="s">
        <v>1055</v>
      </c>
      <c r="H81" s="53" t="s">
        <v>1056</v>
      </c>
      <c r="I81" s="26" t="s">
        <v>982</v>
      </c>
      <c r="J81" s="42" t="s">
        <v>1123</v>
      </c>
      <c r="K81" s="26" t="s">
        <v>1057</v>
      </c>
      <c r="L81" s="26" t="s">
        <v>1058</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1062</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1124</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887</v>
      </c>
      <c r="E83" s="188" t="s">
        <v>1002</v>
      </c>
      <c r="F83" s="189"/>
      <c r="G83" s="170"/>
      <c r="H83" s="190"/>
      <c r="I83" s="191"/>
      <c r="J83" s="191"/>
      <c r="K83" s="192" t="s">
        <v>1107</v>
      </c>
      <c r="L83" s="191" t="s">
        <v>1125</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992</v>
      </c>
      <c r="F84" s="189"/>
      <c r="G84" s="170"/>
      <c r="H84" s="190"/>
      <c r="I84" s="191" t="s">
        <v>1157</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1126</v>
      </c>
      <c r="L85" s="191" t="s">
        <v>678</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662</v>
      </c>
      <c r="G86" s="170"/>
      <c r="H86" s="190"/>
      <c r="I86" s="191"/>
      <c r="J86" s="191"/>
      <c r="K86" s="186" t="s">
        <v>1126</v>
      </c>
      <c r="L86" s="191" t="s">
        <v>678</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749</v>
      </c>
      <c r="K87" s="186" t="s">
        <v>1128</v>
      </c>
      <c r="L87" s="191" t="s">
        <v>1213</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1132</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1130</v>
      </c>
      <c r="L88" s="191" t="s">
        <v>1131</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1065</v>
      </c>
      <c r="L89" s="191" t="s">
        <v>748</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1065</v>
      </c>
      <c r="L90" s="191" t="s">
        <v>748</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1065</v>
      </c>
      <c r="L91" s="191" t="s">
        <v>748</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1065</v>
      </c>
      <c r="L92" s="191" t="s">
        <v>748</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1065</v>
      </c>
      <c r="L93" s="191" t="s">
        <v>748</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1065</v>
      </c>
      <c r="L94" s="191" t="s">
        <v>748</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1065</v>
      </c>
      <c r="L95" s="198" t="s">
        <v>748</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888</v>
      </c>
      <c r="E96" s="188" t="s">
        <v>1008</v>
      </c>
      <c r="F96" s="189"/>
      <c r="G96" s="170"/>
      <c r="H96" s="190"/>
      <c r="I96" s="191"/>
      <c r="J96" s="191"/>
      <c r="K96" s="192" t="s">
        <v>1107</v>
      </c>
      <c r="L96" s="191" t="s">
        <v>1125</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1126</v>
      </c>
      <c r="L97" s="191" t="s">
        <v>678</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662</v>
      </c>
      <c r="G98" s="170"/>
      <c r="H98" s="190"/>
      <c r="I98" s="191"/>
      <c r="J98" s="191"/>
      <c r="K98" s="186" t="s">
        <v>1126</v>
      </c>
      <c r="L98" s="191" t="s">
        <v>678</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749</v>
      </c>
      <c r="K99" s="186" t="s">
        <v>1128</v>
      </c>
      <c r="L99" s="191" t="s">
        <v>1213</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1132</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1130</v>
      </c>
      <c r="L100" s="191" t="s">
        <v>1131</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1065</v>
      </c>
      <c r="L101" s="191" t="s">
        <v>748</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1065</v>
      </c>
      <c r="L102" s="191" t="s">
        <v>748</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1065</v>
      </c>
      <c r="L103" s="191" t="s">
        <v>748</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1065</v>
      </c>
      <c r="L104" s="191" t="s">
        <v>748</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1065</v>
      </c>
      <c r="L105" s="191" t="s">
        <v>748</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1065</v>
      </c>
      <c r="L106" s="191" t="s">
        <v>748</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1065</v>
      </c>
      <c r="L107" s="198" t="s">
        <v>748</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1214</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1052</v>
      </c>
    </row>
    <row r="113" spans="1:64" s="82" customFormat="1" x14ac:dyDescent="0.3">
      <c r="A113" s="83"/>
      <c r="B113" s="351" t="s">
        <v>1053</v>
      </c>
      <c r="C113" s="352" t="s">
        <v>104</v>
      </c>
      <c r="D113" s="352" t="s">
        <v>1054</v>
      </c>
      <c r="E113" s="352" t="s">
        <v>673</v>
      </c>
      <c r="F113" s="352" t="s">
        <v>674</v>
      </c>
      <c r="G113" s="352" t="s">
        <v>1055</v>
      </c>
      <c r="H113" s="353" t="s">
        <v>1056</v>
      </c>
      <c r="I113" s="352" t="s">
        <v>982</v>
      </c>
      <c r="J113" s="354" t="s">
        <v>1123</v>
      </c>
      <c r="K113" s="352" t="s">
        <v>1057</v>
      </c>
      <c r="L113" s="352" t="s">
        <v>1058</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1062</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1124</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889</v>
      </c>
      <c r="E115" s="188" t="s">
        <v>1008</v>
      </c>
      <c r="F115" s="189"/>
      <c r="G115" s="170"/>
      <c r="H115" s="190"/>
      <c r="I115" s="191"/>
      <c r="J115" s="191"/>
      <c r="K115" s="192" t="s">
        <v>1107</v>
      </c>
      <c r="L115" s="191" t="s">
        <v>1125</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511</v>
      </c>
      <c r="G116" s="170"/>
      <c r="H116" s="190"/>
      <c r="I116" s="191"/>
      <c r="J116" s="191"/>
      <c r="K116" s="186" t="s">
        <v>1126</v>
      </c>
      <c r="L116" s="191" t="s">
        <v>678</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617</v>
      </c>
      <c r="G117" s="170"/>
      <c r="H117" s="190"/>
      <c r="I117" s="191"/>
      <c r="J117" s="191"/>
      <c r="K117" s="186" t="s">
        <v>1126</v>
      </c>
      <c r="L117" s="191" t="s">
        <v>678</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749</v>
      </c>
      <c r="K118" s="186" t="s">
        <v>1128</v>
      </c>
      <c r="L118" s="191" t="s">
        <v>1211</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1132</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1130</v>
      </c>
      <c r="L119" s="191" t="s">
        <v>1131</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1065</v>
      </c>
      <c r="L120" s="191" t="s">
        <v>748</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1065</v>
      </c>
      <c r="L121" s="191" t="s">
        <v>748</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1065</v>
      </c>
      <c r="L122" s="191" t="s">
        <v>748</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1065</v>
      </c>
      <c r="L123" s="191" t="s">
        <v>748</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1065</v>
      </c>
      <c r="L124" s="191" t="s">
        <v>748</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1065</v>
      </c>
      <c r="L125" s="191" t="s">
        <v>748</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1065</v>
      </c>
      <c r="L126" s="198" t="s">
        <v>748</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890</v>
      </c>
      <c r="E127" s="188" t="s">
        <v>1008</v>
      </c>
      <c r="F127" s="189"/>
      <c r="G127" s="170"/>
      <c r="H127" s="190"/>
      <c r="I127" s="191"/>
      <c r="J127" s="191"/>
      <c r="K127" s="192" t="s">
        <v>1107</v>
      </c>
      <c r="L127" s="191" t="s">
        <v>1125</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513</v>
      </c>
      <c r="G128" s="170"/>
      <c r="H128" s="190"/>
      <c r="I128" s="191"/>
      <c r="J128" s="191"/>
      <c r="K128" s="186" t="s">
        <v>1126</v>
      </c>
      <c r="L128" s="191" t="s">
        <v>678</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620</v>
      </c>
      <c r="G129" s="170"/>
      <c r="H129" s="190"/>
      <c r="I129" s="191"/>
      <c r="J129" s="191"/>
      <c r="K129" s="186" t="s">
        <v>1126</v>
      </c>
      <c r="L129" s="191" t="s">
        <v>678</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749</v>
      </c>
      <c r="K130" s="186" t="s">
        <v>1128</v>
      </c>
      <c r="L130" s="191" t="s">
        <v>1211</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1132</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1130</v>
      </c>
      <c r="L131" s="191" t="s">
        <v>1131</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1065</v>
      </c>
      <c r="L132" s="191" t="s">
        <v>748</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1065</v>
      </c>
      <c r="L133" s="191" t="s">
        <v>748</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1065</v>
      </c>
      <c r="L134" s="191" t="s">
        <v>748</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1065</v>
      </c>
      <c r="L135" s="191" t="s">
        <v>748</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1065</v>
      </c>
      <c r="L136" s="191" t="s">
        <v>748</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1065</v>
      </c>
      <c r="L137" s="191" t="s">
        <v>748</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1065</v>
      </c>
      <c r="L138" s="198" t="s">
        <v>748</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1111</v>
      </c>
      <c r="M1" s="35"/>
      <c r="N1" s="35"/>
      <c r="O1" s="35"/>
      <c r="P1" s="35"/>
      <c r="Q1" s="35"/>
      <c r="R1" s="35"/>
      <c r="S1" s="35"/>
      <c r="T1" s="35"/>
      <c r="U1" s="35"/>
      <c r="V1" s="35"/>
      <c r="W1" s="35"/>
      <c r="X1" s="35"/>
      <c r="Y1" s="35"/>
      <c r="Z1" s="35"/>
      <c r="AA1" s="35"/>
    </row>
    <row r="2" spans="1:64" s="35" customFormat="1" ht="19.5" customHeight="1" x14ac:dyDescent="0.3">
      <c r="A2" s="22"/>
      <c r="B2" s="148" t="s">
        <v>1215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1112</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521</v>
      </c>
      <c r="AV3" s="471" t="s">
        <v>1052</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988</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1051</v>
      </c>
      <c r="L7" s="40"/>
      <c r="Q7" s="41"/>
      <c r="AC7" s="38">
        <f>AC6+5</f>
        <v>2030</v>
      </c>
      <c r="AD7" s="67">
        <v>0.95</v>
      </c>
      <c r="AE7" s="611">
        <f t="shared" ref="AE7:AF7" si="6">AD7</f>
        <v>0.95</v>
      </c>
      <c r="AF7" s="611">
        <f t="shared" si="6"/>
        <v>0.95</v>
      </c>
      <c r="AV7" s="725" t="s">
        <v>994</v>
      </c>
      <c r="AW7" s="730">
        <f t="shared" si="5"/>
        <v>0</v>
      </c>
      <c r="AX7" s="723"/>
      <c r="AY7" s="723"/>
      <c r="AZ7" s="723"/>
      <c r="BA7" s="723"/>
      <c r="BB7" s="723"/>
      <c r="BC7" s="723"/>
      <c r="BD7" s="723"/>
      <c r="BE7" s="723"/>
      <c r="BF7" s="723"/>
      <c r="BG7" s="723"/>
      <c r="BH7" s="723"/>
      <c r="BI7" s="723"/>
      <c r="BJ7" s="723"/>
      <c r="BK7" s="723"/>
      <c r="BL7" s="723"/>
    </row>
    <row r="8" spans="1:64" x14ac:dyDescent="0.3">
      <c r="G8" s="35"/>
      <c r="H8" s="42" t="s">
        <v>980</v>
      </c>
      <c r="I8" s="42" t="s">
        <v>1113</v>
      </c>
      <c r="J8" s="42" t="s">
        <v>1114</v>
      </c>
      <c r="K8" s="42" t="s">
        <v>1057</v>
      </c>
      <c r="L8" s="43" t="s">
        <v>1058</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998</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1115</v>
      </c>
      <c r="I9" s="171" t="s">
        <v>1116</v>
      </c>
      <c r="J9" s="171" t="s">
        <v>1117</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1000</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1118</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606</v>
      </c>
      <c r="I11" s="173" t="str">
        <f>LOOKUP(H11,TRA_Comm!$C$29:$C$90,TRA_Comm!$D$29:$D$90)</f>
        <v>Navigation.Generic.Passenger.City.</v>
      </c>
      <c r="J11" s="173"/>
      <c r="K11" s="173" t="s">
        <v>1118</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683</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1118</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1010</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655</v>
      </c>
      <c r="I13" s="173" t="str">
        <f>LOOKUP(H13,TRA_Comm!$C$29:$C$90,TRA_Comm!$D$29:$D$90)</f>
        <v>Navigation.Generic.Bunker.City.</v>
      </c>
      <c r="J13" s="173"/>
      <c r="K13" s="173" t="s">
        <v>1118</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1012</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521</v>
      </c>
      <c r="I14" s="173" t="str">
        <f>LOOKUP(H14,TRA_Comm!$C$29:$C$90,TRA_Comm!$D$29:$D$90)</f>
        <v>Navigation.Local.Ferry.Passenger.</v>
      </c>
      <c r="J14" s="173"/>
      <c r="K14" s="173" t="s">
        <v>1118</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1014</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609</v>
      </c>
      <c r="I15" s="173" t="str">
        <f>LOOKUP(H15,TRA_Comm!$C$29:$C$90,TRA_Comm!$D$29:$D$90)</f>
        <v>Navigation.Local.Ferry.Passenger.City.</v>
      </c>
      <c r="J15" s="173"/>
      <c r="K15" s="173" t="s">
        <v>1118</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1016</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1023</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1216</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681</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1029</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1031</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1033</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1035</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1039</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1217</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1052</v>
      </c>
    </row>
    <row r="26" spans="1:64" s="22" customFormat="1" x14ac:dyDescent="0.3">
      <c r="A26" s="35"/>
      <c r="B26" s="52" t="s">
        <v>1053</v>
      </c>
      <c r="C26" s="26" t="s">
        <v>104</v>
      </c>
      <c r="D26" s="26" t="s">
        <v>1054</v>
      </c>
      <c r="E26" s="26" t="s">
        <v>673</v>
      </c>
      <c r="F26" s="26" t="s">
        <v>674</v>
      </c>
      <c r="G26" s="26" t="s">
        <v>1055</v>
      </c>
      <c r="H26" s="53" t="s">
        <v>1056</v>
      </c>
      <c r="I26" s="26" t="s">
        <v>982</v>
      </c>
      <c r="J26" s="42" t="s">
        <v>1123</v>
      </c>
      <c r="K26" s="26" t="s">
        <v>1057</v>
      </c>
      <c r="L26" s="26" t="s">
        <v>1058</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1062</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1124</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572</v>
      </c>
      <c r="D28" s="179" t="s">
        <v>878</v>
      </c>
      <c r="E28" s="258" t="s">
        <v>1023</v>
      </c>
      <c r="F28" s="181"/>
      <c r="G28" s="182"/>
      <c r="H28" s="183"/>
      <c r="I28" s="184"/>
      <c r="J28" s="184"/>
      <c r="K28" s="185" t="s">
        <v>1107</v>
      </c>
      <c r="L28" s="184" t="s">
        <v>1156</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1031</v>
      </c>
      <c r="F29" s="189"/>
      <c r="G29" s="170"/>
      <c r="H29" s="190"/>
      <c r="I29" s="191" t="s">
        <v>1157</v>
      </c>
      <c r="J29" s="191"/>
      <c r="K29" s="186" t="s">
        <v>1176</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1157</v>
      </c>
      <c r="J30" s="191"/>
      <c r="K30" s="186" t="s">
        <v>1176</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1126</v>
      </c>
      <c r="L31" s="191" t="s">
        <v>678</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1132</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606</v>
      </c>
      <c r="G32" s="170"/>
      <c r="H32" s="190"/>
      <c r="I32" s="191"/>
      <c r="J32" s="191"/>
      <c r="K32" s="186" t="s">
        <v>1126</v>
      </c>
      <c r="L32" s="191" t="s">
        <v>678</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749</v>
      </c>
      <c r="K33" s="191" t="s">
        <v>1128</v>
      </c>
      <c r="L33" s="186" t="s">
        <v>1159</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1130</v>
      </c>
      <c r="L34" s="191" t="s">
        <v>1131</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1065</v>
      </c>
      <c r="L35" s="191" t="s">
        <v>748</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1065</v>
      </c>
      <c r="L36" s="191" t="s">
        <v>748</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1065</v>
      </c>
      <c r="L37" s="191" t="s">
        <v>748</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1065</v>
      </c>
      <c r="L38" s="191" t="s">
        <v>748</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1065</v>
      </c>
      <c r="L39" s="191" t="s">
        <v>748</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1065</v>
      </c>
      <c r="L40" s="191" t="s">
        <v>748</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1065</v>
      </c>
      <c r="L41" s="198" t="s">
        <v>748</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1218</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1053</v>
      </c>
      <c r="C48" s="26" t="s">
        <v>104</v>
      </c>
      <c r="D48" s="26" t="s">
        <v>1054</v>
      </c>
      <c r="E48" s="26" t="s">
        <v>673</v>
      </c>
      <c r="F48" s="26" t="s">
        <v>674</v>
      </c>
      <c r="G48" s="26" t="s">
        <v>1055</v>
      </c>
      <c r="H48" s="53" t="s">
        <v>1056</v>
      </c>
      <c r="I48" s="26" t="s">
        <v>982</v>
      </c>
      <c r="J48" s="42" t="s">
        <v>1123</v>
      </c>
      <c r="K48" s="26" t="s">
        <v>1057</v>
      </c>
      <c r="L48" s="26" t="s">
        <v>1058</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1062</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1124</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575</v>
      </c>
      <c r="D50" s="179" t="s">
        <v>879</v>
      </c>
      <c r="E50" s="407" t="s">
        <v>1023</v>
      </c>
      <c r="F50" s="181"/>
      <c r="G50" s="182"/>
      <c r="H50" s="183"/>
      <c r="I50" s="184"/>
      <c r="J50" s="184"/>
      <c r="K50" s="185" t="s">
        <v>1107</v>
      </c>
      <c r="L50" s="184" t="s">
        <v>1156</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1031</v>
      </c>
      <c r="F51" s="181"/>
      <c r="G51" s="182"/>
      <c r="H51" s="183"/>
      <c r="I51" s="191" t="s">
        <v>1157</v>
      </c>
      <c r="J51" s="184"/>
      <c r="K51" s="185" t="s">
        <v>1176</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1126</v>
      </c>
      <c r="L52" s="191" t="s">
        <v>678</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655</v>
      </c>
      <c r="G53" s="170"/>
      <c r="H53" s="190"/>
      <c r="I53" s="191"/>
      <c r="J53" s="191"/>
      <c r="K53" s="186" t="s">
        <v>1126</v>
      </c>
      <c r="L53" s="191" t="s">
        <v>678</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749</v>
      </c>
      <c r="K54" s="186" t="s">
        <v>1128</v>
      </c>
      <c r="L54" s="186" t="s">
        <v>1171</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1130</v>
      </c>
      <c r="L55" s="191" t="s">
        <v>1131</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1132</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1065</v>
      </c>
      <c r="L56" s="191" t="s">
        <v>748</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1065</v>
      </c>
      <c r="L57" s="191" t="s">
        <v>748</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1065</v>
      </c>
      <c r="L58" s="191" t="s">
        <v>748</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1065</v>
      </c>
      <c r="L59" s="191" t="s">
        <v>748</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1065</v>
      </c>
      <c r="L60" s="191" t="s">
        <v>748</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1065</v>
      </c>
      <c r="L61" s="191" t="s">
        <v>748</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1065</v>
      </c>
      <c r="L62" s="198" t="s">
        <v>748</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1219</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1053</v>
      </c>
      <c r="C69" s="26" t="s">
        <v>104</v>
      </c>
      <c r="D69" s="26" t="s">
        <v>1054</v>
      </c>
      <c r="E69" s="26" t="s">
        <v>673</v>
      </c>
      <c r="F69" s="26" t="s">
        <v>674</v>
      </c>
      <c r="G69" s="26" t="s">
        <v>1055</v>
      </c>
      <c r="H69" s="53" t="s">
        <v>1056</v>
      </c>
      <c r="I69" s="26" t="s">
        <v>982</v>
      </c>
      <c r="J69" s="42" t="s">
        <v>1123</v>
      </c>
      <c r="K69" s="26" t="s">
        <v>1057</v>
      </c>
      <c r="L69" s="26" t="s">
        <v>1058</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1062</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1124</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880</v>
      </c>
      <c r="E71" s="180" t="s">
        <v>185</v>
      </c>
      <c r="F71" s="181"/>
      <c r="G71" s="182"/>
      <c r="H71" s="183"/>
      <c r="I71" s="184"/>
      <c r="J71" s="184"/>
      <c r="K71" s="185" t="s">
        <v>1107</v>
      </c>
      <c r="L71" s="184" t="s">
        <v>1156</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988</v>
      </c>
      <c r="F72" s="189"/>
      <c r="G72" s="170"/>
      <c r="H72" s="190"/>
      <c r="I72" s="191" t="s">
        <v>1157</v>
      </c>
      <c r="J72" s="191"/>
      <c r="K72" s="186" t="s">
        <v>1176</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521</v>
      </c>
      <c r="G73" s="170"/>
      <c r="H73" s="190"/>
      <c r="I73" s="191"/>
      <c r="J73" s="191"/>
      <c r="K73" s="186" t="s">
        <v>1126</v>
      </c>
      <c r="L73" s="191" t="s">
        <v>678</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609</v>
      </c>
      <c r="G74" s="170"/>
      <c r="H74" s="190"/>
      <c r="I74" s="191"/>
      <c r="J74" s="191"/>
      <c r="K74" s="186" t="s">
        <v>1126</v>
      </c>
      <c r="L74" s="191" t="s">
        <v>678</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1132</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749</v>
      </c>
      <c r="K75" s="186" t="s">
        <v>1128</v>
      </c>
      <c r="L75" s="186" t="s">
        <v>1159</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1130</v>
      </c>
      <c r="L76" s="191" t="s">
        <v>1131</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1065</v>
      </c>
      <c r="L77" s="191" t="s">
        <v>748</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1065</v>
      </c>
      <c r="L78" s="191" t="s">
        <v>748</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1065</v>
      </c>
      <c r="L79" s="191" t="s">
        <v>748</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1065</v>
      </c>
      <c r="L80" s="191" t="s">
        <v>748</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1065</v>
      </c>
      <c r="L81" s="191" t="s">
        <v>748</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1065</v>
      </c>
      <c r="L82" s="191" t="s">
        <v>748</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1065</v>
      </c>
      <c r="L83" s="198" t="s">
        <v>748</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1111</v>
      </c>
    </row>
    <row r="2" spans="1:46" ht="19.5" customHeight="1" x14ac:dyDescent="0.3">
      <c r="A2" s="22" t="s">
        <v>1168</v>
      </c>
      <c r="B2" s="148" t="s">
        <v>1220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1142</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1162</v>
      </c>
      <c r="AI4" s="38" t="s">
        <v>1143</v>
      </c>
      <c r="AJ4" s="38" t="s">
        <v>1007</v>
      </c>
      <c r="AK4" s="38" t="s">
        <v>1144</v>
      </c>
      <c r="AL4" s="38" t="s">
        <v>1145</v>
      </c>
      <c r="AM4" s="38" t="s">
        <v>1146</v>
      </c>
      <c r="AN4" s="406" t="s">
        <v>1163</v>
      </c>
      <c r="AO4" s="38" t="s">
        <v>115</v>
      </c>
      <c r="AP4" s="406" t="s">
        <v>1164</v>
      </c>
      <c r="AQ4" s="406" t="s">
        <v>634</v>
      </c>
      <c r="AR4" s="406" t="s">
        <v>510</v>
      </c>
      <c r="AS4" s="406" t="s">
        <v>509</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1051</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980</v>
      </c>
      <c r="J8" s="42" t="s">
        <v>1113</v>
      </c>
      <c r="K8" s="42" t="s">
        <v>1114</v>
      </c>
      <c r="L8" s="42" t="s">
        <v>1057</v>
      </c>
      <c r="M8" s="43" t="s">
        <v>1058</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1115</v>
      </c>
      <c r="J9" s="171" t="s">
        <v>1116</v>
      </c>
      <c r="K9" s="171" t="s">
        <v>1117</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637</v>
      </c>
      <c r="J10" s="173" t="str">
        <f>LOOKUP(I10,TRA_Comm!$C$29:$C$90,TRA_Comm!$D$29:$D$90)</f>
        <v>Road.Freight.Light.LongDistance.City.</v>
      </c>
      <c r="K10" s="173"/>
      <c r="L10" s="173" t="s">
        <v>1118</v>
      </c>
      <c r="M10" s="173" t="s">
        <v>633</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640</v>
      </c>
      <c r="J11" s="173" t="str">
        <f>LOOKUP(I11,TRA_Comm!$C$29:$C$90,TRA_Comm!$D$29:$D$90)</f>
        <v>Road.Freight.Light.Short.City.</v>
      </c>
      <c r="K11" s="173"/>
      <c r="L11" s="173" t="s">
        <v>1118</v>
      </c>
      <c r="M11" s="173" t="s">
        <v>633</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643</v>
      </c>
      <c r="J12" s="173" t="str">
        <f>LOOKUP(I12,TRA_Comm!$C$29:$C$90,TRA_Comm!$D$29:$D$90)</f>
        <v>Road.Freight.Medium.LongDistance.City.</v>
      </c>
      <c r="K12" s="173"/>
      <c r="L12" s="173" t="s">
        <v>1118</v>
      </c>
      <c r="M12" s="173" t="s">
        <v>633</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646</v>
      </c>
      <c r="J13" s="173" t="str">
        <f>LOOKUP(I13,TRA_Comm!$C$29:$C$90,TRA_Comm!$D$29:$D$90)</f>
        <v>Road.Freight.Medium.Short.City.</v>
      </c>
      <c r="K13" s="173"/>
      <c r="L13" s="173" t="s">
        <v>1118</v>
      </c>
      <c r="M13" s="173" t="s">
        <v>633</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649</v>
      </c>
      <c r="J14" s="173" t="str">
        <f>LOOKUP(I14,TRA_Comm!$C$29:$C$90,TRA_Comm!$D$29:$D$90)</f>
        <v>Road.Freight.Heavy.LongDistance.City.</v>
      </c>
      <c r="K14" s="173"/>
      <c r="L14" s="173" t="s">
        <v>1118</v>
      </c>
      <c r="M14" s="173" t="s">
        <v>633</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652</v>
      </c>
      <c r="J15" s="173" t="str">
        <f>LOOKUP(I15,TRA_Comm!$C$29:$C$90,TRA_Comm!$D$29:$D$90)</f>
        <v>Road.Freight.Heavy.Short.City.</v>
      </c>
      <c r="K15" s="173"/>
      <c r="L15" s="173" t="s">
        <v>1118</v>
      </c>
      <c r="M15" s="173" t="s">
        <v>633</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634</v>
      </c>
      <c r="J16" s="173" t="str">
        <f>LOOKUP(I16,TRA_Comm!$C$29:$C$90,TRA_Comm!$D$29:$D$90)</f>
        <v>LightElectricVehicle(LEV).Freight.City.</v>
      </c>
      <c r="K16" s="173"/>
      <c r="L16" s="173" t="s">
        <v>1118</v>
      </c>
      <c r="M16" s="173" t="s">
        <v>633</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510</v>
      </c>
      <c r="J17" s="173" t="str">
        <f>LOOKUP(I17,TRA_Comm!$C$29:$C$90,TRA_Comm!$D$29:$D$90)</f>
        <v>BicYcle.Electric.Freight.City.</v>
      </c>
      <c r="K17" s="173"/>
      <c r="L17" s="173" t="s">
        <v>1118</v>
      </c>
      <c r="M17" s="173" t="s">
        <v>633</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509</v>
      </c>
      <c r="J18" s="173" t="str">
        <f>LOOKUP(I18,TRA_Comm!$C$29:$C$90,TRA_Comm!$D$29:$D$90)</f>
        <v>BicYcle.Freight.City.</v>
      </c>
      <c r="K18" s="173"/>
      <c r="L18" s="173" t="s">
        <v>1118</v>
      </c>
      <c r="M18" s="173" t="s">
        <v>633</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1171</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1172</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1173</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501</v>
      </c>
      <c r="N23" s="166">
        <f>T_ACTFLO!E34</f>
        <v>0.76</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504</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506</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1152</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1221</v>
      </c>
      <c r="C37" s="26"/>
      <c r="D37" s="26"/>
      <c r="I37" s="36"/>
      <c r="M37" s="473" t="s">
        <v>1154</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1053</v>
      </c>
      <c r="C40" s="26" t="s">
        <v>104</v>
      </c>
      <c r="D40" s="26" t="s">
        <v>1054</v>
      </c>
      <c r="E40" s="26" t="s">
        <v>673</v>
      </c>
      <c r="F40" s="26" t="s">
        <v>1155</v>
      </c>
      <c r="G40" s="26" t="s">
        <v>674</v>
      </c>
      <c r="H40" s="26" t="s">
        <v>1055</v>
      </c>
      <c r="I40" s="53" t="s">
        <v>1056</v>
      </c>
      <c r="J40" s="26" t="s">
        <v>982</v>
      </c>
      <c r="K40" s="42" t="s">
        <v>1123</v>
      </c>
      <c r="L40" s="26" t="s">
        <v>1057</v>
      </c>
      <c r="M40" s="26" t="s">
        <v>1058</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1062</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1124</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559</v>
      </c>
      <c r="D42" s="179" t="s">
        <v>871</v>
      </c>
      <c r="E42" s="180" t="s">
        <v>683</v>
      </c>
      <c r="F42" s="182"/>
      <c r="G42" s="181"/>
      <c r="H42" s="182"/>
      <c r="I42" s="183"/>
      <c r="J42" s="184"/>
      <c r="K42" s="184"/>
      <c r="L42" s="203" t="s">
        <v>1107</v>
      </c>
      <c r="M42" s="184" t="s">
        <v>1125</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634</v>
      </c>
      <c r="H43" s="182"/>
      <c r="I43" s="183"/>
      <c r="J43" s="184"/>
      <c r="K43" s="184"/>
      <c r="L43" s="184" t="s">
        <v>1126</v>
      </c>
      <c r="M43" s="184" t="s">
        <v>678</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749</v>
      </c>
      <c r="L44" s="184" t="s">
        <v>1128</v>
      </c>
      <c r="M44" s="184" t="s">
        <v>1175</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1130</v>
      </c>
      <c r="M45" s="184" t="s">
        <v>1131</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1065</v>
      </c>
      <c r="M46" s="184" t="s">
        <v>748</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1065</v>
      </c>
      <c r="M47" s="184" t="s">
        <v>748</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1065</v>
      </c>
      <c r="M48" s="184" t="s">
        <v>748</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1065</v>
      </c>
      <c r="M49" s="184" t="s">
        <v>748</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1065</v>
      </c>
      <c r="M50" s="184" t="s">
        <v>748</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1065</v>
      </c>
      <c r="M51" s="184" t="s">
        <v>748</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1065</v>
      </c>
      <c r="M52" s="209" t="s">
        <v>748</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901</v>
      </c>
      <c r="E53" s="407" t="s">
        <v>681</v>
      </c>
      <c r="F53" s="182"/>
      <c r="G53" s="181"/>
      <c r="H53" s="182"/>
      <c r="I53" s="183"/>
      <c r="J53" s="184"/>
      <c r="K53" s="184"/>
      <c r="L53" s="203" t="s">
        <v>1107</v>
      </c>
      <c r="M53" s="184" t="s">
        <v>1125</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509</v>
      </c>
      <c r="H54" s="182"/>
      <c r="I54" s="183"/>
      <c r="J54" s="184"/>
      <c r="K54" s="184"/>
      <c r="L54" s="184" t="s">
        <v>1126</v>
      </c>
      <c r="M54" s="184" t="s">
        <v>678</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749</v>
      </c>
      <c r="L55" s="184" t="s">
        <v>1128</v>
      </c>
      <c r="M55" s="184" t="s">
        <v>1175</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1130</v>
      </c>
      <c r="M56" s="184" t="s">
        <v>1131</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1065</v>
      </c>
      <c r="M57" s="184" t="s">
        <v>748</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1065</v>
      </c>
      <c r="M58" s="184" t="s">
        <v>748</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1065</v>
      </c>
      <c r="M59" s="184" t="s">
        <v>748</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1065</v>
      </c>
      <c r="M60" s="184" t="s">
        <v>748</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1065</v>
      </c>
      <c r="M61" s="184" t="s">
        <v>748</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1065</v>
      </c>
      <c r="M62" s="184" t="s">
        <v>748</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1065</v>
      </c>
      <c r="M63" s="209" t="s">
        <v>748</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897</v>
      </c>
      <c r="E64" s="180"/>
      <c r="F64" s="182"/>
      <c r="G64" s="173" t="s">
        <v>510</v>
      </c>
      <c r="H64" s="182"/>
      <c r="I64" s="183"/>
      <c r="J64" s="184"/>
      <c r="K64" s="184"/>
      <c r="L64" s="203" t="s">
        <v>1107</v>
      </c>
      <c r="M64" s="184" t="s">
        <v>1125</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683</v>
      </c>
      <c r="F65" s="182"/>
      <c r="G65" s="173"/>
      <c r="H65" s="182"/>
      <c r="I65" s="183"/>
      <c r="J65" s="184"/>
      <c r="K65" s="184"/>
      <c r="L65" s="184" t="s">
        <v>1126</v>
      </c>
      <c r="M65" s="184" t="s">
        <v>678</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681</v>
      </c>
      <c r="F66" s="182"/>
      <c r="G66" s="173"/>
      <c r="H66" s="182"/>
      <c r="I66" s="183"/>
      <c r="J66" s="184"/>
      <c r="K66" s="184"/>
      <c r="L66" s="184" t="s">
        <v>1126</v>
      </c>
      <c r="M66" s="184" t="s">
        <v>678</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683</v>
      </c>
      <c r="F67" s="182"/>
      <c r="G67" s="173"/>
      <c r="H67" s="182"/>
      <c r="I67" s="183"/>
      <c r="J67" s="184" t="s">
        <v>1157</v>
      </c>
      <c r="K67" s="184"/>
      <c r="L67" s="184" t="s">
        <v>1176</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749</v>
      </c>
      <c r="L68" s="184" t="s">
        <v>1128</v>
      </c>
      <c r="M68" s="184" t="s">
        <v>1175</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1130</v>
      </c>
      <c r="M69" s="184" t="s">
        <v>1131</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1065</v>
      </c>
      <c r="M70" s="184" t="s">
        <v>748</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1065</v>
      </c>
      <c r="M71" s="184" t="s">
        <v>748</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1065</v>
      </c>
      <c r="M72" s="184" t="s">
        <v>748</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1065</v>
      </c>
      <c r="M73" s="184" t="s">
        <v>748</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1065</v>
      </c>
      <c r="M74" s="184" t="s">
        <v>748</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1065</v>
      </c>
      <c r="M75" s="184" t="s">
        <v>748</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1065</v>
      </c>
      <c r="M76" s="209" t="s">
        <v>748</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1152</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1222</v>
      </c>
      <c r="C80" s="88"/>
      <c r="D80" s="26"/>
      <c r="E80" s="35"/>
      <c r="F80" s="35"/>
      <c r="G80" s="35"/>
      <c r="H80" s="35"/>
      <c r="I80" s="36"/>
      <c r="J80" s="35"/>
      <c r="K80" s="35"/>
      <c r="L80" s="35"/>
      <c r="M80" s="473" t="s">
        <v>1154</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1053</v>
      </c>
      <c r="C83" s="352" t="s">
        <v>104</v>
      </c>
      <c r="D83" s="352" t="s">
        <v>1054</v>
      </c>
      <c r="E83" s="352" t="s">
        <v>673</v>
      </c>
      <c r="F83" s="352" t="s">
        <v>1155</v>
      </c>
      <c r="G83" s="352" t="s">
        <v>674</v>
      </c>
      <c r="H83" s="352" t="s">
        <v>1055</v>
      </c>
      <c r="I83" s="353" t="s">
        <v>1056</v>
      </c>
      <c r="J83" s="352" t="s">
        <v>982</v>
      </c>
      <c r="K83" s="354" t="s">
        <v>1123</v>
      </c>
      <c r="L83" s="352" t="s">
        <v>1057</v>
      </c>
      <c r="M83" s="352" t="s">
        <v>1058</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1062</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1124</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805</v>
      </c>
      <c r="E85" s="407" t="s">
        <v>988</v>
      </c>
      <c r="F85" s="182"/>
      <c r="G85" s="181"/>
      <c r="H85" s="182"/>
      <c r="I85" s="183"/>
      <c r="J85" s="184"/>
      <c r="K85" s="184"/>
      <c r="L85" s="203" t="s">
        <v>1107</v>
      </c>
      <c r="M85" s="184" t="s">
        <v>1125</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637</v>
      </c>
      <c r="H86" s="182"/>
      <c r="I86" s="183"/>
      <c r="J86" s="184"/>
      <c r="K86" s="184"/>
      <c r="L86" s="184" t="s">
        <v>1126</v>
      </c>
      <c r="M86" s="184" t="s">
        <v>678</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640</v>
      </c>
      <c r="H87" s="182"/>
      <c r="I87" s="183"/>
      <c r="J87" s="184"/>
      <c r="K87" s="184"/>
      <c r="L87" s="184" t="s">
        <v>1126</v>
      </c>
      <c r="M87" s="184" t="s">
        <v>678</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749</v>
      </c>
      <c r="L88" s="184" t="s">
        <v>1128</v>
      </c>
      <c r="M88" s="184" t="s">
        <v>1175</v>
      </c>
      <c r="N88" s="388">
        <f>N$23</f>
        <v>0.76</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1130</v>
      </c>
      <c r="M89" s="184" t="s">
        <v>1131</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1065</v>
      </c>
      <c r="M90" s="184" t="s">
        <v>748</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1065</v>
      </c>
      <c r="M91" s="184" t="s">
        <v>748</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1065</v>
      </c>
      <c r="M92" s="184" t="s">
        <v>748</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1065</v>
      </c>
      <c r="M93" s="184" t="s">
        <v>748</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1065</v>
      </c>
      <c r="M94" s="184" t="s">
        <v>748</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1065</v>
      </c>
      <c r="M95" s="184" t="s">
        <v>748</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1065</v>
      </c>
      <c r="M96" s="209" t="s">
        <v>748</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807</v>
      </c>
      <c r="E97" s="180" t="s">
        <v>185</v>
      </c>
      <c r="F97" s="182"/>
      <c r="G97" s="181"/>
      <c r="H97" s="182"/>
      <c r="I97" s="183"/>
      <c r="J97" s="184"/>
      <c r="K97" s="184"/>
      <c r="L97" s="203" t="s">
        <v>1107</v>
      </c>
      <c r="M97" s="184" t="s">
        <v>1125</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988</v>
      </c>
      <c r="F98" s="182"/>
      <c r="G98" s="181"/>
      <c r="H98" s="182"/>
      <c r="I98" s="183"/>
      <c r="J98" s="184" t="s">
        <v>1223</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637</v>
      </c>
      <c r="H99" s="182"/>
      <c r="I99" s="183"/>
      <c r="J99" s="184"/>
      <c r="K99" s="184"/>
      <c r="L99" s="184" t="s">
        <v>1126</v>
      </c>
      <c r="M99" s="184" t="s">
        <v>678</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640</v>
      </c>
      <c r="H100" s="182"/>
      <c r="I100" s="183"/>
      <c r="J100" s="184"/>
      <c r="K100" s="184"/>
      <c r="L100" s="184" t="s">
        <v>1126</v>
      </c>
      <c r="M100" s="184" t="s">
        <v>678</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749</v>
      </c>
      <c r="L101" s="184" t="s">
        <v>1128</v>
      </c>
      <c r="M101" s="184" t="s">
        <v>1175</v>
      </c>
      <c r="N101" s="388">
        <f>N$23</f>
        <v>0.76</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1130</v>
      </c>
      <c r="M102" s="184" t="s">
        <v>1131</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1065</v>
      </c>
      <c r="M103" s="184" t="s">
        <v>748</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1065</v>
      </c>
      <c r="M104" s="184" t="s">
        <v>748</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1065</v>
      </c>
      <c r="M105" s="184" t="s">
        <v>748</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1065</v>
      </c>
      <c r="M106" s="184" t="s">
        <v>748</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1065</v>
      </c>
      <c r="M107" s="184" t="s">
        <v>748</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1065</v>
      </c>
      <c r="M108" s="184" t="s">
        <v>748</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1065</v>
      </c>
      <c r="M109" s="209" t="s">
        <v>748</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809</v>
      </c>
      <c r="E110" s="180" t="s">
        <v>683</v>
      </c>
      <c r="F110" s="182"/>
      <c r="G110" s="181"/>
      <c r="H110" s="182"/>
      <c r="I110" s="183"/>
      <c r="J110" s="184"/>
      <c r="K110" s="184"/>
      <c r="L110" s="203" t="s">
        <v>1107</v>
      </c>
      <c r="M110" s="184" t="s">
        <v>1125</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637</v>
      </c>
      <c r="H111" s="182"/>
      <c r="I111" s="183"/>
      <c r="J111" s="184"/>
      <c r="K111" s="184"/>
      <c r="L111" s="184" t="s">
        <v>1126</v>
      </c>
      <c r="M111" s="184" t="s">
        <v>678</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640</v>
      </c>
      <c r="H112" s="182"/>
      <c r="I112" s="183"/>
      <c r="J112" s="184"/>
      <c r="K112" s="184"/>
      <c r="L112" s="184" t="s">
        <v>1126</v>
      </c>
      <c r="M112" s="184" t="s">
        <v>678</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749</v>
      </c>
      <c r="L113" s="184" t="s">
        <v>1128</v>
      </c>
      <c r="M113" s="184" t="s">
        <v>1175</v>
      </c>
      <c r="N113" s="388">
        <f t="shared" ref="N113:AB113" si="87">N$23</f>
        <v>0.76</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1130</v>
      </c>
      <c r="M114" s="184" t="s">
        <v>1131</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1065</v>
      </c>
      <c r="M115" s="184" t="s">
        <v>748</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1065</v>
      </c>
      <c r="M116" s="184" t="s">
        <v>748</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1065</v>
      </c>
      <c r="M117" s="184" t="s">
        <v>748</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1065</v>
      </c>
      <c r="M118" s="184" t="s">
        <v>748</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1065</v>
      </c>
      <c r="M119" s="184" t="s">
        <v>748</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1065</v>
      </c>
      <c r="M120" s="184" t="s">
        <v>748</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1065</v>
      </c>
      <c r="M121" s="209" t="s">
        <v>748</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811</v>
      </c>
      <c r="E122" s="180" t="s">
        <v>1010</v>
      </c>
      <c r="F122" s="182"/>
      <c r="G122" s="181"/>
      <c r="H122" s="182"/>
      <c r="I122" s="183"/>
      <c r="J122" s="184"/>
      <c r="K122" s="184"/>
      <c r="L122" s="203" t="s">
        <v>1107</v>
      </c>
      <c r="M122" s="184" t="s">
        <v>1125</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1014</v>
      </c>
      <c r="F123" s="182"/>
      <c r="G123" s="181"/>
      <c r="H123" s="182"/>
      <c r="I123" s="183"/>
      <c r="J123" s="184" t="s">
        <v>1223</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637</v>
      </c>
      <c r="H124" s="182"/>
      <c r="I124" s="183"/>
      <c r="J124" s="184"/>
      <c r="K124" s="184"/>
      <c r="L124" s="184" t="s">
        <v>1126</v>
      </c>
      <c r="M124" s="184" t="s">
        <v>678</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640</v>
      </c>
      <c r="H125" s="182"/>
      <c r="I125" s="183"/>
      <c r="J125" s="184"/>
      <c r="K125" s="184"/>
      <c r="L125" s="184" t="s">
        <v>1126</v>
      </c>
      <c r="M125" s="184" t="s">
        <v>678</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749</v>
      </c>
      <c r="L126" s="184" t="s">
        <v>1128</v>
      </c>
      <c r="M126" s="184" t="s">
        <v>1175</v>
      </c>
      <c r="N126" s="388">
        <f t="shared" ref="N126:AB126" si="98">N$23</f>
        <v>0.76</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1130</v>
      </c>
      <c r="M127" s="184" t="s">
        <v>1131</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1065</v>
      </c>
      <c r="M128" s="184" t="s">
        <v>748</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1065</v>
      </c>
      <c r="M129" s="184" t="s">
        <v>748</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1065</v>
      </c>
      <c r="M130" s="184" t="s">
        <v>748</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1065</v>
      </c>
      <c r="M131" s="184" t="s">
        <v>748</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1065</v>
      </c>
      <c r="M132" s="184" t="s">
        <v>748</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1065</v>
      </c>
      <c r="M133" s="184" t="s">
        <v>748</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1065</v>
      </c>
      <c r="M134" s="209" t="s">
        <v>748</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813</v>
      </c>
      <c r="E135" s="180" t="s">
        <v>1039</v>
      </c>
      <c r="F135" s="182"/>
      <c r="G135" s="181"/>
      <c r="H135" s="182"/>
      <c r="I135" s="183"/>
      <c r="J135" s="184"/>
      <c r="K135" s="184"/>
      <c r="L135" s="203" t="s">
        <v>1107</v>
      </c>
      <c r="M135" s="184" t="s">
        <v>1125</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994</v>
      </c>
      <c r="F136" s="182"/>
      <c r="G136" s="180"/>
      <c r="H136" s="182"/>
      <c r="I136" s="183"/>
      <c r="J136" s="184" t="s">
        <v>1223</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1014</v>
      </c>
      <c r="F137" s="182"/>
      <c r="G137" s="181"/>
      <c r="H137" s="182"/>
      <c r="I137" s="183"/>
      <c r="J137" s="184" t="s">
        <v>1157</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637</v>
      </c>
      <c r="H138" s="182"/>
      <c r="I138" s="183"/>
      <c r="J138" s="184"/>
      <c r="K138" s="184"/>
      <c r="L138" s="184" t="s">
        <v>1126</v>
      </c>
      <c r="M138" s="184" t="s">
        <v>678</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640</v>
      </c>
      <c r="H139" s="182"/>
      <c r="I139" s="183"/>
      <c r="J139" s="184"/>
      <c r="K139" s="184"/>
      <c r="L139" s="184" t="s">
        <v>1126</v>
      </c>
      <c r="M139" s="184" t="s">
        <v>678</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749</v>
      </c>
      <c r="L140" s="184" t="s">
        <v>1128</v>
      </c>
      <c r="M140" s="184" t="s">
        <v>1175</v>
      </c>
      <c r="N140" s="388">
        <f t="shared" ref="N140:AB140" si="108">N$23</f>
        <v>0.76</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1130</v>
      </c>
      <c r="M141" s="184" t="s">
        <v>1131</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1065</v>
      </c>
      <c r="M142" s="184" t="s">
        <v>748</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1065</v>
      </c>
      <c r="M143" s="184" t="s">
        <v>748</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1065</v>
      </c>
      <c r="M144" s="184" t="s">
        <v>748</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1065</v>
      </c>
      <c r="M145" s="184" t="s">
        <v>748</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1065</v>
      </c>
      <c r="M146" s="184" t="s">
        <v>748</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1065</v>
      </c>
      <c r="M147" s="184" t="s">
        <v>748</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1065</v>
      </c>
      <c r="M148" s="209" t="s">
        <v>748</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815</v>
      </c>
      <c r="E149" s="407" t="s">
        <v>1014</v>
      </c>
      <c r="F149" s="182"/>
      <c r="G149" s="181"/>
      <c r="H149" s="182"/>
      <c r="I149" s="183"/>
      <c r="J149" s="184"/>
      <c r="K149" s="184"/>
      <c r="L149" s="203" t="s">
        <v>1107</v>
      </c>
      <c r="M149" s="184" t="s">
        <v>1125</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1012</v>
      </c>
      <c r="F150" s="182"/>
      <c r="G150" s="181"/>
      <c r="H150" s="182"/>
      <c r="I150" s="183"/>
      <c r="J150" s="184" t="s">
        <v>1157</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637</v>
      </c>
      <c r="H151" s="182"/>
      <c r="I151" s="183"/>
      <c r="J151" s="184"/>
      <c r="K151" s="184"/>
      <c r="L151" s="184" t="s">
        <v>1126</v>
      </c>
      <c r="M151" s="184" t="s">
        <v>678</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640</v>
      </c>
      <c r="H152" s="182"/>
      <c r="I152" s="183"/>
      <c r="J152" s="184"/>
      <c r="K152" s="184"/>
      <c r="L152" s="184" t="s">
        <v>1126</v>
      </c>
      <c r="M152" s="184" t="s">
        <v>678</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749</v>
      </c>
      <c r="L153" s="184" t="s">
        <v>1128</v>
      </c>
      <c r="M153" s="184" t="s">
        <v>1175</v>
      </c>
      <c r="N153" s="388">
        <f t="shared" ref="N153:AB153" si="119">N$23</f>
        <v>0.76</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1130</v>
      </c>
      <c r="M154" s="184" t="s">
        <v>1131</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1065</v>
      </c>
      <c r="M155" s="184" t="s">
        <v>748</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1065</v>
      </c>
      <c r="M156" s="184" t="s">
        <v>748</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1065</v>
      </c>
      <c r="M157" s="184" t="s">
        <v>748</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1065</v>
      </c>
      <c r="M158" s="184" t="s">
        <v>748</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1065</v>
      </c>
      <c r="M159" s="184" t="s">
        <v>748</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1065</v>
      </c>
      <c r="M160" s="184" t="s">
        <v>748</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1065</v>
      </c>
      <c r="M161" s="209" t="s">
        <v>748</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817</v>
      </c>
      <c r="E162" s="407" t="s">
        <v>988</v>
      </c>
      <c r="F162" s="182"/>
      <c r="G162" s="181"/>
      <c r="H162" s="182"/>
      <c r="I162" s="183"/>
      <c r="J162" s="184"/>
      <c r="K162" s="184"/>
      <c r="L162" s="203" t="s">
        <v>1107</v>
      </c>
      <c r="M162" s="184" t="s">
        <v>1125</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1157</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637</v>
      </c>
      <c r="H164" s="182"/>
      <c r="I164" s="183"/>
      <c r="J164" s="184"/>
      <c r="K164" s="184"/>
      <c r="L164" s="184" t="s">
        <v>1126</v>
      </c>
      <c r="M164" s="184" t="s">
        <v>678</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640</v>
      </c>
      <c r="H165" s="182"/>
      <c r="I165" s="183"/>
      <c r="J165" s="184"/>
      <c r="K165" s="184"/>
      <c r="L165" s="184" t="s">
        <v>1126</v>
      </c>
      <c r="M165" s="184" t="s">
        <v>678</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749</v>
      </c>
      <c r="L166" s="184" t="s">
        <v>1128</v>
      </c>
      <c r="M166" s="184" t="s">
        <v>1175</v>
      </c>
      <c r="N166" s="388">
        <f t="shared" ref="N166:AB166" si="130">N$23</f>
        <v>0.76</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1130</v>
      </c>
      <c r="M167" s="184" t="s">
        <v>1131</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1065</v>
      </c>
      <c r="M168" s="184" t="s">
        <v>748</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1065</v>
      </c>
      <c r="M169" s="184" t="s">
        <v>748</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1065</v>
      </c>
      <c r="M170" s="184" t="s">
        <v>748</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1065</v>
      </c>
      <c r="M171" s="184" t="s">
        <v>748</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1065</v>
      </c>
      <c r="M172" s="184" t="s">
        <v>748</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1065</v>
      </c>
      <c r="M173" s="184" t="s">
        <v>748</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1065</v>
      </c>
      <c r="M174" s="209" t="s">
        <v>748</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819</v>
      </c>
      <c r="E175" s="407" t="s">
        <v>1014</v>
      </c>
      <c r="F175" s="182"/>
      <c r="G175" s="181"/>
      <c r="H175" s="182"/>
      <c r="I175" s="183"/>
      <c r="J175" s="184"/>
      <c r="K175" s="184"/>
      <c r="L175" s="203" t="s">
        <v>1107</v>
      </c>
      <c r="M175" s="184" t="s">
        <v>1125</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1012</v>
      </c>
      <c r="F176" s="182"/>
      <c r="G176" s="181"/>
      <c r="H176" s="182"/>
      <c r="I176" s="183"/>
      <c r="J176" s="184" t="s">
        <v>1157</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637</v>
      </c>
      <c r="H177" s="182"/>
      <c r="I177" s="183"/>
      <c r="J177" s="184"/>
      <c r="K177" s="184"/>
      <c r="L177" s="184" t="s">
        <v>1126</v>
      </c>
      <c r="M177" s="184" t="s">
        <v>678</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640</v>
      </c>
      <c r="H178" s="182"/>
      <c r="I178" s="183"/>
      <c r="J178" s="184"/>
      <c r="K178" s="184"/>
      <c r="L178" s="184" t="s">
        <v>1126</v>
      </c>
      <c r="M178" s="184" t="s">
        <v>678</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749</v>
      </c>
      <c r="L179" s="184" t="s">
        <v>1128</v>
      </c>
      <c r="M179" s="184" t="s">
        <v>1175</v>
      </c>
      <c r="N179" s="388">
        <f t="shared" ref="N179:AB179" si="141">N$23</f>
        <v>0.76</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1130</v>
      </c>
      <c r="M180" s="184" t="s">
        <v>1131</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1065</v>
      </c>
      <c r="M181" s="184" t="s">
        <v>748</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1065</v>
      </c>
      <c r="M182" s="184" t="s">
        <v>748</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1065</v>
      </c>
      <c r="M183" s="184" t="s">
        <v>748</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1065</v>
      </c>
      <c r="M184" s="184" t="s">
        <v>748</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1065</v>
      </c>
      <c r="M185" s="184" t="s">
        <v>748</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1065</v>
      </c>
      <c r="M186" s="184" t="s">
        <v>748</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1065</v>
      </c>
      <c r="M187" s="209" t="s">
        <v>748</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821</v>
      </c>
      <c r="E188" s="180" t="s">
        <v>1033</v>
      </c>
      <c r="F188" s="182"/>
      <c r="G188" s="181"/>
      <c r="H188" s="182"/>
      <c r="I188" s="183"/>
      <c r="J188" s="184"/>
      <c r="K188" s="184"/>
      <c r="L188" s="203" t="s">
        <v>1107</v>
      </c>
      <c r="M188" s="184" t="s">
        <v>1125</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637</v>
      </c>
      <c r="H189" s="170"/>
      <c r="I189" s="190"/>
      <c r="J189" s="191"/>
      <c r="K189" s="191"/>
      <c r="L189" s="191" t="s">
        <v>1126</v>
      </c>
      <c r="M189" s="191" t="s">
        <v>678</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640</v>
      </c>
      <c r="H190" s="170"/>
      <c r="I190" s="190"/>
      <c r="J190" s="191"/>
      <c r="K190" s="191"/>
      <c r="L190" s="191" t="s">
        <v>1126</v>
      </c>
      <c r="M190" s="191" t="s">
        <v>678</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749</v>
      </c>
      <c r="L191" s="191" t="s">
        <v>1128</v>
      </c>
      <c r="M191" s="191" t="s">
        <v>1175</v>
      </c>
      <c r="N191" s="368">
        <f t="shared" ref="N191:AB191" si="151">N$23</f>
        <v>0.76</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1130</v>
      </c>
      <c r="M192" s="191" t="s">
        <v>1131</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1065</v>
      </c>
      <c r="M193" s="191" t="s">
        <v>748</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1065</v>
      </c>
      <c r="M194" s="191" t="s">
        <v>748</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1065</v>
      </c>
      <c r="M195" s="191" t="s">
        <v>748</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1065</v>
      </c>
      <c r="M196" s="191" t="s">
        <v>748</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1065</v>
      </c>
      <c r="M197" s="191" t="s">
        <v>748</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1065</v>
      </c>
      <c r="M198" s="191" t="s">
        <v>748</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1065</v>
      </c>
      <c r="M199" s="198" t="s">
        <v>748</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823</v>
      </c>
      <c r="E200" s="407" t="s">
        <v>988</v>
      </c>
      <c r="F200" s="182"/>
      <c r="G200" s="181"/>
      <c r="H200" s="182"/>
      <c r="I200" s="183"/>
      <c r="J200" s="184"/>
      <c r="K200" s="184"/>
      <c r="L200" s="203" t="s">
        <v>1107</v>
      </c>
      <c r="M200" s="184" t="s">
        <v>1125</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1157</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637</v>
      </c>
      <c r="H202" s="182"/>
      <c r="I202" s="183"/>
      <c r="J202" s="184"/>
      <c r="K202" s="184"/>
      <c r="L202" s="184" t="s">
        <v>1126</v>
      </c>
      <c r="M202" s="184" t="s">
        <v>678</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640</v>
      </c>
      <c r="H203" s="182"/>
      <c r="I203" s="183"/>
      <c r="J203" s="184"/>
      <c r="K203" s="184"/>
      <c r="L203" s="184" t="s">
        <v>1126</v>
      </c>
      <c r="M203" s="184" t="s">
        <v>678</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749</v>
      </c>
      <c r="L204" s="184" t="s">
        <v>1128</v>
      </c>
      <c r="M204" s="184" t="s">
        <v>1175</v>
      </c>
      <c r="N204" s="388">
        <f t="shared" ref="N204:AB204" si="162">N$23</f>
        <v>0.76</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1130</v>
      </c>
      <c r="M205" s="184" t="s">
        <v>1131</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1065</v>
      </c>
      <c r="M206" s="184" t="s">
        <v>748</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1065</v>
      </c>
      <c r="M207" s="184" t="s">
        <v>748</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1065</v>
      </c>
      <c r="M208" s="184" t="s">
        <v>748</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1065</v>
      </c>
      <c r="M209" s="184" t="s">
        <v>748</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1065</v>
      </c>
      <c r="M210" s="184" t="s">
        <v>748</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1065</v>
      </c>
      <c r="M211" s="184" t="s">
        <v>748</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1065</v>
      </c>
      <c r="M212" s="209" t="s">
        <v>748</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825</v>
      </c>
      <c r="E213" s="407" t="s">
        <v>1014</v>
      </c>
      <c r="F213" s="182"/>
      <c r="G213" s="181"/>
      <c r="H213" s="182"/>
      <c r="I213" s="183"/>
      <c r="J213" s="184"/>
      <c r="K213" s="184"/>
      <c r="L213" s="203" t="s">
        <v>1107</v>
      </c>
      <c r="M213" s="184" t="s">
        <v>1125</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1012</v>
      </c>
      <c r="F214" s="182"/>
      <c r="G214" s="181"/>
      <c r="H214" s="182"/>
      <c r="I214" s="183"/>
      <c r="J214" s="184" t="s">
        <v>1157</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637</v>
      </c>
      <c r="H215" s="182"/>
      <c r="I215" s="183"/>
      <c r="J215" s="184"/>
      <c r="K215" s="184"/>
      <c r="L215" s="184" t="s">
        <v>1126</v>
      </c>
      <c r="M215" s="184" t="s">
        <v>678</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640</v>
      </c>
      <c r="H216" s="182"/>
      <c r="I216" s="183"/>
      <c r="J216" s="184"/>
      <c r="K216" s="184"/>
      <c r="L216" s="184" t="s">
        <v>1126</v>
      </c>
      <c r="M216" s="184" t="s">
        <v>678</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749</v>
      </c>
      <c r="L217" s="184" t="s">
        <v>1128</v>
      </c>
      <c r="M217" s="184" t="s">
        <v>1175</v>
      </c>
      <c r="N217" s="388">
        <f t="shared" ref="N217:AB217" si="173">N$23</f>
        <v>0.76</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1130</v>
      </c>
      <c r="M218" s="184" t="s">
        <v>1131</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1065</v>
      </c>
      <c r="M219" s="184" t="s">
        <v>748</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1065</v>
      </c>
      <c r="M220" s="184" t="s">
        <v>748</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1065</v>
      </c>
      <c r="M221" s="184" t="s">
        <v>748</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1065</v>
      </c>
      <c r="M222" s="184" t="s">
        <v>748</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1065</v>
      </c>
      <c r="M223" s="184" t="s">
        <v>748</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1065</v>
      </c>
      <c r="M224" s="184" t="s">
        <v>748</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1065</v>
      </c>
      <c r="M225" s="209" t="s">
        <v>748</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1152</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1224</v>
      </c>
      <c r="C229" s="88"/>
      <c r="D229" s="26"/>
      <c r="I229" s="36"/>
      <c r="M229" s="473" t="s">
        <v>1154</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1053</v>
      </c>
      <c r="C232" s="26" t="s">
        <v>104</v>
      </c>
      <c r="D232" s="26" t="s">
        <v>1054</v>
      </c>
      <c r="E232" s="26" t="s">
        <v>673</v>
      </c>
      <c r="F232" s="26" t="s">
        <v>1155</v>
      </c>
      <c r="G232" s="26" t="s">
        <v>674</v>
      </c>
      <c r="H232" s="26" t="s">
        <v>1055</v>
      </c>
      <c r="I232" s="53" t="s">
        <v>1056</v>
      </c>
      <c r="J232" s="26" t="s">
        <v>982</v>
      </c>
      <c r="K232" s="42" t="s">
        <v>1123</v>
      </c>
      <c r="L232" s="26" t="s">
        <v>1057</v>
      </c>
      <c r="M232" s="26" t="s">
        <v>1058</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1062</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1124</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827</v>
      </c>
      <c r="E234" s="407" t="s">
        <v>988</v>
      </c>
      <c r="F234" s="182"/>
      <c r="G234" s="181"/>
      <c r="H234" s="182"/>
      <c r="I234" s="183"/>
      <c r="J234" s="184"/>
      <c r="K234" s="184"/>
      <c r="L234" s="203" t="s">
        <v>1107</v>
      </c>
      <c r="M234" s="184" t="s">
        <v>1125</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643</v>
      </c>
      <c r="H235" s="182"/>
      <c r="I235" s="183"/>
      <c r="J235" s="184"/>
      <c r="K235" s="184"/>
      <c r="L235" s="184" t="s">
        <v>1126</v>
      </c>
      <c r="M235" s="184" t="s">
        <v>678</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646</v>
      </c>
      <c r="H236" s="182"/>
      <c r="I236" s="183"/>
      <c r="J236" s="184"/>
      <c r="K236" s="184"/>
      <c r="L236" s="184" t="s">
        <v>1126</v>
      </c>
      <c r="M236" s="184" t="s">
        <v>678</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749</v>
      </c>
      <c r="L237" s="184" t="s">
        <v>1128</v>
      </c>
      <c r="M237" s="184" t="s">
        <v>1175</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1130</v>
      </c>
      <c r="M238" s="184" t="s">
        <v>1131</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1065</v>
      </c>
      <c r="M239" s="184" t="s">
        <v>748</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1065</v>
      </c>
      <c r="M240" s="184" t="s">
        <v>748</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1065</v>
      </c>
      <c r="M241" s="184" t="s">
        <v>748</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1065</v>
      </c>
      <c r="M242" s="184" t="s">
        <v>748</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1065</v>
      </c>
      <c r="M243" s="184" t="s">
        <v>748</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1065</v>
      </c>
      <c r="M244" s="184" t="s">
        <v>748</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1065</v>
      </c>
      <c r="M245" s="209" t="s">
        <v>748</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829</v>
      </c>
      <c r="E246" s="180" t="s">
        <v>185</v>
      </c>
      <c r="F246" s="182"/>
      <c r="G246" s="181"/>
      <c r="H246" s="182"/>
      <c r="I246" s="183"/>
      <c r="J246" s="184"/>
      <c r="K246" s="184"/>
      <c r="L246" s="203" t="s">
        <v>1107</v>
      </c>
      <c r="M246" s="184" t="s">
        <v>1125</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988</v>
      </c>
      <c r="F247" s="182"/>
      <c r="G247" s="181"/>
      <c r="H247" s="182"/>
      <c r="I247" s="183"/>
      <c r="J247" s="184" t="s">
        <v>1223</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643</v>
      </c>
      <c r="H248" s="182"/>
      <c r="I248" s="183"/>
      <c r="J248" s="184"/>
      <c r="K248" s="184"/>
      <c r="L248" s="184" t="s">
        <v>1126</v>
      </c>
      <c r="M248" s="184" t="s">
        <v>678</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646</v>
      </c>
      <c r="H249" s="182"/>
      <c r="I249" s="183"/>
      <c r="J249" s="184"/>
      <c r="K249" s="184"/>
      <c r="L249" s="184" t="s">
        <v>1126</v>
      </c>
      <c r="M249" s="184" t="s">
        <v>678</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749</v>
      </c>
      <c r="L250" s="184" t="s">
        <v>1128</v>
      </c>
      <c r="M250" s="184" t="s">
        <v>1175</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1130</v>
      </c>
      <c r="M251" s="184" t="s">
        <v>1131</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1065</v>
      </c>
      <c r="M252" s="184" t="s">
        <v>748</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1065</v>
      </c>
      <c r="M253" s="184" t="s">
        <v>748</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1065</v>
      </c>
      <c r="M254" s="184" t="s">
        <v>748</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1065</v>
      </c>
      <c r="M255" s="184" t="s">
        <v>748</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1065</v>
      </c>
      <c r="M256" s="184" t="s">
        <v>748</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1065</v>
      </c>
      <c r="M257" s="184" t="s">
        <v>748</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1065</v>
      </c>
      <c r="M258" s="209" t="s">
        <v>748</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831</v>
      </c>
      <c r="E259" s="180" t="s">
        <v>683</v>
      </c>
      <c r="F259" s="182"/>
      <c r="G259" s="181"/>
      <c r="H259" s="182"/>
      <c r="I259" s="183"/>
      <c r="J259" s="184"/>
      <c r="K259" s="184"/>
      <c r="L259" s="203" t="s">
        <v>1107</v>
      </c>
      <c r="M259" s="184" t="s">
        <v>1125</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643</v>
      </c>
      <c r="H260" s="182"/>
      <c r="I260" s="183"/>
      <c r="J260" s="184"/>
      <c r="K260" s="184"/>
      <c r="L260" s="184" t="s">
        <v>1126</v>
      </c>
      <c r="M260" s="184" t="s">
        <v>678</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646</v>
      </c>
      <c r="H261" s="182"/>
      <c r="I261" s="183"/>
      <c r="J261" s="184"/>
      <c r="K261" s="184"/>
      <c r="L261" s="184" t="s">
        <v>1126</v>
      </c>
      <c r="M261" s="184" t="s">
        <v>678</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749</v>
      </c>
      <c r="L262" s="184" t="s">
        <v>1128</v>
      </c>
      <c r="M262" s="184" t="s">
        <v>1175</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1130</v>
      </c>
      <c r="M263" s="184" t="s">
        <v>1131</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1065</v>
      </c>
      <c r="M264" s="184" t="s">
        <v>748</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1065</v>
      </c>
      <c r="M265" s="184" t="s">
        <v>748</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1065</v>
      </c>
      <c r="M266" s="184" t="s">
        <v>748</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1065</v>
      </c>
      <c r="M267" s="184" t="s">
        <v>748</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1065</v>
      </c>
      <c r="M268" s="184" t="s">
        <v>748</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1065</v>
      </c>
      <c r="M269" s="184" t="s">
        <v>748</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1065</v>
      </c>
      <c r="M270" s="209" t="s">
        <v>748</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833</v>
      </c>
      <c r="E271" s="180" t="s">
        <v>1010</v>
      </c>
      <c r="F271" s="182"/>
      <c r="G271" s="181"/>
      <c r="H271" s="182"/>
      <c r="I271" s="183"/>
      <c r="J271" s="184"/>
      <c r="K271" s="184"/>
      <c r="L271" s="203" t="s">
        <v>1107</v>
      </c>
      <c r="M271" s="184" t="s">
        <v>1125</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643</v>
      </c>
      <c r="H272" s="182"/>
      <c r="I272" s="183"/>
      <c r="J272" s="184"/>
      <c r="K272" s="184"/>
      <c r="L272" s="184" t="s">
        <v>1126</v>
      </c>
      <c r="M272" s="184" t="s">
        <v>678</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646</v>
      </c>
      <c r="H273" s="182"/>
      <c r="I273" s="183"/>
      <c r="J273" s="184"/>
      <c r="K273" s="184"/>
      <c r="L273" s="184" t="s">
        <v>1126</v>
      </c>
      <c r="M273" s="184" t="s">
        <v>678</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749</v>
      </c>
      <c r="L274" s="184" t="s">
        <v>1128</v>
      </c>
      <c r="M274" s="184" t="s">
        <v>1175</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1130</v>
      </c>
      <c r="M275" s="184" t="s">
        <v>1131</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1065</v>
      </c>
      <c r="M276" s="184" t="s">
        <v>748</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1065</v>
      </c>
      <c r="M277" s="184" t="s">
        <v>748</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1065</v>
      </c>
      <c r="M278" s="184" t="s">
        <v>748</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1065</v>
      </c>
      <c r="M279" s="184" t="s">
        <v>748</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1065</v>
      </c>
      <c r="M280" s="184" t="s">
        <v>748</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1065</v>
      </c>
      <c r="M281" s="184" t="s">
        <v>748</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1065</v>
      </c>
      <c r="M282" s="209" t="s">
        <v>748</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835</v>
      </c>
      <c r="E283" s="180" t="s">
        <v>1039</v>
      </c>
      <c r="F283" s="182"/>
      <c r="G283" s="181"/>
      <c r="H283" s="182"/>
      <c r="I283" s="183"/>
      <c r="J283" s="184"/>
      <c r="K283" s="184"/>
      <c r="L283" s="203" t="s">
        <v>1107</v>
      </c>
      <c r="M283" s="184" t="s">
        <v>1125</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994</v>
      </c>
      <c r="F284" s="182"/>
      <c r="G284" s="180"/>
      <c r="H284" s="182"/>
      <c r="I284" s="183"/>
      <c r="J284" s="184" t="s">
        <v>1223</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643</v>
      </c>
      <c r="H285" s="182"/>
      <c r="I285" s="183"/>
      <c r="J285" s="184"/>
      <c r="K285" s="184"/>
      <c r="L285" s="184" t="s">
        <v>1126</v>
      </c>
      <c r="M285" s="184" t="s">
        <v>678</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646</v>
      </c>
      <c r="H286" s="182"/>
      <c r="I286" s="183"/>
      <c r="J286" s="184"/>
      <c r="K286" s="184"/>
      <c r="L286" s="184" t="s">
        <v>1126</v>
      </c>
      <c r="M286" s="184" t="s">
        <v>678</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749</v>
      </c>
      <c r="L287" s="184" t="s">
        <v>1128</v>
      </c>
      <c r="M287" s="184" t="s">
        <v>1175</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1130</v>
      </c>
      <c r="M288" s="184" t="s">
        <v>1131</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1065</v>
      </c>
      <c r="M289" s="184" t="s">
        <v>748</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1065</v>
      </c>
      <c r="M290" s="184" t="s">
        <v>748</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1065</v>
      </c>
      <c r="M291" s="184" t="s">
        <v>748</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1065</v>
      </c>
      <c r="M292" s="184" t="s">
        <v>748</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1065</v>
      </c>
      <c r="M293" s="184" t="s">
        <v>748</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1065</v>
      </c>
      <c r="M294" s="184" t="s">
        <v>748</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1065</v>
      </c>
      <c r="M295" s="209" t="s">
        <v>748</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837</v>
      </c>
      <c r="E296" s="407" t="s">
        <v>1014</v>
      </c>
      <c r="F296" s="182"/>
      <c r="G296" s="181"/>
      <c r="H296" s="182"/>
      <c r="I296" s="183"/>
      <c r="J296" s="184"/>
      <c r="K296" s="184"/>
      <c r="L296" s="203" t="s">
        <v>1107</v>
      </c>
      <c r="M296" s="184" t="s">
        <v>1125</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1012</v>
      </c>
      <c r="F297" s="182"/>
      <c r="G297" s="181"/>
      <c r="H297" s="182"/>
      <c r="I297" s="183"/>
      <c r="J297" s="184" t="s">
        <v>1157</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643</v>
      </c>
      <c r="H298" s="182"/>
      <c r="I298" s="183"/>
      <c r="J298" s="184"/>
      <c r="K298" s="184"/>
      <c r="L298" s="184" t="s">
        <v>1126</v>
      </c>
      <c r="M298" s="184" t="s">
        <v>678</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646</v>
      </c>
      <c r="H299" s="182"/>
      <c r="I299" s="183"/>
      <c r="J299" s="184"/>
      <c r="K299" s="184"/>
      <c r="L299" s="184" t="s">
        <v>1126</v>
      </c>
      <c r="M299" s="184" t="s">
        <v>678</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749</v>
      </c>
      <c r="L300" s="184" t="s">
        <v>1128</v>
      </c>
      <c r="M300" s="184" t="s">
        <v>1175</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1130</v>
      </c>
      <c r="M301" s="184" t="s">
        <v>1131</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1065</v>
      </c>
      <c r="M302" s="184" t="s">
        <v>748</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1065</v>
      </c>
      <c r="M303" s="184" t="s">
        <v>748</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1065</v>
      </c>
      <c r="M304" s="184" t="s">
        <v>748</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1065</v>
      </c>
      <c r="M305" s="184" t="s">
        <v>748</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1065</v>
      </c>
      <c r="M306" s="184" t="s">
        <v>748</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1065</v>
      </c>
      <c r="M307" s="184" t="s">
        <v>748</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1065</v>
      </c>
      <c r="M308" s="209" t="s">
        <v>748</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839</v>
      </c>
      <c r="E309" s="180" t="s">
        <v>185</v>
      </c>
      <c r="F309" s="182"/>
      <c r="G309" s="181"/>
      <c r="H309" s="182"/>
      <c r="I309" s="183"/>
      <c r="J309" s="184"/>
      <c r="K309" s="184"/>
      <c r="L309" s="203" t="s">
        <v>1107</v>
      </c>
      <c r="M309" s="184" t="s">
        <v>1125</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988</v>
      </c>
      <c r="F310" s="182"/>
      <c r="G310" s="181"/>
      <c r="H310" s="182"/>
      <c r="I310" s="183"/>
      <c r="J310" s="184" t="s">
        <v>1223</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643</v>
      </c>
      <c r="H311" s="182"/>
      <c r="I311" s="183"/>
      <c r="J311" s="184"/>
      <c r="K311" s="184"/>
      <c r="L311" s="184" t="s">
        <v>1126</v>
      </c>
      <c r="M311" s="184" t="s">
        <v>678</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646</v>
      </c>
      <c r="H312" s="182"/>
      <c r="I312" s="183"/>
      <c r="J312" s="184"/>
      <c r="K312" s="184"/>
      <c r="L312" s="184" t="s">
        <v>1126</v>
      </c>
      <c r="M312" s="184" t="s">
        <v>678</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749</v>
      </c>
      <c r="L313" s="184" t="s">
        <v>1128</v>
      </c>
      <c r="M313" s="184" t="s">
        <v>1175</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1130</v>
      </c>
      <c r="M314" s="184" t="s">
        <v>1131</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1065</v>
      </c>
      <c r="M315" s="184" t="s">
        <v>748</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1065</v>
      </c>
      <c r="M316" s="184" t="s">
        <v>748</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1065</v>
      </c>
      <c r="M317" s="184" t="s">
        <v>748</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1065</v>
      </c>
      <c r="M318" s="184" t="s">
        <v>748</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1065</v>
      </c>
      <c r="M319" s="184" t="s">
        <v>748</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1065</v>
      </c>
      <c r="M320" s="184" t="s">
        <v>748</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1065</v>
      </c>
      <c r="M321" s="209" t="s">
        <v>748</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841</v>
      </c>
      <c r="E322" s="407" t="s">
        <v>1014</v>
      </c>
      <c r="F322" s="182"/>
      <c r="G322" s="181"/>
      <c r="H322" s="182"/>
      <c r="I322" s="183"/>
      <c r="J322" s="184"/>
      <c r="K322" s="184"/>
      <c r="L322" s="203" t="s">
        <v>1107</v>
      </c>
      <c r="M322" s="184" t="s">
        <v>1125</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1012</v>
      </c>
      <c r="F323" s="182"/>
      <c r="G323" s="181"/>
      <c r="H323" s="182"/>
      <c r="I323" s="183"/>
      <c r="J323" s="184" t="s">
        <v>1157</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643</v>
      </c>
      <c r="H324" s="182"/>
      <c r="I324" s="183"/>
      <c r="J324" s="184"/>
      <c r="K324" s="184"/>
      <c r="L324" s="184" t="s">
        <v>1126</v>
      </c>
      <c r="M324" s="184" t="s">
        <v>678</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646</v>
      </c>
      <c r="H325" s="182"/>
      <c r="I325" s="183"/>
      <c r="J325" s="184"/>
      <c r="K325" s="184"/>
      <c r="L325" s="184" t="s">
        <v>1126</v>
      </c>
      <c r="M325" s="184" t="s">
        <v>678</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749</v>
      </c>
      <c r="L326" s="184" t="s">
        <v>1128</v>
      </c>
      <c r="M326" s="184" t="s">
        <v>1175</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1130</v>
      </c>
      <c r="M327" s="184" t="s">
        <v>1131</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1065</v>
      </c>
      <c r="M328" s="184" t="s">
        <v>748</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1065</v>
      </c>
      <c r="M329" s="184" t="s">
        <v>748</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1065</v>
      </c>
      <c r="M330" s="184" t="s">
        <v>748</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1065</v>
      </c>
      <c r="M331" s="184" t="s">
        <v>748</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1065</v>
      </c>
      <c r="M332" s="184" t="s">
        <v>748</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1065</v>
      </c>
      <c r="M333" s="184" t="s">
        <v>748</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1065</v>
      </c>
      <c r="M334" s="209" t="s">
        <v>748</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843</v>
      </c>
      <c r="E335" s="180" t="s">
        <v>1033</v>
      </c>
      <c r="F335" s="182"/>
      <c r="G335" s="181"/>
      <c r="H335" s="182"/>
      <c r="I335" s="183"/>
      <c r="J335" s="184"/>
      <c r="K335" s="184"/>
      <c r="L335" s="203" t="s">
        <v>1107</v>
      </c>
      <c r="M335" s="184" t="s">
        <v>1125</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643</v>
      </c>
      <c r="H336" s="170"/>
      <c r="I336" s="190"/>
      <c r="J336" s="191"/>
      <c r="K336" s="191"/>
      <c r="L336" s="191" t="s">
        <v>1126</v>
      </c>
      <c r="M336" s="191" t="s">
        <v>678</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646</v>
      </c>
      <c r="H337" s="170"/>
      <c r="I337" s="190"/>
      <c r="J337" s="191"/>
      <c r="K337" s="191"/>
      <c r="L337" s="191" t="s">
        <v>1126</v>
      </c>
      <c r="M337" s="191" t="s">
        <v>678</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749</v>
      </c>
      <c r="L338" s="191" t="s">
        <v>1128</v>
      </c>
      <c r="M338" s="191" t="s">
        <v>1175</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1130</v>
      </c>
      <c r="M339" s="191" t="s">
        <v>1131</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1065</v>
      </c>
      <c r="M340" s="191" t="s">
        <v>748</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1065</v>
      </c>
      <c r="M341" s="191" t="s">
        <v>748</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1065</v>
      </c>
      <c r="M342" s="191" t="s">
        <v>748</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1065</v>
      </c>
      <c r="M343" s="191" t="s">
        <v>748</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1065</v>
      </c>
      <c r="M344" s="191" t="s">
        <v>748</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1065</v>
      </c>
      <c r="M345" s="191" t="s">
        <v>748</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1065</v>
      </c>
      <c r="M346" s="198" t="s">
        <v>748</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845</v>
      </c>
      <c r="E347" s="180" t="s">
        <v>185</v>
      </c>
      <c r="F347" s="182"/>
      <c r="G347" s="181"/>
      <c r="H347" s="182"/>
      <c r="I347" s="183"/>
      <c r="J347" s="184"/>
      <c r="K347" s="184"/>
      <c r="L347" s="203" t="s">
        <v>1107</v>
      </c>
      <c r="M347" s="184" t="s">
        <v>1125</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988</v>
      </c>
      <c r="F348" s="182"/>
      <c r="G348" s="181"/>
      <c r="H348" s="182"/>
      <c r="I348" s="183"/>
      <c r="J348" s="184" t="s">
        <v>1223</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643</v>
      </c>
      <c r="H349" s="182"/>
      <c r="I349" s="183"/>
      <c r="J349" s="184"/>
      <c r="K349" s="184"/>
      <c r="L349" s="184" t="s">
        <v>1126</v>
      </c>
      <c r="M349" s="184" t="s">
        <v>678</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646</v>
      </c>
      <c r="H350" s="182"/>
      <c r="I350" s="183"/>
      <c r="J350" s="184"/>
      <c r="K350" s="184"/>
      <c r="L350" s="184" t="s">
        <v>1126</v>
      </c>
      <c r="M350" s="184" t="s">
        <v>678</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749</v>
      </c>
      <c r="L351" s="184" t="s">
        <v>1128</v>
      </c>
      <c r="M351" s="184" t="s">
        <v>1175</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1130</v>
      </c>
      <c r="M352" s="184" t="s">
        <v>1131</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1065</v>
      </c>
      <c r="M353" s="184" t="s">
        <v>748</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1065</v>
      </c>
      <c r="M354" s="184" t="s">
        <v>748</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1065</v>
      </c>
      <c r="M355" s="184" t="s">
        <v>748</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1065</v>
      </c>
      <c r="M356" s="184" t="s">
        <v>748</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1065</v>
      </c>
      <c r="M357" s="184" t="s">
        <v>748</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1065</v>
      </c>
      <c r="M358" s="184" t="s">
        <v>748</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1065</v>
      </c>
      <c r="M359" s="209" t="s">
        <v>748</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847</v>
      </c>
      <c r="E360" s="407" t="s">
        <v>1014</v>
      </c>
      <c r="F360" s="182"/>
      <c r="G360" s="181"/>
      <c r="H360" s="182"/>
      <c r="I360" s="183"/>
      <c r="J360" s="184"/>
      <c r="K360" s="184"/>
      <c r="L360" s="203" t="s">
        <v>1107</v>
      </c>
      <c r="M360" s="184" t="s">
        <v>1125</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1012</v>
      </c>
      <c r="F361" s="182"/>
      <c r="G361" s="181"/>
      <c r="H361" s="182"/>
      <c r="I361" s="183"/>
      <c r="J361" s="184" t="s">
        <v>1157</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643</v>
      </c>
      <c r="H362" s="182"/>
      <c r="I362" s="183"/>
      <c r="J362" s="184"/>
      <c r="K362" s="184"/>
      <c r="L362" s="184" t="s">
        <v>1126</v>
      </c>
      <c r="M362" s="184" t="s">
        <v>678</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646</v>
      </c>
      <c r="H363" s="182"/>
      <c r="I363" s="183"/>
      <c r="J363" s="184"/>
      <c r="K363" s="184"/>
      <c r="L363" s="184" t="s">
        <v>1126</v>
      </c>
      <c r="M363" s="184" t="s">
        <v>678</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749</v>
      </c>
      <c r="L364" s="184" t="s">
        <v>1128</v>
      </c>
      <c r="M364" s="184" t="s">
        <v>1175</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1130</v>
      </c>
      <c r="M365" s="184" t="s">
        <v>1131</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1065</v>
      </c>
      <c r="M366" s="184" t="s">
        <v>748</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1065</v>
      </c>
      <c r="M367" s="184" t="s">
        <v>748</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1065</v>
      </c>
      <c r="M368" s="184" t="s">
        <v>748</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1065</v>
      </c>
      <c r="M369" s="184" t="s">
        <v>748</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1065</v>
      </c>
      <c r="M370" s="184" t="s">
        <v>748</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1065</v>
      </c>
      <c r="M371" s="184" t="s">
        <v>748</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1065</v>
      </c>
      <c r="M372" s="209" t="s">
        <v>748</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1133</v>
      </c>
      <c r="D375" s="44"/>
      <c r="M375" s="473" t="s">
        <v>1152</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1225</v>
      </c>
      <c r="C376" s="26"/>
      <c r="D376" s="26"/>
      <c r="I376" s="36"/>
      <c r="M376" s="473" t="s">
        <v>1154</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1053</v>
      </c>
      <c r="C379" s="26" t="s">
        <v>104</v>
      </c>
      <c r="D379" s="26" t="s">
        <v>1054</v>
      </c>
      <c r="E379" s="26" t="s">
        <v>673</v>
      </c>
      <c r="F379" s="26" t="s">
        <v>1155</v>
      </c>
      <c r="G379" s="26" t="s">
        <v>674</v>
      </c>
      <c r="H379" s="26" t="s">
        <v>1055</v>
      </c>
      <c r="I379" s="53" t="s">
        <v>1056</v>
      </c>
      <c r="J379" s="26" t="s">
        <v>982</v>
      </c>
      <c r="K379" s="42" t="s">
        <v>1123</v>
      </c>
      <c r="L379" s="26" t="s">
        <v>1057</v>
      </c>
      <c r="M379" s="26" t="s">
        <v>1058</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1062</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1124</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849</v>
      </c>
      <c r="E381" s="407" t="s">
        <v>988</v>
      </c>
      <c r="F381" s="182"/>
      <c r="G381" s="181"/>
      <c r="H381" s="182"/>
      <c r="I381" s="183"/>
      <c r="J381" s="184"/>
      <c r="K381" s="184"/>
      <c r="L381" s="203" t="s">
        <v>1107</v>
      </c>
      <c r="M381" s="184" t="s">
        <v>1125</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649</v>
      </c>
      <c r="H382" s="170"/>
      <c r="I382" s="190"/>
      <c r="J382" s="191"/>
      <c r="K382" s="191"/>
      <c r="L382" s="191" t="s">
        <v>1126</v>
      </c>
      <c r="M382" s="191" t="s">
        <v>678</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652</v>
      </c>
      <c r="H383" s="170"/>
      <c r="I383" s="190"/>
      <c r="J383" s="191"/>
      <c r="K383" s="191"/>
      <c r="L383" s="191" t="s">
        <v>1126</v>
      </c>
      <c r="M383" s="191" t="s">
        <v>678</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749</v>
      </c>
      <c r="L384" s="191" t="s">
        <v>1128</v>
      </c>
      <c r="M384" s="191" t="s">
        <v>1175</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1130</v>
      </c>
      <c r="M385" s="191" t="s">
        <v>1131</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1065</v>
      </c>
      <c r="M386" s="191" t="s">
        <v>748</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1065</v>
      </c>
      <c r="M387" s="191" t="s">
        <v>748</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1065</v>
      </c>
      <c r="M388" s="191" t="s">
        <v>748</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1065</v>
      </c>
      <c r="M389" s="191" t="s">
        <v>748</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1065</v>
      </c>
      <c r="M390" s="191" t="s">
        <v>748</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1065</v>
      </c>
      <c r="M391" s="191" t="s">
        <v>748</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1065</v>
      </c>
      <c r="M392" s="198" t="s">
        <v>748</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851</v>
      </c>
      <c r="E393" s="180" t="s">
        <v>185</v>
      </c>
      <c r="F393" s="182"/>
      <c r="G393" s="181"/>
      <c r="H393" s="182"/>
      <c r="I393" s="183"/>
      <c r="J393" s="184"/>
      <c r="K393" s="184"/>
      <c r="L393" s="203" t="s">
        <v>1107</v>
      </c>
      <c r="M393" s="184" t="s">
        <v>1125</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988</v>
      </c>
      <c r="F394" s="170"/>
      <c r="G394" s="189"/>
      <c r="H394" s="170"/>
      <c r="I394" s="190"/>
      <c r="J394" s="191" t="s">
        <v>1223</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649</v>
      </c>
      <c r="H395" s="170"/>
      <c r="I395" s="190"/>
      <c r="J395" s="191"/>
      <c r="K395" s="191"/>
      <c r="L395" s="191" t="s">
        <v>1126</v>
      </c>
      <c r="M395" s="191" t="s">
        <v>678</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652</v>
      </c>
      <c r="H396" s="170"/>
      <c r="I396" s="190"/>
      <c r="J396" s="191"/>
      <c r="K396" s="191"/>
      <c r="L396" s="191" t="s">
        <v>1126</v>
      </c>
      <c r="M396" s="191" t="s">
        <v>678</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749</v>
      </c>
      <c r="L397" s="191" t="s">
        <v>1128</v>
      </c>
      <c r="M397" s="191" t="s">
        <v>1175</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1130</v>
      </c>
      <c r="M398" s="191" t="s">
        <v>1131</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1065</v>
      </c>
      <c r="M399" s="191" t="s">
        <v>748</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1065</v>
      </c>
      <c r="M400" s="191" t="s">
        <v>748</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1065</v>
      </c>
      <c r="M401" s="191" t="s">
        <v>748</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1065</v>
      </c>
      <c r="M402" s="191" t="s">
        <v>748</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1065</v>
      </c>
      <c r="M403" s="191" t="s">
        <v>748</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1065</v>
      </c>
      <c r="M404" s="191" t="s">
        <v>748</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1065</v>
      </c>
      <c r="M405" s="198" t="s">
        <v>748</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853</v>
      </c>
      <c r="E406" s="407" t="s">
        <v>683</v>
      </c>
      <c r="F406" s="182"/>
      <c r="G406" s="181"/>
      <c r="H406" s="182"/>
      <c r="I406" s="183"/>
      <c r="J406" s="184"/>
      <c r="K406" s="184"/>
      <c r="L406" s="203" t="s">
        <v>1107</v>
      </c>
      <c r="M406" s="184" t="s">
        <v>1125</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649</v>
      </c>
      <c r="H407" s="170"/>
      <c r="I407" s="190"/>
      <c r="J407" s="191"/>
      <c r="K407" s="191"/>
      <c r="L407" s="191" t="s">
        <v>1126</v>
      </c>
      <c r="M407" s="191" t="s">
        <v>678</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652</v>
      </c>
      <c r="H408" s="170"/>
      <c r="I408" s="190"/>
      <c r="J408" s="191"/>
      <c r="K408" s="191"/>
      <c r="L408" s="191" t="s">
        <v>1126</v>
      </c>
      <c r="M408" s="191" t="s">
        <v>678</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749</v>
      </c>
      <c r="L409" s="191" t="s">
        <v>1128</v>
      </c>
      <c r="M409" s="191" t="s">
        <v>1175</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1130</v>
      </c>
      <c r="M410" s="191" t="s">
        <v>1131</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1065</v>
      </c>
      <c r="M411" s="191" t="s">
        <v>748</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1065</v>
      </c>
      <c r="M412" s="191" t="s">
        <v>748</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1065</v>
      </c>
      <c r="M413" s="191" t="s">
        <v>748</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1065</v>
      </c>
      <c r="M414" s="191" t="s">
        <v>748</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1065</v>
      </c>
      <c r="M415" s="191" t="s">
        <v>748</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1065</v>
      </c>
      <c r="M416" s="191" t="s">
        <v>748</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1065</v>
      </c>
      <c r="M417" s="198" t="s">
        <v>748</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855</v>
      </c>
      <c r="E418" s="180" t="s">
        <v>1010</v>
      </c>
      <c r="F418" s="182"/>
      <c r="G418" s="181"/>
      <c r="H418" s="182"/>
      <c r="I418" s="183"/>
      <c r="J418" s="184"/>
      <c r="K418" s="184"/>
      <c r="L418" s="203" t="s">
        <v>1107</v>
      </c>
      <c r="M418" s="184" t="s">
        <v>1125</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649</v>
      </c>
      <c r="H419" s="170"/>
      <c r="I419" s="190"/>
      <c r="J419" s="191"/>
      <c r="K419" s="191"/>
      <c r="L419" s="191" t="s">
        <v>1126</v>
      </c>
      <c r="M419" s="191" t="s">
        <v>678</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652</v>
      </c>
      <c r="H420" s="170"/>
      <c r="I420" s="190"/>
      <c r="J420" s="191"/>
      <c r="K420" s="191"/>
      <c r="L420" s="191" t="s">
        <v>1126</v>
      </c>
      <c r="M420" s="191" t="s">
        <v>678</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749</v>
      </c>
      <c r="L421" s="191" t="s">
        <v>1128</v>
      </c>
      <c r="M421" s="191" t="s">
        <v>1175</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1130</v>
      </c>
      <c r="M422" s="191" t="s">
        <v>1131</v>
      </c>
      <c r="N422" s="369">
        <f>LOOKUP($C$418, T_NCAP_AF!$C$185:$C$195, T_NCAP_AF!D$185:D$195)*(1+N375)</f>
        <v>22.84</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1065</v>
      </c>
      <c r="M423" s="191" t="s">
        <v>748</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1065</v>
      </c>
      <c r="M424" s="191" t="s">
        <v>748</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1065</v>
      </c>
      <c r="M425" s="191" t="s">
        <v>748</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1065</v>
      </c>
      <c r="M426" s="191" t="s">
        <v>748</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1065</v>
      </c>
      <c r="M427" s="191" t="s">
        <v>748</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1065</v>
      </c>
      <c r="M428" s="191" t="s">
        <v>748</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1065</v>
      </c>
      <c r="M429" s="198" t="s">
        <v>748</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857</v>
      </c>
      <c r="E430" s="180" t="s">
        <v>1039</v>
      </c>
      <c r="F430" s="182"/>
      <c r="G430" s="181"/>
      <c r="H430" s="182"/>
      <c r="I430" s="183"/>
      <c r="J430" s="184"/>
      <c r="K430" s="184"/>
      <c r="L430" s="203" t="s">
        <v>1107</v>
      </c>
      <c r="M430" s="184" t="s">
        <v>1125</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994</v>
      </c>
      <c r="F431" s="170"/>
      <c r="G431" s="188"/>
      <c r="H431" s="170"/>
      <c r="I431" s="190"/>
      <c r="J431" s="191" t="s">
        <v>1223</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649</v>
      </c>
      <c r="H432" s="170"/>
      <c r="I432" s="190"/>
      <c r="J432" s="191"/>
      <c r="K432" s="191"/>
      <c r="L432" s="191" t="s">
        <v>1126</v>
      </c>
      <c r="M432" s="191" t="s">
        <v>678</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652</v>
      </c>
      <c r="H433" s="170"/>
      <c r="I433" s="190"/>
      <c r="J433" s="191"/>
      <c r="K433" s="191"/>
      <c r="L433" s="191" t="s">
        <v>1126</v>
      </c>
      <c r="M433" s="191" t="s">
        <v>678</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749</v>
      </c>
      <c r="L434" s="191" t="s">
        <v>1128</v>
      </c>
      <c r="M434" s="191" t="s">
        <v>1175</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1130</v>
      </c>
      <c r="M435" s="191" t="s">
        <v>1131</v>
      </c>
      <c r="N435" s="369">
        <f>LOOKUP($C$430, T_NCAP_AF!$C$185:$C$195, T_NCAP_AF!D$185:D$195)*(1+N375)</f>
        <v>22.84</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1065</v>
      </c>
      <c r="M436" s="191" t="s">
        <v>748</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1065</v>
      </c>
      <c r="M437" s="191" t="s">
        <v>748</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1065</v>
      </c>
      <c r="M438" s="191" t="s">
        <v>748</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1065</v>
      </c>
      <c r="M439" s="191" t="s">
        <v>748</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1065</v>
      </c>
      <c r="M440" s="191" t="s">
        <v>748</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1065</v>
      </c>
      <c r="M441" s="191" t="s">
        <v>748</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1065</v>
      </c>
      <c r="M442" s="198" t="s">
        <v>748</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859</v>
      </c>
      <c r="E443" s="407" t="s">
        <v>1014</v>
      </c>
      <c r="F443" s="182"/>
      <c r="G443" s="181"/>
      <c r="H443" s="182"/>
      <c r="I443" s="183"/>
      <c r="J443" s="184"/>
      <c r="K443" s="184"/>
      <c r="L443" s="203" t="s">
        <v>1107</v>
      </c>
      <c r="M443" s="184" t="s">
        <v>1125</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1012</v>
      </c>
      <c r="F444" s="170"/>
      <c r="G444" s="189"/>
      <c r="H444" s="170"/>
      <c r="I444" s="190"/>
      <c r="J444" s="191" t="s">
        <v>1157</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649</v>
      </c>
      <c r="H445" s="170"/>
      <c r="I445" s="190"/>
      <c r="J445" s="191"/>
      <c r="K445" s="191"/>
      <c r="L445" s="191" t="s">
        <v>1126</v>
      </c>
      <c r="M445" s="191" t="s">
        <v>678</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652</v>
      </c>
      <c r="H446" s="170"/>
      <c r="I446" s="190"/>
      <c r="J446" s="191"/>
      <c r="K446" s="191"/>
      <c r="L446" s="191" t="s">
        <v>1126</v>
      </c>
      <c r="M446" s="191" t="s">
        <v>678</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749</v>
      </c>
      <c r="L447" s="191" t="s">
        <v>1128</v>
      </c>
      <c r="M447" s="191" t="s">
        <v>1175</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1130</v>
      </c>
      <c r="M448" s="191" t="s">
        <v>1131</v>
      </c>
      <c r="N448" s="369">
        <f>LOOKUP($C$443, T_NCAP_AF!$C$185:$C$195, T_NCAP_AF!D$185:D$195)*(1+N375)</f>
        <v>22.84</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1065</v>
      </c>
      <c r="M449" s="191" t="s">
        <v>748</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1065</v>
      </c>
      <c r="M450" s="191" t="s">
        <v>748</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1065</v>
      </c>
      <c r="M451" s="191" t="s">
        <v>748</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1065</v>
      </c>
      <c r="M452" s="191" t="s">
        <v>748</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1065</v>
      </c>
      <c r="M453" s="191" t="s">
        <v>748</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1065</v>
      </c>
      <c r="M454" s="191" t="s">
        <v>748</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1065</v>
      </c>
      <c r="M455" s="198" t="s">
        <v>748</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861</v>
      </c>
      <c r="E456" s="180" t="s">
        <v>185</v>
      </c>
      <c r="F456" s="182"/>
      <c r="G456" s="181"/>
      <c r="H456" s="182"/>
      <c r="I456" s="183"/>
      <c r="J456" s="184"/>
      <c r="K456" s="184"/>
      <c r="L456" s="203" t="s">
        <v>1107</v>
      </c>
      <c r="M456" s="184" t="s">
        <v>1125</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988</v>
      </c>
      <c r="F457" s="170"/>
      <c r="G457" s="189"/>
      <c r="H457" s="170"/>
      <c r="I457" s="190"/>
      <c r="J457" s="191" t="s">
        <v>1223</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649</v>
      </c>
      <c r="H458" s="170"/>
      <c r="I458" s="190"/>
      <c r="J458" s="191"/>
      <c r="K458" s="191"/>
      <c r="L458" s="191" t="s">
        <v>1126</v>
      </c>
      <c r="M458" s="191" t="s">
        <v>678</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652</v>
      </c>
      <c r="H459" s="170"/>
      <c r="I459" s="190"/>
      <c r="J459" s="191"/>
      <c r="K459" s="191"/>
      <c r="L459" s="191" t="s">
        <v>1126</v>
      </c>
      <c r="M459" s="191" t="s">
        <v>678</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749</v>
      </c>
      <c r="L460" s="191" t="s">
        <v>1128</v>
      </c>
      <c r="M460" s="191" t="s">
        <v>1175</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1130</v>
      </c>
      <c r="M461" s="191" t="s">
        <v>1131</v>
      </c>
      <c r="N461" s="369">
        <f>LOOKUP($C$456, T_NCAP_AF!$C$185:$C$195, T_NCAP_AF!D$185:D$195)*(1+N375)</f>
        <v>22.84</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1065</v>
      </c>
      <c r="M462" s="191" t="s">
        <v>748</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1065</v>
      </c>
      <c r="M463" s="191" t="s">
        <v>748</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1065</v>
      </c>
      <c r="M464" s="191" t="s">
        <v>748</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1065</v>
      </c>
      <c r="M465" s="191" t="s">
        <v>748</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1065</v>
      </c>
      <c r="M466" s="191" t="s">
        <v>748</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1065</v>
      </c>
      <c r="M467" s="191" t="s">
        <v>748</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1065</v>
      </c>
      <c r="M468" s="198" t="s">
        <v>748</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863</v>
      </c>
      <c r="E469" s="407" t="s">
        <v>1014</v>
      </c>
      <c r="F469" s="182"/>
      <c r="G469" s="181"/>
      <c r="H469" s="182"/>
      <c r="I469" s="183"/>
      <c r="J469" s="184"/>
      <c r="K469" s="184"/>
      <c r="L469" s="203" t="s">
        <v>1107</v>
      </c>
      <c r="M469" s="184" t="s">
        <v>1125</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1012</v>
      </c>
      <c r="F470" s="182"/>
      <c r="G470" s="181"/>
      <c r="H470" s="182"/>
      <c r="I470" s="183"/>
      <c r="J470" s="184" t="s">
        <v>1157</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649</v>
      </c>
      <c r="H471" s="182"/>
      <c r="I471" s="183"/>
      <c r="J471" s="184"/>
      <c r="K471" s="184"/>
      <c r="L471" s="184" t="s">
        <v>1126</v>
      </c>
      <c r="M471" s="184" t="s">
        <v>678</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652</v>
      </c>
      <c r="H472" s="182"/>
      <c r="I472" s="183"/>
      <c r="J472" s="184"/>
      <c r="K472" s="184"/>
      <c r="L472" s="184" t="s">
        <v>1126</v>
      </c>
      <c r="M472" s="184" t="s">
        <v>678</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749</v>
      </c>
      <c r="L473" s="184" t="s">
        <v>1128</v>
      </c>
      <c r="M473" s="184" t="s">
        <v>1175</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1130</v>
      </c>
      <c r="M474" s="184" t="s">
        <v>1131</v>
      </c>
      <c r="N474" s="369">
        <f>LOOKUP($C$469, T_NCAP_AF!$C$185:$C$195, T_NCAP_AF!D$185:D$195)*(1+N375)</f>
        <v>22.84</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1065</v>
      </c>
      <c r="M475" s="184" t="s">
        <v>748</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1065</v>
      </c>
      <c r="M476" s="184" t="s">
        <v>748</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1065</v>
      </c>
      <c r="M477" s="184" t="s">
        <v>748</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1065</v>
      </c>
      <c r="M478" s="184" t="s">
        <v>748</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1065</v>
      </c>
      <c r="M479" s="184" t="s">
        <v>748</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1065</v>
      </c>
      <c r="M480" s="184" t="s">
        <v>748</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1065</v>
      </c>
      <c r="M481" s="209" t="s">
        <v>748</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865</v>
      </c>
      <c r="E482" s="180" t="s">
        <v>1033</v>
      </c>
      <c r="F482" s="182"/>
      <c r="G482" s="181"/>
      <c r="H482" s="182"/>
      <c r="I482" s="183"/>
      <c r="J482" s="184"/>
      <c r="K482" s="184"/>
      <c r="L482" s="203" t="s">
        <v>1107</v>
      </c>
      <c r="M482" s="184" t="s">
        <v>1125</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649</v>
      </c>
      <c r="H483" s="170"/>
      <c r="I483" s="190"/>
      <c r="J483" s="191"/>
      <c r="K483" s="191"/>
      <c r="L483" s="191" t="s">
        <v>1126</v>
      </c>
      <c r="M483" s="191" t="s">
        <v>678</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652</v>
      </c>
      <c r="H484" s="170"/>
      <c r="I484" s="190"/>
      <c r="J484" s="191"/>
      <c r="K484" s="191"/>
      <c r="L484" s="191" t="s">
        <v>1126</v>
      </c>
      <c r="M484" s="191" t="s">
        <v>678</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749</v>
      </c>
      <c r="L485" s="191" t="s">
        <v>1128</v>
      </c>
      <c r="M485" s="191" t="s">
        <v>1175</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1130</v>
      </c>
      <c r="M486" s="191" t="s">
        <v>1131</v>
      </c>
      <c r="N486" s="369">
        <f>LOOKUP($C$482, T_NCAP_AF!$C$185:$C$195, T_NCAP_AF!D$185:D$195)*(1+N375)</f>
        <v>22.84</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1065</v>
      </c>
      <c r="M487" s="191" t="s">
        <v>748</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1065</v>
      </c>
      <c r="M488" s="191" t="s">
        <v>748</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1065</v>
      </c>
      <c r="M489" s="191" t="s">
        <v>748</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1065</v>
      </c>
      <c r="M490" s="191" t="s">
        <v>748</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1065</v>
      </c>
      <c r="M491" s="191" t="s">
        <v>748</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1065</v>
      </c>
      <c r="M492" s="191" t="s">
        <v>748</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1065</v>
      </c>
      <c r="M493" s="198" t="s">
        <v>748</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867</v>
      </c>
      <c r="E494" s="180" t="s">
        <v>185</v>
      </c>
      <c r="F494" s="182"/>
      <c r="G494" s="181"/>
      <c r="H494" s="182"/>
      <c r="I494" s="183"/>
      <c r="J494" s="184"/>
      <c r="K494" s="184"/>
      <c r="L494" s="203" t="s">
        <v>1107</v>
      </c>
      <c r="M494" s="184" t="s">
        <v>1125</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988</v>
      </c>
      <c r="F495" s="182"/>
      <c r="G495" s="181"/>
      <c r="H495" s="182"/>
      <c r="I495" s="183"/>
      <c r="J495" s="184" t="s">
        <v>1223</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649</v>
      </c>
      <c r="H496" s="182"/>
      <c r="I496" s="183"/>
      <c r="J496" s="184"/>
      <c r="K496" s="184"/>
      <c r="L496" s="184" t="s">
        <v>1126</v>
      </c>
      <c r="M496" s="184" t="s">
        <v>678</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652</v>
      </c>
      <c r="H497" s="182"/>
      <c r="I497" s="183"/>
      <c r="J497" s="184"/>
      <c r="K497" s="184"/>
      <c r="L497" s="184" t="s">
        <v>1126</v>
      </c>
      <c r="M497" s="184" t="s">
        <v>678</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749</v>
      </c>
      <c r="L498" s="184" t="s">
        <v>1128</v>
      </c>
      <c r="M498" s="184" t="s">
        <v>1175</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1130</v>
      </c>
      <c r="M499" s="184" t="s">
        <v>1131</v>
      </c>
      <c r="N499" s="369">
        <f>LOOKUP($C$494, T_NCAP_AF!$C$185:$C$195, T_NCAP_AF!D$185:D$195)*(1+N375)</f>
        <v>22.84</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1065</v>
      </c>
      <c r="M500" s="184" t="s">
        <v>748</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1065</v>
      </c>
      <c r="M501" s="184" t="s">
        <v>748</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1065</v>
      </c>
      <c r="M502" s="184" t="s">
        <v>748</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1065</v>
      </c>
      <c r="M503" s="184" t="s">
        <v>748</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1065</v>
      </c>
      <c r="M504" s="184" t="s">
        <v>748</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1065</v>
      </c>
      <c r="M505" s="184" t="s">
        <v>748</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1065</v>
      </c>
      <c r="M506" s="209" t="s">
        <v>748</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869</v>
      </c>
      <c r="E507" s="407" t="s">
        <v>1014</v>
      </c>
      <c r="F507" s="182"/>
      <c r="G507" s="181"/>
      <c r="H507" s="182"/>
      <c r="I507" s="183"/>
      <c r="J507" s="184"/>
      <c r="K507" s="184"/>
      <c r="L507" s="203" t="s">
        <v>1107</v>
      </c>
      <c r="M507" s="184" t="s">
        <v>1125</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1012</v>
      </c>
      <c r="F508" s="182"/>
      <c r="G508" s="181"/>
      <c r="H508" s="182"/>
      <c r="I508" s="183"/>
      <c r="J508" s="184" t="s">
        <v>1157</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649</v>
      </c>
      <c r="H509" s="182"/>
      <c r="I509" s="183"/>
      <c r="J509" s="184"/>
      <c r="K509" s="184"/>
      <c r="L509" s="184" t="s">
        <v>1126</v>
      </c>
      <c r="M509" s="184" t="s">
        <v>678</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652</v>
      </c>
      <c r="H510" s="182"/>
      <c r="I510" s="183"/>
      <c r="J510" s="184"/>
      <c r="K510" s="184"/>
      <c r="L510" s="184" t="s">
        <v>1126</v>
      </c>
      <c r="M510" s="184" t="s">
        <v>678</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749</v>
      </c>
      <c r="L511" s="184" t="s">
        <v>1128</v>
      </c>
      <c r="M511" s="184" t="s">
        <v>1175</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1130</v>
      </c>
      <c r="M512" s="184" t="s">
        <v>1131</v>
      </c>
      <c r="N512" s="369">
        <f>LOOKUP($C$507, T_NCAP_AF!$C$185:$C$195, T_NCAP_AF!D$185:D$195)*(1+N375)</f>
        <v>22.84</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1065</v>
      </c>
      <c r="M513" s="184" t="s">
        <v>748</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1065</v>
      </c>
      <c r="M514" s="184" t="s">
        <v>748</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1065</v>
      </c>
      <c r="M515" s="184" t="s">
        <v>748</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1065</v>
      </c>
      <c r="M516" s="184" t="s">
        <v>748</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1065</v>
      </c>
      <c r="M517" s="184" t="s">
        <v>748</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1065</v>
      </c>
      <c r="M518" s="184" t="s">
        <v>748</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1065</v>
      </c>
      <c r="M519" s="209" t="s">
        <v>748</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topLeftCell="L2"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1111</v>
      </c>
      <c r="M1" s="35"/>
      <c r="N1" s="35"/>
      <c r="O1" s="35"/>
      <c r="P1" s="35"/>
      <c r="Q1" s="35"/>
      <c r="R1" s="35"/>
      <c r="S1" s="35"/>
      <c r="T1" s="35"/>
      <c r="U1" s="35"/>
      <c r="V1" s="35"/>
      <c r="W1" s="35"/>
      <c r="X1" s="35"/>
      <c r="Y1" s="35"/>
      <c r="Z1" s="35"/>
      <c r="AA1" s="35"/>
    </row>
    <row r="2" spans="1:64" s="35" customFormat="1" ht="19.5" customHeight="1" x14ac:dyDescent="0.3">
      <c r="A2" s="22"/>
      <c r="B2" s="148" t="s">
        <v>1226</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1112</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1052</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988</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1051</v>
      </c>
      <c r="L7" s="40"/>
      <c r="Q7" s="41"/>
      <c r="AE7" s="38">
        <f>AE6+5</f>
        <v>2030</v>
      </c>
      <c r="AF7" s="67">
        <v>0.8</v>
      </c>
      <c r="AG7" s="67">
        <f t="shared" si="3"/>
        <v>0.8</v>
      </c>
      <c r="AH7" s="439"/>
      <c r="AI7" s="439"/>
      <c r="AJ7" s="439"/>
      <c r="AK7" s="439"/>
      <c r="AL7" s="439"/>
      <c r="AM7" s="439"/>
      <c r="AN7" s="439"/>
      <c r="AO7" s="35"/>
      <c r="AP7" s="35"/>
      <c r="AQ7" s="35"/>
      <c r="AR7" s="35"/>
      <c r="AS7" s="35"/>
      <c r="AV7" s="725" t="s">
        <v>994</v>
      </c>
      <c r="AW7" s="730">
        <f t="shared" si="5"/>
        <v>0</v>
      </c>
      <c r="AX7" s="723"/>
      <c r="AY7" s="723"/>
      <c r="AZ7" s="723"/>
      <c r="BA7" s="723"/>
      <c r="BB7" s="723"/>
      <c r="BC7" s="723"/>
      <c r="BD7" s="723"/>
      <c r="BE7" s="723"/>
      <c r="BF7" s="723"/>
      <c r="BG7" s="723"/>
      <c r="BH7" s="723"/>
      <c r="BI7" s="723"/>
      <c r="BJ7" s="723"/>
      <c r="BK7" s="723"/>
      <c r="BL7" s="723"/>
    </row>
    <row r="8" spans="1:64" x14ac:dyDescent="0.3">
      <c r="G8" s="35"/>
      <c r="H8" s="42" t="s">
        <v>980</v>
      </c>
      <c r="I8" s="42" t="s">
        <v>1113</v>
      </c>
      <c r="J8" s="42" t="s">
        <v>1114</v>
      </c>
      <c r="K8" s="42" t="s">
        <v>1057</v>
      </c>
      <c r="L8" s="43" t="s">
        <v>1058</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998</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1115</v>
      </c>
      <c r="I9" s="171" t="s">
        <v>1116</v>
      </c>
      <c r="J9" s="171" t="s">
        <v>1117</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1000</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1118</v>
      </c>
      <c r="L10" s="191" t="s">
        <v>583</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587</v>
      </c>
      <c r="I11" s="173" t="str">
        <f>LOOKUP(H11,TRA_Comm!$C$29:$C$90,TRA_Comm!$D$29:$D$90)</f>
        <v>Aviation.Domestic.City.</v>
      </c>
      <c r="J11" s="173"/>
      <c r="K11" s="173" t="s">
        <v>1118</v>
      </c>
      <c r="L11" s="191" t="s">
        <v>583</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683</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523</v>
      </c>
      <c r="I12" s="173" t="str">
        <f>LOOKUP(H12,TRA_Comm!$C$29:$C$90,TRA_Comm!$D$29:$D$90)</f>
        <v>Aviation.International.</v>
      </c>
      <c r="J12" s="173"/>
      <c r="K12" s="173" t="s">
        <v>1118</v>
      </c>
      <c r="L12" s="191" t="s">
        <v>583</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1010</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584</v>
      </c>
      <c r="I13" s="173" t="str">
        <f>LOOKUP(H13,TRA_Comm!$C$29:$C$90,TRA_Comm!$D$29:$D$90)</f>
        <v>Aviation.International.City.</v>
      </c>
      <c r="J13" s="173"/>
      <c r="K13" s="173" t="s">
        <v>1118</v>
      </c>
      <c r="L13" s="191" t="s">
        <v>583</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1012</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1059</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1014</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1227</v>
      </c>
      <c r="L15" s="43" t="s">
        <v>1119</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1016</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523</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1023</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681</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1029</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1031</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1228</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1033</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1035</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1053</v>
      </c>
      <c r="C23" s="26" t="s">
        <v>104</v>
      </c>
      <c r="D23" s="26" t="s">
        <v>1054</v>
      </c>
      <c r="E23" s="26" t="s">
        <v>673</v>
      </c>
      <c r="F23" s="26" t="s">
        <v>674</v>
      </c>
      <c r="G23" s="26" t="s">
        <v>1055</v>
      </c>
      <c r="H23" s="53" t="s">
        <v>1056</v>
      </c>
      <c r="I23" s="26" t="s">
        <v>982</v>
      </c>
      <c r="J23" s="42" t="s">
        <v>1123</v>
      </c>
      <c r="K23" s="26" t="s">
        <v>1057</v>
      </c>
      <c r="L23" s="26" t="s">
        <v>1058</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1039</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1062</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1124</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751</v>
      </c>
      <c r="E25" s="407" t="s">
        <v>1089</v>
      </c>
      <c r="F25" s="181"/>
      <c r="G25" s="182"/>
      <c r="H25" s="183"/>
      <c r="I25" s="184"/>
      <c r="J25" s="184"/>
      <c r="K25" s="185" t="s">
        <v>1107</v>
      </c>
      <c r="L25" s="191" t="s">
        <v>1156</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1052</v>
      </c>
    </row>
    <row r="26" spans="1:64" s="22" customFormat="1" x14ac:dyDescent="0.3">
      <c r="A26" s="82"/>
      <c r="B26" s="178" t="str">
        <f>B25</f>
        <v>TAV100</v>
      </c>
      <c r="C26" s="178"/>
      <c r="D26" s="179"/>
      <c r="E26" s="407"/>
      <c r="F26" s="540" t="s">
        <v>82</v>
      </c>
      <c r="G26" s="182"/>
      <c r="H26" s="183"/>
      <c r="I26" s="184"/>
      <c r="J26" s="184"/>
      <c r="K26" s="186" t="s">
        <v>1126</v>
      </c>
      <c r="L26" s="186" t="s">
        <v>678</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587</v>
      </c>
      <c r="G27" s="170"/>
      <c r="H27" s="190"/>
      <c r="I27" s="191"/>
      <c r="J27" s="191"/>
      <c r="K27" s="186" t="s">
        <v>1126</v>
      </c>
      <c r="L27" s="186" t="s">
        <v>678</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749</v>
      </c>
      <c r="K28" s="186" t="s">
        <v>1128</v>
      </c>
      <c r="L28" s="191" t="s">
        <v>1229</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1130</v>
      </c>
      <c r="L29" s="186" t="s">
        <v>1131</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1132</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1065</v>
      </c>
      <c r="L30" s="217" t="s">
        <v>748</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1065</v>
      </c>
      <c r="L31" s="217" t="s">
        <v>748</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1065</v>
      </c>
      <c r="L32" s="217" t="s">
        <v>748</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1065</v>
      </c>
      <c r="L33" s="217" t="s">
        <v>748</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1065</v>
      </c>
      <c r="L34" s="217" t="s">
        <v>748</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1065</v>
      </c>
      <c r="L35" s="217" t="s">
        <v>748</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1065</v>
      </c>
      <c r="L36" s="437" t="s">
        <v>748</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1230</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1053</v>
      </c>
      <c r="C43" s="26" t="s">
        <v>104</v>
      </c>
      <c r="D43" s="26" t="s">
        <v>1054</v>
      </c>
      <c r="E43" s="26" t="s">
        <v>673</v>
      </c>
      <c r="F43" s="26" t="s">
        <v>674</v>
      </c>
      <c r="G43" s="26" t="s">
        <v>1055</v>
      </c>
      <c r="H43" s="53" t="s">
        <v>1056</v>
      </c>
      <c r="I43" s="26" t="s">
        <v>982</v>
      </c>
      <c r="J43" s="42" t="s">
        <v>1123</v>
      </c>
      <c r="K43" s="26" t="s">
        <v>1057</v>
      </c>
      <c r="L43" s="26" t="s">
        <v>1058</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1062</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1124</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1231</v>
      </c>
      <c r="E45" s="407" t="s">
        <v>1089</v>
      </c>
      <c r="F45" s="181"/>
      <c r="G45" s="182"/>
      <c r="H45" s="183"/>
      <c r="I45" s="184"/>
      <c r="J45" s="184"/>
      <c r="K45" s="185" t="s">
        <v>1107</v>
      </c>
      <c r="L45" s="191" t="s">
        <v>1156</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1052</v>
      </c>
    </row>
    <row r="46" spans="1:64" s="22" customFormat="1" x14ac:dyDescent="0.3">
      <c r="B46" s="186" t="str">
        <f>B45</f>
        <v>TAI100</v>
      </c>
      <c r="C46" s="186"/>
      <c r="D46" s="187"/>
      <c r="E46" s="258"/>
      <c r="F46" s="181" t="s">
        <v>523</v>
      </c>
      <c r="G46" s="170"/>
      <c r="H46" s="190"/>
      <c r="I46" s="191"/>
      <c r="J46" s="191"/>
      <c r="K46" s="186" t="s">
        <v>1126</v>
      </c>
      <c r="L46" s="186" t="s">
        <v>678</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584</v>
      </c>
      <c r="G47" s="170"/>
      <c r="H47" s="190"/>
      <c r="I47" s="191"/>
      <c r="J47" s="191"/>
      <c r="K47" s="186" t="s">
        <v>1126</v>
      </c>
      <c r="L47" s="186" t="s">
        <v>678</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749</v>
      </c>
      <c r="K48" s="186" t="s">
        <v>1128</v>
      </c>
      <c r="L48" s="191" t="s">
        <v>1229</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1130</v>
      </c>
      <c r="L49" s="186" t="s">
        <v>1131</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1132</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1065</v>
      </c>
      <c r="L50" s="217" t="s">
        <v>748</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1065</v>
      </c>
      <c r="L51" s="217" t="s">
        <v>748</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1065</v>
      </c>
      <c r="L52" s="217" t="s">
        <v>748</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1065</v>
      </c>
      <c r="L53" s="217" t="s">
        <v>748</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1065</v>
      </c>
      <c r="L54" s="217" t="s">
        <v>748</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1065</v>
      </c>
      <c r="L55" s="217" t="s">
        <v>748</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1065</v>
      </c>
      <c r="L56" s="437" t="s">
        <v>748</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topLeftCell="M3"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1111</v>
      </c>
      <c r="M1" s="119"/>
      <c r="N1" s="119"/>
      <c r="O1" s="119"/>
      <c r="P1" s="119"/>
      <c r="Q1" s="35"/>
      <c r="R1" s="35"/>
      <c r="S1" s="35"/>
      <c r="T1" s="35"/>
      <c r="U1" s="35"/>
      <c r="V1" s="35"/>
      <c r="W1" s="35"/>
      <c r="X1" s="35"/>
      <c r="Y1" s="35"/>
      <c r="Z1" s="35"/>
      <c r="AA1" s="35"/>
    </row>
    <row r="2" spans="1:49" s="35" customFormat="1" ht="19.5" customHeight="1" x14ac:dyDescent="0.3">
      <c r="A2" s="22"/>
      <c r="B2" s="148" t="s">
        <v>1232</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1112</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1051</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980</v>
      </c>
      <c r="I8" s="42" t="s">
        <v>1113</v>
      </c>
      <c r="J8" s="42" t="s">
        <v>1114</v>
      </c>
      <c r="K8" s="42" t="s">
        <v>1057</v>
      </c>
      <c r="L8" s="43" t="s">
        <v>1058</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1115</v>
      </c>
      <c r="I9" s="171" t="s">
        <v>1116</v>
      </c>
      <c r="J9" s="171" t="s">
        <v>1117</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657</v>
      </c>
      <c r="I10" s="173" t="str">
        <f>LOOKUP(H10,TRA_Comm!$C$29:$C$90,TRA_Comm!$D$29:$D$90)</f>
        <v>Other.Vehicles.</v>
      </c>
      <c r="J10" s="173"/>
      <c r="K10" s="173" t="s">
        <v>1118</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659</v>
      </c>
      <c r="I11" s="173" t="str">
        <f>LOOKUP(H11,TRA_Comm!$C$29:$C$90,TRA_Comm!$D$29:$D$90)</f>
        <v>Other.Vehicles.City.</v>
      </c>
      <c r="J11" s="173"/>
      <c r="K11" s="173" t="s">
        <v>1118</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1233</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1234</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1235</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1053</v>
      </c>
      <c r="C19" s="26" t="s">
        <v>104</v>
      </c>
      <c r="D19" s="26" t="s">
        <v>1054</v>
      </c>
      <c r="E19" s="26" t="s">
        <v>673</v>
      </c>
      <c r="F19" s="26" t="s">
        <v>674</v>
      </c>
      <c r="G19" s="26" t="s">
        <v>1055</v>
      </c>
      <c r="H19" s="53" t="s">
        <v>1056</v>
      </c>
      <c r="I19" s="26" t="s">
        <v>982</v>
      </c>
      <c r="J19" s="42" t="s">
        <v>1123</v>
      </c>
      <c r="K19" s="26" t="s">
        <v>1057</v>
      </c>
      <c r="L19" s="26" t="s">
        <v>1058</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1062</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884</v>
      </c>
      <c r="E21" s="258" t="s">
        <v>185</v>
      </c>
      <c r="F21" s="213"/>
      <c r="G21" s="170"/>
      <c r="H21" s="190"/>
      <c r="I21" s="191"/>
      <c r="J21" s="191"/>
      <c r="K21" s="192" t="s">
        <v>1137</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988</v>
      </c>
      <c r="F22" s="213"/>
      <c r="G22" s="170"/>
      <c r="H22" s="190"/>
      <c r="I22" s="191"/>
      <c r="J22" s="191"/>
      <c r="K22" s="192" t="s">
        <v>1137</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1014</v>
      </c>
      <c r="F23" s="213"/>
      <c r="G23" s="170"/>
      <c r="H23" s="190"/>
      <c r="I23" s="191"/>
      <c r="J23" s="191"/>
      <c r="K23" s="192" t="s">
        <v>1137</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657</v>
      </c>
      <c r="G24" s="196"/>
      <c r="H24" s="197"/>
      <c r="I24" s="198"/>
      <c r="J24" s="198"/>
      <c r="K24" s="193" t="s">
        <v>1138</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1235</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1053</v>
      </c>
      <c r="C30" s="26" t="s">
        <v>104</v>
      </c>
      <c r="D30" s="26" t="s">
        <v>1054</v>
      </c>
      <c r="E30" s="26" t="s">
        <v>673</v>
      </c>
      <c r="F30" s="26" t="s">
        <v>674</v>
      </c>
      <c r="G30" s="26" t="s">
        <v>1055</v>
      </c>
      <c r="H30" s="53" t="s">
        <v>1056</v>
      </c>
      <c r="I30" s="26" t="s">
        <v>982</v>
      </c>
      <c r="J30" s="42" t="s">
        <v>1123</v>
      </c>
      <c r="K30" s="26" t="s">
        <v>1057</v>
      </c>
      <c r="L30" s="26" t="s">
        <v>1058</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1062</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885</v>
      </c>
      <c r="D32" s="609" t="s">
        <v>1236</v>
      </c>
      <c r="E32" s="258" t="s">
        <v>185</v>
      </c>
      <c r="F32" s="213"/>
      <c r="G32" s="170"/>
      <c r="H32" s="190"/>
      <c r="I32" s="191"/>
      <c r="J32" s="191"/>
      <c r="K32" s="192" t="s">
        <v>1137</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988</v>
      </c>
      <c r="F33" s="213"/>
      <c r="G33" s="170"/>
      <c r="H33" s="190"/>
      <c r="I33" s="191"/>
      <c r="J33" s="191"/>
      <c r="K33" s="192" t="s">
        <v>1137</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1014</v>
      </c>
      <c r="F34" s="213"/>
      <c r="G34" s="170"/>
      <c r="H34" s="190"/>
      <c r="I34" s="191"/>
      <c r="J34" s="191"/>
      <c r="K34" s="192" t="s">
        <v>1137</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659</v>
      </c>
      <c r="G35" s="196"/>
      <c r="H35" s="197"/>
      <c r="I35" s="198"/>
      <c r="J35" s="198"/>
      <c r="K35" s="193" t="s">
        <v>1138</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2022-11-30T14:52:09Z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