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671A87-126B-4535-8860-01ADE0D7B5D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1" i="1" l="1"/>
  <c r="P50" i="1"/>
  <c r="P49" i="1"/>
  <c r="P48" i="1"/>
  <c r="P46" i="1"/>
  <c r="P45" i="1"/>
  <c r="P47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<sst xmlns="http://schemas.openxmlformats.org/spreadsheetml/2006/main" count="118" uniqueCount="79">
  <si>
    <t>Data</t>
  </si>
  <si>
    <t>Match</t>
  </si>
  <si>
    <t>Risultato</t>
  </si>
  <si>
    <t>Goal</t>
  </si>
  <si>
    <t>Expected Goals</t>
  </si>
  <si>
    <t>Goal subiti</t>
  </si>
  <si>
    <t>Expected goals subiti</t>
  </si>
  <si>
    <t>Tiri eseguiti</t>
  </si>
  <si>
    <t>Tiri subiti</t>
  </si>
  <si>
    <t>Contrasti (Juve)</t>
  </si>
  <si>
    <t>Falli (Juve)</t>
  </si>
  <si>
    <t>Passaggi</t>
  </si>
  <si>
    <t>Passaggi riusciti</t>
  </si>
  <si>
    <t>Possesso</t>
  </si>
  <si>
    <t>Chievo-Juventus</t>
  </si>
  <si>
    <t>2 3</t>
  </si>
  <si>
    <t>Juventus-Lazio</t>
  </si>
  <si>
    <t>Parma-Juventus</t>
  </si>
  <si>
    <t>2 0</t>
  </si>
  <si>
    <t>1 2</t>
  </si>
  <si>
    <t>Juventus-Sassuolo</t>
  </si>
  <si>
    <t>2 1</t>
  </si>
  <si>
    <t>0 2</t>
  </si>
  <si>
    <t>Frosinone-Juventus</t>
  </si>
  <si>
    <t>Juventus-Bologna</t>
  </si>
  <si>
    <t>Juventus-Napoli</t>
  </si>
  <si>
    <t>3 1</t>
  </si>
  <si>
    <t>Juventus-Young Boys</t>
  </si>
  <si>
    <t>3 0</t>
  </si>
  <si>
    <t>Udinese-Juventus</t>
  </si>
  <si>
    <t>Juventus-Genoa</t>
  </si>
  <si>
    <t>1 1</t>
  </si>
  <si>
    <t>Manchester United-Juventus</t>
  </si>
  <si>
    <t>0 1</t>
  </si>
  <si>
    <t>Empoli-Juventus</t>
  </si>
  <si>
    <t>Juventus-Cagliari</t>
  </si>
  <si>
    <t>Juventus-Manchester United</t>
  </si>
  <si>
    <t>Milan-Juventus</t>
  </si>
  <si>
    <t>Juventus-SPAL</t>
  </si>
  <si>
    <t>Juventus-Valencia</t>
  </si>
  <si>
    <t>1 0</t>
  </si>
  <si>
    <t>Fiorentina-Juventus</t>
  </si>
  <si>
    <t>0 3</t>
  </si>
  <si>
    <t>Juventus-Inter</t>
  </si>
  <si>
    <t>Young Boys-Juventus</t>
  </si>
  <si>
    <t>Torino-Juventus</t>
  </si>
  <si>
    <t>Juventus-Roma</t>
  </si>
  <si>
    <t>Atalanta-Juventus</t>
  </si>
  <si>
    <t>2 2</t>
  </si>
  <si>
    <t>Juventus-Sampdoria</t>
  </si>
  <si>
    <t>Bologna-Juventus</t>
  </si>
  <si>
    <t>Juventus-Milan</t>
  </si>
  <si>
    <t>Juventus-Chievo</t>
  </si>
  <si>
    <t>Lazio-Juventus</t>
  </si>
  <si>
    <t>Juventus-Parma</t>
  </si>
  <si>
    <t>3 3</t>
  </si>
  <si>
    <t>Sassuolo-Juventus</t>
  </si>
  <si>
    <t>Juventus-Frosinone</t>
  </si>
  <si>
    <t>Atletico Madrid-Juventus</t>
  </si>
  <si>
    <t xml:space="preserve">Napoli-Juventus </t>
  </si>
  <si>
    <t>4 1</t>
  </si>
  <si>
    <t>Juventus-Atletico Madrid</t>
  </si>
  <si>
    <t>Genoa-Juventus</t>
  </si>
  <si>
    <t>Juventus-Empoli</t>
  </si>
  <si>
    <t>Cagliari-Juventus</t>
  </si>
  <si>
    <t>Ajax-Juventus</t>
  </si>
  <si>
    <t>SPAL-Juventus</t>
  </si>
  <si>
    <t>Juventus-Ajax</t>
  </si>
  <si>
    <t>Juvenus-Fiorentina</t>
  </si>
  <si>
    <t>Inter-Juventus</t>
  </si>
  <si>
    <t>Juventus-Torino</t>
  </si>
  <si>
    <t>Roma-Juventus</t>
  </si>
  <si>
    <t>Juventus-Atalanta</t>
  </si>
  <si>
    <t>Sampdoria-Juventus</t>
  </si>
  <si>
    <t>Valencia-Juventus</t>
  </si>
  <si>
    <t>Juventus-Udinese</t>
  </si>
  <si>
    <t>Key-pass</t>
  </si>
  <si>
    <t>Palle intercettate</t>
  </si>
  <si>
    <t>Tackle vinti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</si>
</sst>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" fontId="0" fillId="0" borderId="0" xfId="0" applyNumberFormat="1"/>
    <xf numFmtId="9" fontId="0" fillId="0" borderId="0" xfId="0" applyNumberFormat="1"/>
    <xf numFmtId="43" fontId="0" fillId="0" borderId="0" xfId="1" applyFont="1"/>
    <xf numFmtId="14" fontId="0" fillId="2" borderId="0" xfId="0" applyNumberFormat="1" applyFill="1"/>
    <xf numFmtId="0" fontId="0" fillId="2" borderId="0" xfId="0" applyFill="1"/>
    <xf numFmtId="9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1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14" fontId="0" fillId="4" borderId="0" xfId="0" applyNumberFormat="1" applyFill="1"/>
    <xf numFmtId="0" fontId="0" fillId="4" borderId="0" xfId="0" applyFill="1"/>
    <xf numFmtId="9" fontId="0" fillId="4" borderId="0" xfId="0" applyNumberFormat="1" applyFill="1"/>
    <xf numFmtId="0" fontId="1" fillId="5" borderId="0" xfId="0" applyFont="1" applyFill="1" applyAlignment="1">
      <alignment horizontal="center"/>
    </xf>
    <xf numFmtId="43" fontId="0" fillId="4" borderId="0" xfId="1" applyFont="1" applyFill="1"/>
    <xf numFmtId="43" fontId="0" fillId="2" borderId="0" xfId="1" applyFont="1" applyFill="1"/>
    <xf numFmtId="43" fontId="0" fillId="3" borderId="0" xfId="1" applyFont="1" applyFill="1"/>
    <xf numFmtId="43" fontId="3" fillId="2" borderId="0" xfId="1" applyFont="1" applyFill="1" applyAlignment="1">
      <alignment horizontal="lef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7" bestFit="1" customWidth="1"/>
    <col min="5" max="5" width="14.5703125" bestFit="1" customWidth="1"/>
    <col min="6" max="6" width="10.42578125" bestFit="1" customWidth="1"/>
    <col min="7" max="7" width="19.85546875" bestFit="1" customWidth="1"/>
    <col min="8" max="8" width="11.42578125" bestFit="1" customWidth="1"/>
    <col min="9" max="9" width="9.28515625" bestFit="1" customWidth="1"/>
    <col min="10" max="10" width="15" bestFit="1" customWidth="1"/>
    <col min="11" max="11" width="13.5703125" bestFit="1" customWidth="1"/>
    <col min="13" max="13" width="16.5703125" bestFit="1" customWidth="1"/>
    <col min="14" max="14" width="10.5703125" bestFit="1" customWidth="1"/>
    <col min="15" max="15" width="8.42578125" bestFit="1" customWidth="1"/>
    <col min="16" max="16" width="15" bestFit="1" customWidth="1"/>
    <col min="17" max="17" width="9" bestFit="1" customWidth="1"/>
  </cols>
  <sheetData>
    <row r="1" spans="1:1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78</v>
      </c>
      <c r="L1" s="17" t="s">
        <v>76</v>
      </c>
      <c r="M1" s="17" t="s">
        <v>77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x14ac:dyDescent="0.25">
      <c r="A2" s="1">
        <v>43330</v>
      </c>
      <c r="B2" t="s">
        <v>14</v>
      </c>
      <c r="C2" s="2" t="s">
        <v>15</v>
      </c>
      <c r="D2">
        <v>3</v>
      </c>
      <c r="E2">
        <v>2.2599999999999998</v>
      </c>
      <c r="F2">
        <v>2</v>
      </c>
      <c r="G2">
        <v>1.05</v>
      </c>
      <c r="H2">
        <v>28</v>
      </c>
      <c r="I2">
        <v>6</v>
      </c>
      <c r="J2">
        <v>11</v>
      </c>
      <c r="K2" s="4">
        <v>0.36399999999999999</v>
      </c>
      <c r="L2">
        <v>21</v>
      </c>
      <c r="M2">
        <v>8</v>
      </c>
      <c r="N2">
        <v>9</v>
      </c>
      <c r="O2">
        <v>679</v>
      </c>
      <c r="P2">
        <f>679*0.9</f>
        <v>611.1</v>
      </c>
      <c r="Q2" s="3">
        <v>0.73</v>
      </c>
    </row>
    <row r="3" spans="1:17" x14ac:dyDescent="0.25">
      <c r="A3" s="1">
        <v>43337</v>
      </c>
      <c r="B3" t="s">
        <v>16</v>
      </c>
      <c r="C3" t="s">
        <v>18</v>
      </c>
      <c r="D3">
        <v>2</v>
      </c>
      <c r="E3">
        <v>1.51</v>
      </c>
      <c r="F3">
        <v>0</v>
      </c>
      <c r="G3">
        <v>0.32</v>
      </c>
      <c r="H3">
        <v>16</v>
      </c>
      <c r="I3">
        <v>9</v>
      </c>
      <c r="J3">
        <v>20</v>
      </c>
      <c r="K3" s="4">
        <v>0.55000000000000004</v>
      </c>
      <c r="L3">
        <v>13</v>
      </c>
      <c r="M3">
        <v>13</v>
      </c>
      <c r="N3">
        <v>11</v>
      </c>
      <c r="O3">
        <v>530</v>
      </c>
      <c r="P3">
        <f>O3*0.83</f>
        <v>439.9</v>
      </c>
      <c r="Q3" s="3">
        <v>0.56000000000000005</v>
      </c>
    </row>
    <row r="4" spans="1:17" x14ac:dyDescent="0.25">
      <c r="A4" s="1">
        <v>43344</v>
      </c>
      <c r="B4" t="s">
        <v>17</v>
      </c>
      <c r="C4" t="s">
        <v>19</v>
      </c>
      <c r="D4">
        <v>2</v>
      </c>
      <c r="E4">
        <v>2.1800000000000002</v>
      </c>
      <c r="F4">
        <v>1</v>
      </c>
      <c r="G4">
        <v>1.91</v>
      </c>
      <c r="H4">
        <v>24</v>
      </c>
      <c r="I4">
        <v>11</v>
      </c>
      <c r="J4">
        <v>14</v>
      </c>
      <c r="K4" s="4">
        <v>0.57099999999999995</v>
      </c>
      <c r="L4">
        <v>18</v>
      </c>
      <c r="M4">
        <v>10</v>
      </c>
      <c r="N4">
        <v>10</v>
      </c>
      <c r="O4">
        <v>591</v>
      </c>
      <c r="P4">
        <f>591*0.9</f>
        <v>531.9</v>
      </c>
      <c r="Q4" s="3">
        <v>0.66</v>
      </c>
    </row>
    <row r="5" spans="1:17" x14ac:dyDescent="0.25">
      <c r="A5" s="1">
        <v>43359</v>
      </c>
      <c r="B5" t="s">
        <v>20</v>
      </c>
      <c r="C5" t="s">
        <v>21</v>
      </c>
      <c r="D5">
        <v>2</v>
      </c>
      <c r="E5">
        <v>2.85</v>
      </c>
      <c r="F5">
        <v>1</v>
      </c>
      <c r="G5">
        <v>0.74</v>
      </c>
      <c r="H5">
        <v>18</v>
      </c>
      <c r="I5">
        <v>15</v>
      </c>
      <c r="J5">
        <v>17</v>
      </c>
      <c r="K5" s="4">
        <v>0.69199999999999995</v>
      </c>
      <c r="L5">
        <v>11</v>
      </c>
      <c r="M5">
        <v>14</v>
      </c>
      <c r="N5">
        <v>13</v>
      </c>
      <c r="O5">
        <v>397</v>
      </c>
      <c r="P5">
        <f>397*0.86</f>
        <v>341.42</v>
      </c>
      <c r="Q5" s="3">
        <v>0.42</v>
      </c>
    </row>
    <row r="6" spans="1:17" x14ac:dyDescent="0.25">
      <c r="A6" s="14">
        <v>43362</v>
      </c>
      <c r="B6" s="15" t="s">
        <v>74</v>
      </c>
      <c r="C6" s="15" t="s">
        <v>22</v>
      </c>
      <c r="D6" s="15">
        <v>2</v>
      </c>
      <c r="E6" s="15">
        <v>1.8</v>
      </c>
      <c r="F6" s="15">
        <v>0</v>
      </c>
      <c r="G6" s="15">
        <v>1.1000000000000001</v>
      </c>
      <c r="H6" s="15">
        <v>10</v>
      </c>
      <c r="I6" s="15">
        <v>26</v>
      </c>
      <c r="J6" s="15">
        <v>8</v>
      </c>
      <c r="K6" s="18">
        <v>0.5</v>
      </c>
      <c r="L6" s="15">
        <v>6</v>
      </c>
      <c r="M6" s="15">
        <v>14</v>
      </c>
      <c r="N6" s="15">
        <v>10</v>
      </c>
      <c r="O6" s="15">
        <v>425</v>
      </c>
      <c r="P6" s="15">
        <f>425*0.85</f>
        <v>361.25</v>
      </c>
      <c r="Q6" s="16">
        <v>0.45</v>
      </c>
    </row>
    <row r="7" spans="1:17" x14ac:dyDescent="0.25">
      <c r="A7" s="1">
        <v>43366</v>
      </c>
      <c r="B7" t="s">
        <v>23</v>
      </c>
      <c r="C7" t="s">
        <v>22</v>
      </c>
      <c r="D7">
        <v>2</v>
      </c>
      <c r="E7">
        <v>2.92</v>
      </c>
      <c r="F7">
        <v>0</v>
      </c>
      <c r="G7">
        <v>0.06</v>
      </c>
      <c r="H7">
        <v>29</v>
      </c>
      <c r="I7">
        <v>3</v>
      </c>
      <c r="J7">
        <v>15</v>
      </c>
      <c r="K7" s="4">
        <v>0.8</v>
      </c>
      <c r="L7">
        <v>20</v>
      </c>
      <c r="M7">
        <v>5</v>
      </c>
      <c r="N7">
        <v>9</v>
      </c>
      <c r="O7">
        <v>624</v>
      </c>
      <c r="P7">
        <f>624*0.89</f>
        <v>555.36</v>
      </c>
      <c r="Q7" s="3">
        <v>0.73</v>
      </c>
    </row>
    <row r="8" spans="1:17" x14ac:dyDescent="0.25">
      <c r="A8" s="1">
        <v>43369</v>
      </c>
      <c r="B8" t="s">
        <v>24</v>
      </c>
      <c r="C8" t="s">
        <v>18</v>
      </c>
      <c r="D8">
        <v>2</v>
      </c>
      <c r="E8">
        <v>0.85</v>
      </c>
      <c r="F8">
        <v>0</v>
      </c>
      <c r="G8">
        <v>0.33</v>
      </c>
      <c r="H8">
        <v>15</v>
      </c>
      <c r="I8">
        <v>5</v>
      </c>
      <c r="J8">
        <v>11</v>
      </c>
      <c r="K8" s="4">
        <v>0.63600000000000001</v>
      </c>
      <c r="L8">
        <v>12</v>
      </c>
      <c r="M8">
        <v>11</v>
      </c>
      <c r="N8">
        <v>12</v>
      </c>
      <c r="O8">
        <v>826</v>
      </c>
      <c r="P8">
        <f>826*0.92</f>
        <v>759.92000000000007</v>
      </c>
      <c r="Q8" s="3">
        <v>0.77</v>
      </c>
    </row>
    <row r="9" spans="1:17" x14ac:dyDescent="0.25">
      <c r="A9" s="1">
        <v>43372</v>
      </c>
      <c r="B9" t="s">
        <v>25</v>
      </c>
      <c r="C9" t="s">
        <v>26</v>
      </c>
      <c r="D9">
        <v>3</v>
      </c>
      <c r="E9">
        <v>3.05</v>
      </c>
      <c r="F9">
        <v>1</v>
      </c>
      <c r="G9">
        <v>1.42</v>
      </c>
      <c r="H9">
        <v>17</v>
      </c>
      <c r="I9">
        <v>14</v>
      </c>
      <c r="J9">
        <v>17</v>
      </c>
      <c r="K9" s="4">
        <v>0.52900000000000003</v>
      </c>
      <c r="L9">
        <v>13</v>
      </c>
      <c r="M9">
        <v>10</v>
      </c>
      <c r="N9">
        <v>15</v>
      </c>
      <c r="O9">
        <v>540</v>
      </c>
      <c r="P9">
        <f>540*0.85</f>
        <v>459</v>
      </c>
      <c r="Q9" s="3">
        <v>0.52</v>
      </c>
    </row>
    <row r="10" spans="1:17" x14ac:dyDescent="0.25">
      <c r="A10" s="14">
        <v>43375</v>
      </c>
      <c r="B10" s="15" t="s">
        <v>27</v>
      </c>
      <c r="C10" s="15" t="s">
        <v>28</v>
      </c>
      <c r="D10" s="15">
        <v>3</v>
      </c>
      <c r="E10" s="15">
        <v>2.6</v>
      </c>
      <c r="F10" s="15">
        <v>0</v>
      </c>
      <c r="G10" s="15">
        <v>0.2</v>
      </c>
      <c r="H10" s="15">
        <v>17</v>
      </c>
      <c r="I10" s="15">
        <v>6</v>
      </c>
      <c r="J10" s="15">
        <v>12</v>
      </c>
      <c r="K10" s="18">
        <v>0.66700000000000004</v>
      </c>
      <c r="L10" s="15">
        <v>9</v>
      </c>
      <c r="M10" s="15">
        <v>5</v>
      </c>
      <c r="N10" s="15">
        <v>8</v>
      </c>
      <c r="O10" s="15">
        <v>635</v>
      </c>
      <c r="P10" s="15">
        <f>635*0.88</f>
        <v>558.79999999999995</v>
      </c>
      <c r="Q10" s="16">
        <v>0.61</v>
      </c>
    </row>
    <row r="11" spans="1:17" x14ac:dyDescent="0.25">
      <c r="A11" s="1">
        <v>43379</v>
      </c>
      <c r="B11" t="s">
        <v>29</v>
      </c>
      <c r="C11" t="s">
        <v>22</v>
      </c>
      <c r="D11">
        <v>2</v>
      </c>
      <c r="E11">
        <v>2.81</v>
      </c>
      <c r="F11">
        <v>0</v>
      </c>
      <c r="G11">
        <v>0.74</v>
      </c>
      <c r="H11">
        <v>21</v>
      </c>
      <c r="I11">
        <v>9</v>
      </c>
      <c r="J11">
        <v>20</v>
      </c>
      <c r="K11" s="4">
        <v>0.5</v>
      </c>
      <c r="L11">
        <v>17</v>
      </c>
      <c r="M11">
        <v>11</v>
      </c>
      <c r="N11">
        <v>15</v>
      </c>
      <c r="O11">
        <v>629</v>
      </c>
      <c r="P11">
        <f>629*0.89</f>
        <v>559.81000000000006</v>
      </c>
      <c r="Q11" s="3">
        <v>0.6</v>
      </c>
    </row>
    <row r="12" spans="1:17" x14ac:dyDescent="0.25">
      <c r="A12" s="1">
        <v>43393</v>
      </c>
      <c r="B12" t="s">
        <v>30</v>
      </c>
      <c r="C12" t="s">
        <v>31</v>
      </c>
      <c r="D12">
        <v>1</v>
      </c>
      <c r="E12">
        <v>1.85</v>
      </c>
      <c r="F12">
        <v>1</v>
      </c>
      <c r="G12">
        <v>0.85</v>
      </c>
      <c r="H12">
        <v>21</v>
      </c>
      <c r="I12">
        <v>9</v>
      </c>
      <c r="J12">
        <v>11</v>
      </c>
      <c r="K12" s="4">
        <v>0.63600000000000001</v>
      </c>
      <c r="L12">
        <v>18</v>
      </c>
      <c r="M12">
        <v>19</v>
      </c>
      <c r="N12">
        <v>10</v>
      </c>
      <c r="O12">
        <v>618</v>
      </c>
      <c r="P12">
        <f>618*0.86</f>
        <v>531.48</v>
      </c>
      <c r="Q12" s="3">
        <v>0.64</v>
      </c>
    </row>
    <row r="13" spans="1:17" x14ac:dyDescent="0.25">
      <c r="A13" s="14">
        <v>43396</v>
      </c>
      <c r="B13" s="15" t="s">
        <v>32</v>
      </c>
      <c r="C13" s="15" t="s">
        <v>33</v>
      </c>
      <c r="D13" s="15">
        <v>1</v>
      </c>
      <c r="E13" s="15">
        <v>1.1000000000000001</v>
      </c>
      <c r="F13" s="15">
        <v>0</v>
      </c>
      <c r="G13" s="15">
        <v>0.3</v>
      </c>
      <c r="H13" s="15">
        <v>14</v>
      </c>
      <c r="I13" s="15">
        <v>6</v>
      </c>
      <c r="J13" s="15">
        <v>11</v>
      </c>
      <c r="K13" s="18">
        <v>0.72699999999999998</v>
      </c>
      <c r="L13" s="15">
        <v>10</v>
      </c>
      <c r="M13" s="15">
        <v>15</v>
      </c>
      <c r="N13" s="15">
        <v>14</v>
      </c>
      <c r="O13" s="15">
        <v>646</v>
      </c>
      <c r="P13" s="15">
        <f>646*0.88</f>
        <v>568.48</v>
      </c>
      <c r="Q13" s="16">
        <v>0.61</v>
      </c>
    </row>
    <row r="14" spans="1:17" x14ac:dyDescent="0.25">
      <c r="A14" s="1">
        <v>43400</v>
      </c>
      <c r="B14" t="s">
        <v>34</v>
      </c>
      <c r="C14" t="s">
        <v>19</v>
      </c>
      <c r="D14">
        <v>2</v>
      </c>
      <c r="E14">
        <v>1.49</v>
      </c>
      <c r="F14">
        <v>1</v>
      </c>
      <c r="G14">
        <v>0.27</v>
      </c>
      <c r="H14">
        <v>20</v>
      </c>
      <c r="I14">
        <v>10</v>
      </c>
      <c r="J14">
        <v>16</v>
      </c>
      <c r="K14" s="4">
        <v>0.75</v>
      </c>
      <c r="L14">
        <v>17</v>
      </c>
      <c r="M14">
        <v>19</v>
      </c>
      <c r="N14">
        <v>21</v>
      </c>
      <c r="O14">
        <v>543</v>
      </c>
      <c r="P14">
        <f>543*0.9</f>
        <v>488.7</v>
      </c>
      <c r="Q14" s="3">
        <v>0.57999999999999996</v>
      </c>
    </row>
    <row r="15" spans="1:17" x14ac:dyDescent="0.25">
      <c r="A15" s="1">
        <v>43407</v>
      </c>
      <c r="B15" t="s">
        <v>35</v>
      </c>
      <c r="C15" t="s">
        <v>26</v>
      </c>
      <c r="D15">
        <v>3</v>
      </c>
      <c r="E15">
        <v>2.11</v>
      </c>
      <c r="F15">
        <v>1</v>
      </c>
      <c r="G15">
        <v>0.73</v>
      </c>
      <c r="H15">
        <v>16</v>
      </c>
      <c r="I15">
        <v>6</v>
      </c>
      <c r="J15">
        <v>17</v>
      </c>
      <c r="K15" s="4">
        <v>0.76500000000000001</v>
      </c>
      <c r="L15">
        <v>13</v>
      </c>
      <c r="M15">
        <v>18</v>
      </c>
      <c r="N15">
        <v>10</v>
      </c>
      <c r="O15">
        <v>543</v>
      </c>
      <c r="P15">
        <f>543*0.89</f>
        <v>483.27</v>
      </c>
      <c r="Q15" s="3">
        <v>0.54</v>
      </c>
    </row>
    <row r="16" spans="1:17" x14ac:dyDescent="0.25">
      <c r="A16" s="14">
        <v>43411</v>
      </c>
      <c r="B16" s="15" t="s">
        <v>36</v>
      </c>
      <c r="C16" s="15" t="s">
        <v>19</v>
      </c>
      <c r="D16" s="15">
        <v>1</v>
      </c>
      <c r="E16" s="15">
        <v>2.5</v>
      </c>
      <c r="F16" s="15">
        <v>2</v>
      </c>
      <c r="G16" s="15">
        <v>1</v>
      </c>
      <c r="H16" s="15">
        <v>23</v>
      </c>
      <c r="I16" s="15">
        <v>9</v>
      </c>
      <c r="J16" s="15">
        <v>18</v>
      </c>
      <c r="K16" s="18">
        <v>0.38900000000000001</v>
      </c>
      <c r="L16" s="15">
        <v>21</v>
      </c>
      <c r="M16" s="15">
        <v>5</v>
      </c>
      <c r="N16" s="15">
        <v>15</v>
      </c>
      <c r="O16" s="15">
        <v>510</v>
      </c>
      <c r="P16" s="15">
        <f>510*0.88</f>
        <v>448.8</v>
      </c>
      <c r="Q16" s="16">
        <v>0.55000000000000004</v>
      </c>
    </row>
    <row r="17" spans="1:17" x14ac:dyDescent="0.25">
      <c r="A17" s="1">
        <v>43415</v>
      </c>
      <c r="B17" t="s">
        <v>37</v>
      </c>
      <c r="C17" t="s">
        <v>22</v>
      </c>
      <c r="D17">
        <v>2</v>
      </c>
      <c r="E17">
        <v>1.53</v>
      </c>
      <c r="F17">
        <v>0</v>
      </c>
      <c r="G17">
        <v>0.82</v>
      </c>
      <c r="H17">
        <v>15</v>
      </c>
      <c r="I17">
        <v>5</v>
      </c>
      <c r="J17">
        <v>14</v>
      </c>
      <c r="K17" s="4">
        <v>0.71399999999999997</v>
      </c>
      <c r="L17">
        <v>10</v>
      </c>
      <c r="M17">
        <v>13</v>
      </c>
      <c r="N17">
        <v>9</v>
      </c>
      <c r="O17">
        <v>590</v>
      </c>
      <c r="P17">
        <f>590*0.88</f>
        <v>519.20000000000005</v>
      </c>
      <c r="Q17" s="3">
        <v>0.6</v>
      </c>
    </row>
    <row r="18" spans="1:17" x14ac:dyDescent="0.25">
      <c r="A18" s="1">
        <v>43428</v>
      </c>
      <c r="B18" t="s">
        <v>38</v>
      </c>
      <c r="C18" t="s">
        <v>18</v>
      </c>
      <c r="D18">
        <v>2</v>
      </c>
      <c r="E18">
        <v>1.82</v>
      </c>
      <c r="F18">
        <v>0</v>
      </c>
      <c r="G18">
        <v>0.33</v>
      </c>
      <c r="H18">
        <v>15</v>
      </c>
      <c r="I18">
        <v>11</v>
      </c>
      <c r="J18">
        <v>18</v>
      </c>
      <c r="K18" s="4">
        <v>0.55600000000000005</v>
      </c>
      <c r="L18">
        <v>12</v>
      </c>
      <c r="M18">
        <v>9</v>
      </c>
      <c r="N18">
        <v>19</v>
      </c>
      <c r="O18">
        <v>444</v>
      </c>
      <c r="P18">
        <f>444*0.88</f>
        <v>390.72</v>
      </c>
      <c r="Q18" s="3">
        <v>0.44</v>
      </c>
    </row>
    <row r="19" spans="1:17" x14ac:dyDescent="0.25">
      <c r="A19" s="14">
        <v>43431</v>
      </c>
      <c r="B19" s="15" t="s">
        <v>39</v>
      </c>
      <c r="C19" s="15" t="s">
        <v>40</v>
      </c>
      <c r="D19" s="15">
        <v>1</v>
      </c>
      <c r="E19" s="15">
        <v>1.6</v>
      </c>
      <c r="F19" s="15">
        <v>1</v>
      </c>
      <c r="G19" s="15">
        <v>0.3</v>
      </c>
      <c r="H19" s="15">
        <v>20</v>
      </c>
      <c r="I19" s="15">
        <v>6</v>
      </c>
      <c r="J19" s="15">
        <v>24</v>
      </c>
      <c r="K19" s="18">
        <v>0.625</v>
      </c>
      <c r="L19" s="15">
        <v>14</v>
      </c>
      <c r="M19" s="15">
        <v>13</v>
      </c>
      <c r="N19" s="15">
        <v>18</v>
      </c>
      <c r="O19" s="15">
        <v>537</v>
      </c>
      <c r="P19" s="15">
        <f>537*0.88</f>
        <v>472.56</v>
      </c>
      <c r="Q19" s="16">
        <v>0.56000000000000005</v>
      </c>
    </row>
    <row r="20" spans="1:17" x14ac:dyDescent="0.25">
      <c r="A20" s="1">
        <v>43435</v>
      </c>
      <c r="B20" t="s">
        <v>41</v>
      </c>
      <c r="C20" t="s">
        <v>42</v>
      </c>
      <c r="D20">
        <v>3</v>
      </c>
      <c r="E20">
        <v>1.74</v>
      </c>
      <c r="F20">
        <v>0</v>
      </c>
      <c r="G20">
        <v>1.1599999999999999</v>
      </c>
      <c r="H20">
        <v>16</v>
      </c>
      <c r="I20">
        <v>17</v>
      </c>
      <c r="J20">
        <v>22</v>
      </c>
      <c r="K20" s="4">
        <v>0.63600000000000001</v>
      </c>
      <c r="L20">
        <v>11</v>
      </c>
      <c r="M20">
        <v>15</v>
      </c>
      <c r="N20">
        <v>8</v>
      </c>
      <c r="O20">
        <v>434</v>
      </c>
      <c r="P20">
        <f>434*0.81</f>
        <v>351.54</v>
      </c>
      <c r="Q20" s="3">
        <v>0.55000000000000004</v>
      </c>
    </row>
    <row r="21" spans="1:17" x14ac:dyDescent="0.25">
      <c r="A21" s="1">
        <v>43441</v>
      </c>
      <c r="B21" t="s">
        <v>43</v>
      </c>
      <c r="C21" t="s">
        <v>40</v>
      </c>
      <c r="D21">
        <v>1</v>
      </c>
      <c r="E21">
        <v>1.48</v>
      </c>
      <c r="F21">
        <v>0</v>
      </c>
      <c r="G21">
        <v>1.04</v>
      </c>
      <c r="H21">
        <v>18</v>
      </c>
      <c r="I21">
        <v>12</v>
      </c>
      <c r="J21">
        <v>13</v>
      </c>
      <c r="K21" s="4">
        <v>0.76900000000000002</v>
      </c>
      <c r="L21">
        <v>13</v>
      </c>
      <c r="M21">
        <v>11</v>
      </c>
      <c r="N21">
        <v>13</v>
      </c>
      <c r="O21">
        <v>447</v>
      </c>
      <c r="P21">
        <f>447*0.82</f>
        <v>366.53999999999996</v>
      </c>
      <c r="Q21" s="3">
        <v>0.49</v>
      </c>
    </row>
    <row r="22" spans="1:17" x14ac:dyDescent="0.25">
      <c r="A22" s="14">
        <v>43446</v>
      </c>
      <c r="B22" s="15" t="s">
        <v>44</v>
      </c>
      <c r="C22" s="15" t="s">
        <v>21</v>
      </c>
      <c r="D22" s="15">
        <v>1</v>
      </c>
      <c r="E22" s="15">
        <v>1.8</v>
      </c>
      <c r="F22" s="15">
        <v>2</v>
      </c>
      <c r="G22" s="15">
        <v>1.4</v>
      </c>
      <c r="H22" s="15">
        <v>25</v>
      </c>
      <c r="I22" s="15">
        <v>9</v>
      </c>
      <c r="J22" s="15">
        <v>11</v>
      </c>
      <c r="K22" s="18">
        <v>0.45500000000000002</v>
      </c>
      <c r="L22" s="15">
        <v>21</v>
      </c>
      <c r="M22" s="15">
        <v>9</v>
      </c>
      <c r="N22" s="15">
        <v>9</v>
      </c>
      <c r="O22" s="15">
        <v>565</v>
      </c>
      <c r="P22" s="15">
        <f>565*0.87</f>
        <v>491.55</v>
      </c>
      <c r="Q22" s="16">
        <v>0.6</v>
      </c>
    </row>
    <row r="23" spans="1:17" x14ac:dyDescent="0.25">
      <c r="A23" s="1">
        <v>43449</v>
      </c>
      <c r="B23" t="s">
        <v>45</v>
      </c>
      <c r="C23" t="s">
        <v>33</v>
      </c>
      <c r="D23">
        <v>1</v>
      </c>
      <c r="E23">
        <v>1.35</v>
      </c>
      <c r="F23">
        <v>0</v>
      </c>
      <c r="G23">
        <v>0.61</v>
      </c>
      <c r="H23">
        <v>12</v>
      </c>
      <c r="I23">
        <v>10</v>
      </c>
      <c r="J23">
        <v>13</v>
      </c>
      <c r="K23" s="4">
        <v>0.61499999999999999</v>
      </c>
      <c r="L23">
        <v>9</v>
      </c>
      <c r="M23">
        <v>11</v>
      </c>
      <c r="N23">
        <v>13</v>
      </c>
      <c r="O23">
        <v>417</v>
      </c>
      <c r="P23">
        <f>417*0.75</f>
        <v>312.75</v>
      </c>
      <c r="Q23" s="3">
        <v>0.57999999999999996</v>
      </c>
    </row>
    <row r="24" spans="1:17" x14ac:dyDescent="0.25">
      <c r="A24" s="1">
        <v>43456</v>
      </c>
      <c r="B24" t="s">
        <v>46</v>
      </c>
      <c r="C24" t="s">
        <v>40</v>
      </c>
      <c r="D24">
        <v>1</v>
      </c>
      <c r="E24">
        <v>2.2799999999999998</v>
      </c>
      <c r="F24">
        <v>0</v>
      </c>
      <c r="G24">
        <v>0.25</v>
      </c>
      <c r="H24">
        <v>20</v>
      </c>
      <c r="I24">
        <v>7</v>
      </c>
      <c r="J24">
        <v>23</v>
      </c>
      <c r="K24" s="4">
        <v>0.56499999999999995</v>
      </c>
      <c r="L24">
        <v>18</v>
      </c>
      <c r="M24">
        <v>13</v>
      </c>
      <c r="N24">
        <v>9</v>
      </c>
      <c r="O24">
        <v>438</v>
      </c>
      <c r="P24">
        <f>438*0.83</f>
        <v>363.53999999999996</v>
      </c>
      <c r="Q24" s="3">
        <v>0.51</v>
      </c>
    </row>
    <row r="25" spans="1:17" x14ac:dyDescent="0.25">
      <c r="A25" s="1">
        <v>43460</v>
      </c>
      <c r="B25" t="s">
        <v>47</v>
      </c>
      <c r="C25" s="2" t="s">
        <v>48</v>
      </c>
      <c r="D25">
        <v>2</v>
      </c>
      <c r="E25">
        <v>1.05</v>
      </c>
      <c r="F25">
        <v>2</v>
      </c>
      <c r="G25">
        <v>1.75</v>
      </c>
      <c r="H25">
        <v>12</v>
      </c>
      <c r="I25">
        <v>18</v>
      </c>
      <c r="J25">
        <v>29</v>
      </c>
      <c r="K25" s="4">
        <v>0.55200000000000005</v>
      </c>
      <c r="L25">
        <v>9</v>
      </c>
      <c r="M25">
        <v>6</v>
      </c>
      <c r="N25">
        <v>16</v>
      </c>
      <c r="O25">
        <v>410</v>
      </c>
      <c r="P25">
        <f>410*0.8</f>
        <v>328</v>
      </c>
      <c r="Q25" s="3">
        <v>0.48</v>
      </c>
    </row>
    <row r="26" spans="1:17" x14ac:dyDescent="0.25">
      <c r="A26" s="1">
        <v>43463</v>
      </c>
      <c r="B26" t="s">
        <v>49</v>
      </c>
      <c r="C26" t="s">
        <v>21</v>
      </c>
      <c r="D26">
        <v>2</v>
      </c>
      <c r="E26">
        <v>1.42</v>
      </c>
      <c r="F26">
        <v>1</v>
      </c>
      <c r="G26">
        <v>1.23</v>
      </c>
      <c r="H26">
        <v>17</v>
      </c>
      <c r="I26">
        <v>11</v>
      </c>
      <c r="J26">
        <v>12</v>
      </c>
      <c r="K26" s="4">
        <v>0.58299999999999996</v>
      </c>
      <c r="L26">
        <v>12</v>
      </c>
      <c r="M26">
        <v>11</v>
      </c>
      <c r="N26">
        <v>14</v>
      </c>
      <c r="O26">
        <v>512</v>
      </c>
      <c r="P26">
        <f>512*0.83</f>
        <v>424.96</v>
      </c>
      <c r="Q26" s="3">
        <v>0.56000000000000005</v>
      </c>
    </row>
    <row r="27" spans="1:17" x14ac:dyDescent="0.25">
      <c r="A27" s="5">
        <v>43477</v>
      </c>
      <c r="B27" s="6" t="s">
        <v>50</v>
      </c>
      <c r="C27" s="6" t="s">
        <v>22</v>
      </c>
      <c r="D27" s="6">
        <v>2</v>
      </c>
      <c r="E27" s="6"/>
      <c r="F27" s="6">
        <v>0</v>
      </c>
      <c r="G27" s="6"/>
      <c r="H27" s="6">
        <v>14</v>
      </c>
      <c r="I27" s="6">
        <v>14</v>
      </c>
      <c r="J27" s="6"/>
      <c r="K27" s="19"/>
      <c r="L27" s="6"/>
      <c r="M27" s="6"/>
      <c r="N27" s="6">
        <v>5</v>
      </c>
      <c r="O27" s="6">
        <v>659</v>
      </c>
      <c r="P27" s="6">
        <f>659*0.88</f>
        <v>579.91999999999996</v>
      </c>
      <c r="Q27" s="7">
        <v>0.66</v>
      </c>
    </row>
    <row r="28" spans="1:17" x14ac:dyDescent="0.25">
      <c r="A28" s="8">
        <v>43481</v>
      </c>
      <c r="B28" s="9" t="s">
        <v>51</v>
      </c>
      <c r="C28" s="9" t="s">
        <v>40</v>
      </c>
      <c r="D28" s="9">
        <v>1</v>
      </c>
      <c r="E28" s="9">
        <v>1.3</v>
      </c>
      <c r="F28" s="9">
        <v>0</v>
      </c>
      <c r="G28" s="9">
        <v>0.5</v>
      </c>
      <c r="H28" s="9">
        <v>18</v>
      </c>
      <c r="I28" s="9">
        <v>10</v>
      </c>
      <c r="J28" s="9">
        <v>21</v>
      </c>
      <c r="K28" s="20"/>
      <c r="L28" s="9"/>
      <c r="M28" s="9"/>
      <c r="N28" s="9">
        <v>13</v>
      </c>
      <c r="O28" s="9">
        <v>622</v>
      </c>
      <c r="P28" s="9">
        <f>622*0.91</f>
        <v>566.02</v>
      </c>
      <c r="Q28" s="10">
        <v>0.62</v>
      </c>
    </row>
    <row r="29" spans="1:17" x14ac:dyDescent="0.25">
      <c r="A29" s="1">
        <v>43486</v>
      </c>
      <c r="B29" t="s">
        <v>52</v>
      </c>
      <c r="C29" t="s">
        <v>28</v>
      </c>
      <c r="D29">
        <v>3</v>
      </c>
      <c r="E29">
        <v>3.93</v>
      </c>
      <c r="F29">
        <v>0</v>
      </c>
      <c r="G29">
        <v>0.47</v>
      </c>
      <c r="H29">
        <v>26</v>
      </c>
      <c r="I29">
        <v>9</v>
      </c>
      <c r="J29">
        <v>15</v>
      </c>
      <c r="K29" s="4">
        <v>0.66700000000000004</v>
      </c>
      <c r="L29">
        <v>20</v>
      </c>
      <c r="M29">
        <v>7</v>
      </c>
      <c r="N29">
        <v>10</v>
      </c>
      <c r="O29">
        <v>663</v>
      </c>
      <c r="P29">
        <f>663-0.9</f>
        <v>662.1</v>
      </c>
      <c r="Q29" s="3">
        <v>0.62</v>
      </c>
    </row>
    <row r="30" spans="1:17" x14ac:dyDescent="0.25">
      <c r="A30" s="1">
        <v>43796</v>
      </c>
      <c r="B30" t="s">
        <v>53</v>
      </c>
      <c r="C30" t="s">
        <v>19</v>
      </c>
      <c r="D30">
        <v>2</v>
      </c>
      <c r="E30">
        <v>1.28</v>
      </c>
      <c r="F30">
        <v>1</v>
      </c>
      <c r="G30">
        <v>1.75</v>
      </c>
      <c r="H30">
        <v>6</v>
      </c>
      <c r="I30">
        <v>17</v>
      </c>
      <c r="J30">
        <v>12</v>
      </c>
      <c r="K30" s="4">
        <v>0.66700000000000004</v>
      </c>
      <c r="L30">
        <v>5</v>
      </c>
      <c r="M30">
        <v>12</v>
      </c>
      <c r="N30">
        <v>14</v>
      </c>
      <c r="O30">
        <v>484</v>
      </c>
      <c r="P30">
        <f>484*0.84</f>
        <v>406.56</v>
      </c>
      <c r="Q30" s="3">
        <v>0.54</v>
      </c>
    </row>
    <row r="31" spans="1:17" x14ac:dyDescent="0.25">
      <c r="A31" s="11">
        <v>43495</v>
      </c>
      <c r="B31" s="12" t="s">
        <v>47</v>
      </c>
      <c r="C31" s="12" t="s">
        <v>28</v>
      </c>
      <c r="D31" s="12">
        <v>0</v>
      </c>
      <c r="E31" s="12"/>
      <c r="F31" s="12">
        <v>3</v>
      </c>
      <c r="G31" s="12"/>
      <c r="H31" s="12">
        <v>10</v>
      </c>
      <c r="I31" s="12">
        <v>10</v>
      </c>
      <c r="J31" s="12"/>
      <c r="K31" s="21">
        <v>0.57899999999999996</v>
      </c>
      <c r="L31" s="12">
        <v>5</v>
      </c>
      <c r="M31" s="12">
        <v>17</v>
      </c>
      <c r="N31" s="12">
        <v>9</v>
      </c>
      <c r="O31" s="12">
        <v>524</v>
      </c>
      <c r="P31" s="12">
        <f>524*0.82</f>
        <v>429.67999999999995</v>
      </c>
      <c r="Q31" s="13">
        <v>0.55000000000000004</v>
      </c>
    </row>
    <row r="32" spans="1:17" x14ac:dyDescent="0.25">
      <c r="A32" s="1">
        <v>43498</v>
      </c>
      <c r="B32" t="s">
        <v>54</v>
      </c>
      <c r="C32" t="s">
        <v>55</v>
      </c>
      <c r="D32">
        <v>3</v>
      </c>
      <c r="E32">
        <v>2.16</v>
      </c>
      <c r="F32">
        <v>3</v>
      </c>
      <c r="G32">
        <v>1.17</v>
      </c>
      <c r="H32">
        <v>28</v>
      </c>
      <c r="I32">
        <v>11</v>
      </c>
      <c r="J32">
        <v>15</v>
      </c>
      <c r="K32" s="4">
        <v>0.8</v>
      </c>
      <c r="L32">
        <v>23</v>
      </c>
      <c r="M32">
        <v>6</v>
      </c>
      <c r="N32">
        <v>7</v>
      </c>
      <c r="O32">
        <v>590</v>
      </c>
      <c r="P32">
        <f>0.87*590</f>
        <v>513.29999999999995</v>
      </c>
      <c r="Q32" s="3">
        <v>0.69</v>
      </c>
    </row>
    <row r="33" spans="1:17" x14ac:dyDescent="0.25">
      <c r="A33" s="1">
        <v>43506</v>
      </c>
      <c r="B33" t="s">
        <v>56</v>
      </c>
      <c r="C33" t="s">
        <v>42</v>
      </c>
      <c r="D33">
        <v>3</v>
      </c>
      <c r="E33">
        <v>2.11</v>
      </c>
      <c r="F33">
        <v>0</v>
      </c>
      <c r="G33">
        <v>0.44</v>
      </c>
      <c r="H33">
        <v>14</v>
      </c>
      <c r="I33">
        <v>9</v>
      </c>
      <c r="J33">
        <v>19</v>
      </c>
      <c r="K33" s="4">
        <v>0.57899999999999996</v>
      </c>
      <c r="L33">
        <v>10</v>
      </c>
      <c r="M33">
        <v>7</v>
      </c>
      <c r="N33">
        <v>9</v>
      </c>
      <c r="O33">
        <v>535</v>
      </c>
      <c r="P33">
        <f>535*0.83</f>
        <v>444.04999999999995</v>
      </c>
      <c r="Q33" s="3">
        <v>0.51</v>
      </c>
    </row>
    <row r="34" spans="1:17" x14ac:dyDescent="0.25">
      <c r="A34" s="1">
        <v>43511</v>
      </c>
      <c r="B34" t="s">
        <v>57</v>
      </c>
      <c r="C34" t="s">
        <v>28</v>
      </c>
      <c r="D34">
        <v>3</v>
      </c>
      <c r="E34">
        <v>2.08</v>
      </c>
      <c r="F34">
        <v>0</v>
      </c>
      <c r="G34">
        <v>0.63</v>
      </c>
      <c r="H34">
        <v>18</v>
      </c>
      <c r="I34">
        <v>15</v>
      </c>
      <c r="J34">
        <v>15</v>
      </c>
      <c r="K34" s="4">
        <v>0.53300000000000003</v>
      </c>
      <c r="L34">
        <v>14</v>
      </c>
      <c r="M34">
        <v>8</v>
      </c>
      <c r="N34">
        <v>13</v>
      </c>
      <c r="O34">
        <v>600</v>
      </c>
      <c r="P34">
        <f>600*0.87</f>
        <v>522</v>
      </c>
      <c r="Q34" s="3">
        <v>0.61</v>
      </c>
    </row>
    <row r="35" spans="1:17" x14ac:dyDescent="0.25">
      <c r="A35" s="14">
        <v>43516</v>
      </c>
      <c r="B35" s="15" t="s">
        <v>58</v>
      </c>
      <c r="C35" s="15" t="s">
        <v>18</v>
      </c>
      <c r="D35" s="15">
        <v>0</v>
      </c>
      <c r="E35" s="15">
        <v>0.7</v>
      </c>
      <c r="F35" s="15">
        <v>2</v>
      </c>
      <c r="G35" s="15">
        <v>1.4</v>
      </c>
      <c r="H35" s="15">
        <v>14</v>
      </c>
      <c r="I35" s="15">
        <v>13</v>
      </c>
      <c r="J35" s="15">
        <v>6</v>
      </c>
      <c r="K35" s="18">
        <v>0.83299999999999996</v>
      </c>
      <c r="L35" s="15">
        <v>11</v>
      </c>
      <c r="M35" s="15">
        <v>10</v>
      </c>
      <c r="N35" s="15">
        <v>16</v>
      </c>
      <c r="O35" s="15">
        <v>543</v>
      </c>
      <c r="P35" s="15">
        <f>543*0.87</f>
        <v>472.41</v>
      </c>
      <c r="Q35" s="16">
        <v>0.64</v>
      </c>
    </row>
    <row r="36" spans="1:17" x14ac:dyDescent="0.25">
      <c r="A36" s="1">
        <v>43520</v>
      </c>
      <c r="B36" t="s">
        <v>50</v>
      </c>
      <c r="C36" t="s">
        <v>33</v>
      </c>
      <c r="D36">
        <v>1</v>
      </c>
      <c r="E36">
        <v>0.59</v>
      </c>
      <c r="F36">
        <v>0</v>
      </c>
      <c r="G36">
        <v>1.27</v>
      </c>
      <c r="H36">
        <v>7</v>
      </c>
      <c r="I36">
        <v>18</v>
      </c>
      <c r="J36">
        <v>19</v>
      </c>
      <c r="K36" s="4">
        <v>0.78900000000000003</v>
      </c>
      <c r="L36">
        <v>5</v>
      </c>
      <c r="M36">
        <v>16</v>
      </c>
      <c r="N36">
        <v>17</v>
      </c>
      <c r="O36">
        <v>444</v>
      </c>
      <c r="P36">
        <f>444*0.77</f>
        <v>341.88</v>
      </c>
      <c r="Q36" s="3">
        <v>0.49</v>
      </c>
    </row>
    <row r="37" spans="1:17" x14ac:dyDescent="0.25">
      <c r="A37" s="1">
        <v>43527</v>
      </c>
      <c r="B37" t="s">
        <v>59</v>
      </c>
      <c r="C37" t="s">
        <v>19</v>
      </c>
      <c r="D37">
        <v>2</v>
      </c>
      <c r="E37">
        <v>0.59</v>
      </c>
      <c r="F37">
        <v>1</v>
      </c>
      <c r="G37">
        <v>2.0499999999999998</v>
      </c>
      <c r="H37">
        <v>6</v>
      </c>
      <c r="I37">
        <v>21</v>
      </c>
      <c r="J37">
        <v>14</v>
      </c>
      <c r="K37" s="4">
        <v>0.57099999999999995</v>
      </c>
      <c r="L37">
        <v>5</v>
      </c>
      <c r="M37">
        <v>8</v>
      </c>
      <c r="N37">
        <v>14</v>
      </c>
      <c r="O37">
        <v>340</v>
      </c>
      <c r="P37">
        <f>340*0.83</f>
        <v>282.2</v>
      </c>
      <c r="Q37" s="3">
        <v>0.36</v>
      </c>
    </row>
    <row r="38" spans="1:17" x14ac:dyDescent="0.25">
      <c r="A38" s="1">
        <v>43532</v>
      </c>
      <c r="B38" t="s">
        <v>75</v>
      </c>
      <c r="C38" t="s">
        <v>60</v>
      </c>
      <c r="D38">
        <v>4</v>
      </c>
      <c r="E38">
        <v>2.73</v>
      </c>
      <c r="F38">
        <v>1</v>
      </c>
      <c r="G38">
        <v>0.1</v>
      </c>
      <c r="H38">
        <v>17</v>
      </c>
      <c r="I38">
        <v>6</v>
      </c>
      <c r="J38">
        <v>11</v>
      </c>
      <c r="K38" s="4">
        <v>0.72699999999999998</v>
      </c>
      <c r="L38">
        <v>10</v>
      </c>
      <c r="M38">
        <v>9</v>
      </c>
      <c r="N38">
        <v>7</v>
      </c>
      <c r="O38">
        <v>648</v>
      </c>
      <c r="P38">
        <f>648*0.86</f>
        <v>557.28</v>
      </c>
      <c r="Q38" s="3">
        <v>0.62</v>
      </c>
    </row>
    <row r="39" spans="1:17" x14ac:dyDescent="0.25">
      <c r="A39" s="14">
        <v>43536</v>
      </c>
      <c r="B39" s="15" t="s">
        <v>61</v>
      </c>
      <c r="C39" s="15" t="s">
        <v>28</v>
      </c>
      <c r="D39" s="15">
        <v>3</v>
      </c>
      <c r="E39" s="15"/>
      <c r="F39" s="15">
        <v>0</v>
      </c>
      <c r="G39" s="15"/>
      <c r="H39" s="15">
        <v>16</v>
      </c>
      <c r="I39" s="15">
        <v>5</v>
      </c>
      <c r="J39" s="15">
        <v>16</v>
      </c>
      <c r="K39" s="18">
        <v>0.75</v>
      </c>
      <c r="L39" s="15">
        <v>10</v>
      </c>
      <c r="M39" s="15">
        <v>8</v>
      </c>
      <c r="N39" s="15">
        <v>12</v>
      </c>
      <c r="O39" s="15">
        <v>539</v>
      </c>
      <c r="P39" s="15">
        <f>539*0.83</f>
        <v>447.37</v>
      </c>
      <c r="Q39" s="16">
        <v>0.63</v>
      </c>
    </row>
    <row r="40" spans="1:17" x14ac:dyDescent="0.25">
      <c r="A40" s="1">
        <v>43541</v>
      </c>
      <c r="B40" t="s">
        <v>62</v>
      </c>
      <c r="C40" t="s">
        <v>18</v>
      </c>
      <c r="D40">
        <v>0</v>
      </c>
      <c r="E40">
        <v>0.31</v>
      </c>
      <c r="F40">
        <v>2</v>
      </c>
      <c r="G40">
        <v>1.05</v>
      </c>
      <c r="H40">
        <v>6</v>
      </c>
      <c r="I40">
        <v>18</v>
      </c>
      <c r="J40">
        <v>9</v>
      </c>
      <c r="K40" s="4">
        <v>0.66700000000000004</v>
      </c>
      <c r="L40">
        <v>5</v>
      </c>
      <c r="M40">
        <v>9</v>
      </c>
      <c r="N40">
        <v>11</v>
      </c>
      <c r="O40">
        <v>516</v>
      </c>
      <c r="P40">
        <f>516*0.82</f>
        <v>423.11999999999995</v>
      </c>
      <c r="Q40" s="3">
        <v>0.6</v>
      </c>
    </row>
    <row r="41" spans="1:17" x14ac:dyDescent="0.25">
      <c r="A41" s="1">
        <v>43554</v>
      </c>
      <c r="B41" t="s">
        <v>63</v>
      </c>
      <c r="C41" t="s">
        <v>40</v>
      </c>
      <c r="D41">
        <v>1</v>
      </c>
      <c r="E41">
        <v>1.34</v>
      </c>
      <c r="F41">
        <v>0</v>
      </c>
      <c r="G41">
        <v>0.37</v>
      </c>
      <c r="H41">
        <v>15</v>
      </c>
      <c r="I41">
        <v>8</v>
      </c>
      <c r="J41">
        <v>18</v>
      </c>
      <c r="K41" s="4">
        <v>0.52600000000000002</v>
      </c>
      <c r="L41">
        <v>14</v>
      </c>
      <c r="M41">
        <v>11</v>
      </c>
      <c r="N41">
        <v>16</v>
      </c>
      <c r="O41">
        <v>413</v>
      </c>
      <c r="P41">
        <f>413*0.86</f>
        <v>355.18</v>
      </c>
      <c r="Q41" s="3">
        <v>0.43</v>
      </c>
    </row>
    <row r="42" spans="1:17" x14ac:dyDescent="0.25">
      <c r="A42" s="1">
        <v>43557</v>
      </c>
      <c r="B42" t="s">
        <v>64</v>
      </c>
      <c r="C42" t="s">
        <v>22</v>
      </c>
      <c r="D42">
        <v>2</v>
      </c>
      <c r="E42">
        <v>3.24</v>
      </c>
      <c r="F42">
        <v>0</v>
      </c>
      <c r="G42">
        <v>0.45</v>
      </c>
      <c r="H42">
        <v>17</v>
      </c>
      <c r="I42">
        <v>9</v>
      </c>
      <c r="J42">
        <v>11</v>
      </c>
      <c r="K42" s="4">
        <v>0.36399999999999999</v>
      </c>
      <c r="L42">
        <v>14</v>
      </c>
      <c r="M42">
        <v>7</v>
      </c>
      <c r="N42">
        <v>10</v>
      </c>
      <c r="O42">
        <v>498</v>
      </c>
      <c r="P42">
        <f>498*0.81</f>
        <v>403.38000000000005</v>
      </c>
      <c r="Q42" s="3">
        <v>0.56000000000000005</v>
      </c>
    </row>
    <row r="43" spans="1:17" x14ac:dyDescent="0.25">
      <c r="A43" s="1">
        <v>43561</v>
      </c>
      <c r="B43" t="s">
        <v>51</v>
      </c>
      <c r="C43" t="s">
        <v>21</v>
      </c>
      <c r="D43">
        <v>2</v>
      </c>
      <c r="E43">
        <v>1.86</v>
      </c>
      <c r="F43">
        <v>1</v>
      </c>
      <c r="G43">
        <v>1.47</v>
      </c>
      <c r="H43">
        <v>12</v>
      </c>
      <c r="I43">
        <v>16</v>
      </c>
      <c r="J43">
        <v>5</v>
      </c>
      <c r="K43" s="4">
        <v>0.6</v>
      </c>
      <c r="L43">
        <v>11</v>
      </c>
      <c r="M43">
        <v>10</v>
      </c>
      <c r="N43">
        <v>21</v>
      </c>
      <c r="O43">
        <v>402</v>
      </c>
      <c r="P43">
        <f>402*0.81</f>
        <v>325.62</v>
      </c>
      <c r="Q43" s="3">
        <v>0.47</v>
      </c>
    </row>
    <row r="44" spans="1:17" x14ac:dyDescent="0.25">
      <c r="A44" s="14">
        <v>43565</v>
      </c>
      <c r="B44" s="15" t="s">
        <v>65</v>
      </c>
      <c r="C44" s="15" t="s">
        <v>31</v>
      </c>
      <c r="D44" s="15">
        <v>1</v>
      </c>
      <c r="E44" s="15">
        <v>0.7</v>
      </c>
      <c r="F44" s="15">
        <v>1</v>
      </c>
      <c r="G44" s="15">
        <v>1.1000000000000001</v>
      </c>
      <c r="H44" s="15">
        <v>7</v>
      </c>
      <c r="I44" s="15">
        <v>19</v>
      </c>
      <c r="J44" s="15">
        <v>17</v>
      </c>
      <c r="K44" s="18">
        <v>0.70599999999999996</v>
      </c>
      <c r="L44" s="15">
        <v>6</v>
      </c>
      <c r="M44" s="15">
        <v>17</v>
      </c>
      <c r="N44" s="15">
        <v>10</v>
      </c>
      <c r="O44" s="15">
        <v>382</v>
      </c>
      <c r="P44" s="15">
        <f>382*0.75</f>
        <v>286.5</v>
      </c>
      <c r="Q44" s="16">
        <v>0.39</v>
      </c>
    </row>
    <row r="45" spans="1:17" x14ac:dyDescent="0.25">
      <c r="A45" s="1">
        <v>43568</v>
      </c>
      <c r="B45" t="s">
        <v>66</v>
      </c>
      <c r="C45" t="s">
        <v>21</v>
      </c>
      <c r="D45">
        <v>1</v>
      </c>
      <c r="E45">
        <v>0.53</v>
      </c>
      <c r="F45">
        <v>2</v>
      </c>
      <c r="G45">
        <v>0.98</v>
      </c>
      <c r="H45">
        <v>11</v>
      </c>
      <c r="I45">
        <v>16</v>
      </c>
      <c r="J45">
        <v>17</v>
      </c>
      <c r="K45" s="4">
        <v>0.58799999999999997</v>
      </c>
      <c r="L45">
        <v>10</v>
      </c>
      <c r="M45">
        <v>15</v>
      </c>
      <c r="N45">
        <v>14</v>
      </c>
      <c r="O45">
        <v>506</v>
      </c>
      <c r="P45">
        <f>506*0.89</f>
        <v>450.34000000000003</v>
      </c>
      <c r="Q45" s="3">
        <v>0.57999999999999996</v>
      </c>
    </row>
    <row r="46" spans="1:17" x14ac:dyDescent="0.25">
      <c r="A46" s="14">
        <v>43571</v>
      </c>
      <c r="B46" s="15" t="s">
        <v>67</v>
      </c>
      <c r="C46" s="15" t="s">
        <v>19</v>
      </c>
      <c r="D46" s="15">
        <v>1</v>
      </c>
      <c r="E46" s="15">
        <v>0.8</v>
      </c>
      <c r="F46" s="15">
        <v>2</v>
      </c>
      <c r="G46" s="15">
        <v>2.2000000000000002</v>
      </c>
      <c r="H46" s="15">
        <v>14</v>
      </c>
      <c r="I46" s="15">
        <v>13</v>
      </c>
      <c r="J46" s="15">
        <v>18</v>
      </c>
      <c r="K46" s="18">
        <v>0.66700000000000004</v>
      </c>
      <c r="L46" s="15">
        <v>11</v>
      </c>
      <c r="M46" s="15">
        <v>20</v>
      </c>
      <c r="N46" s="15">
        <v>14</v>
      </c>
      <c r="O46" s="15">
        <v>412</v>
      </c>
      <c r="P46" s="15">
        <f>412*0.75</f>
        <v>309</v>
      </c>
      <c r="Q46" s="16">
        <v>0.51</v>
      </c>
    </row>
    <row r="47" spans="1:17" x14ac:dyDescent="0.25">
      <c r="A47" s="1">
        <v>43575</v>
      </c>
      <c r="B47" t="s">
        <v>68</v>
      </c>
      <c r="C47" t="s">
        <v>21</v>
      </c>
      <c r="D47">
        <v>2</v>
      </c>
      <c r="E47">
        <v>0.9</v>
      </c>
      <c r="F47">
        <v>1</v>
      </c>
      <c r="G47">
        <v>1.44</v>
      </c>
      <c r="H47">
        <v>18</v>
      </c>
      <c r="I47">
        <v>13</v>
      </c>
      <c r="J47">
        <v>15</v>
      </c>
      <c r="K47" s="4">
        <v>0.66700000000000004</v>
      </c>
      <c r="L47">
        <v>15</v>
      </c>
      <c r="M47">
        <v>6</v>
      </c>
      <c r="N47">
        <v>13</v>
      </c>
      <c r="O47">
        <v>619</v>
      </c>
      <c r="P47">
        <f>619*0.89</f>
        <v>550.91</v>
      </c>
      <c r="Q47" s="3">
        <v>0.61</v>
      </c>
    </row>
    <row r="48" spans="1:17" x14ac:dyDescent="0.25">
      <c r="A48" s="1">
        <v>43582</v>
      </c>
      <c r="B48" t="s">
        <v>69</v>
      </c>
      <c r="C48" t="s">
        <v>31</v>
      </c>
      <c r="D48">
        <v>1</v>
      </c>
      <c r="E48">
        <v>0.57999999999999996</v>
      </c>
      <c r="F48">
        <v>1</v>
      </c>
      <c r="G48">
        <v>1.36</v>
      </c>
      <c r="H48">
        <v>10</v>
      </c>
      <c r="I48">
        <v>15</v>
      </c>
      <c r="J48">
        <v>9</v>
      </c>
      <c r="K48" s="4">
        <v>0.55600000000000005</v>
      </c>
      <c r="L48">
        <v>7</v>
      </c>
      <c r="M48">
        <v>3</v>
      </c>
      <c r="N48">
        <v>12</v>
      </c>
      <c r="O48">
        <v>444</v>
      </c>
      <c r="P48">
        <f>444*0.86</f>
        <v>381.84</v>
      </c>
      <c r="Q48" s="3">
        <v>0.44</v>
      </c>
    </row>
    <row r="49" spans="1:17" x14ac:dyDescent="0.25">
      <c r="A49" s="1">
        <v>43588</v>
      </c>
      <c r="B49" t="s">
        <v>70</v>
      </c>
      <c r="C49" s="2" t="s">
        <v>31</v>
      </c>
      <c r="D49">
        <v>1</v>
      </c>
      <c r="E49">
        <v>1.32</v>
      </c>
      <c r="F49">
        <v>1</v>
      </c>
      <c r="G49">
        <v>0.65</v>
      </c>
      <c r="H49">
        <v>16</v>
      </c>
      <c r="I49">
        <v>11</v>
      </c>
      <c r="J49">
        <v>15</v>
      </c>
      <c r="K49" s="4">
        <v>0.66700000000000004</v>
      </c>
      <c r="L49">
        <v>15</v>
      </c>
      <c r="M49">
        <v>7</v>
      </c>
      <c r="N49">
        <v>12</v>
      </c>
      <c r="O49">
        <v>481</v>
      </c>
      <c r="P49">
        <f>481*0.79</f>
        <v>379.99</v>
      </c>
      <c r="Q49" s="3">
        <v>0.59</v>
      </c>
    </row>
    <row r="50" spans="1:17" x14ac:dyDescent="0.25">
      <c r="A50" s="1">
        <v>43597</v>
      </c>
      <c r="B50" t="s">
        <v>71</v>
      </c>
      <c r="C50" t="s">
        <v>18</v>
      </c>
      <c r="D50">
        <v>0</v>
      </c>
      <c r="E50">
        <v>1.05</v>
      </c>
      <c r="F50">
        <v>2</v>
      </c>
      <c r="G50">
        <v>1.39</v>
      </c>
      <c r="H50">
        <v>7</v>
      </c>
      <c r="I50">
        <v>13</v>
      </c>
      <c r="J50">
        <v>14</v>
      </c>
      <c r="K50" s="4">
        <v>0.64300000000000002</v>
      </c>
      <c r="L50">
        <v>7</v>
      </c>
      <c r="M50">
        <v>10</v>
      </c>
      <c r="N50">
        <v>7</v>
      </c>
      <c r="O50">
        <v>663</v>
      </c>
      <c r="P50">
        <f>663*0.88</f>
        <v>583.44000000000005</v>
      </c>
      <c r="Q50" s="3">
        <v>0.64</v>
      </c>
    </row>
    <row r="51" spans="1:17" x14ac:dyDescent="0.25">
      <c r="A51" s="1">
        <v>43604</v>
      </c>
      <c r="B51" t="s">
        <v>72</v>
      </c>
      <c r="C51" t="s">
        <v>31</v>
      </c>
      <c r="D51">
        <v>1</v>
      </c>
      <c r="E51">
        <v>0.88</v>
      </c>
      <c r="F51">
        <v>1</v>
      </c>
      <c r="G51">
        <v>1.67</v>
      </c>
      <c r="H51">
        <v>15</v>
      </c>
      <c r="I51">
        <v>16</v>
      </c>
      <c r="J51">
        <v>15</v>
      </c>
      <c r="K51" s="4">
        <v>0.66700000000000004</v>
      </c>
      <c r="L51">
        <v>11</v>
      </c>
      <c r="M51">
        <v>8</v>
      </c>
      <c r="N51">
        <v>16</v>
      </c>
      <c r="O51">
        <v>575</v>
      </c>
      <c r="P51">
        <f>575*0.85</f>
        <v>488.75</v>
      </c>
      <c r="Q51" s="3">
        <v>0.62</v>
      </c>
    </row>
    <row r="52" spans="1:17" x14ac:dyDescent="0.25">
      <c r="A52" s="1">
        <v>43611</v>
      </c>
      <c r="B52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2019-05-21T15:38:38Z</dcterms:modified>
</cp:coreProperties>
</file>