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Dashboard" sheetId="1" r:id="rId4"/>
    <sheet state="visible" name="1.Actual" sheetId="2" r:id="rId5"/>
    <sheet state="visible" name="2.Forecast" sheetId="3" r:id="rId6"/>
    <sheet state="visible" name="3.Data" sheetId="4" r:id="rId7"/>
    <sheet state="visible" name="4.Gráficos" sheetId="5" r:id="rId8"/>
    <sheet state="visible" name="5.Calculation" sheetId="6" r:id="rId9"/>
  </sheets>
  <definedNames/>
  <calcPr/>
</workbook>
</file>

<file path=xl/sharedStrings.xml><?xml version="1.0" encoding="utf-8"?>
<sst xmlns="http://schemas.openxmlformats.org/spreadsheetml/2006/main" count="115" uniqueCount="56">
  <si>
    <t>Reporte semanal</t>
  </si>
  <si>
    <t>Tabla de contenidos</t>
  </si>
  <si>
    <t>Resumen de la semana más reciente</t>
  </si>
  <si>
    <t>Tabla 0</t>
  </si>
  <si>
    <t>Dashboard</t>
  </si>
  <si>
    <t>Ventas</t>
  </si>
  <si>
    <t>Tabla 1</t>
  </si>
  <si>
    <t>Actual</t>
  </si>
  <si>
    <t>Cantidad de noches</t>
  </si>
  <si>
    <t>Tabla 2</t>
  </si>
  <si>
    <t>Forecast</t>
  </si>
  <si>
    <t>Incremento de noches</t>
  </si>
  <si>
    <t>Tabla 3</t>
  </si>
  <si>
    <t>Data</t>
  </si>
  <si>
    <t>Margen bruto</t>
  </si>
  <si>
    <t xml:space="preserve">Tabla 4 </t>
  </si>
  <si>
    <t>Gráficos</t>
  </si>
  <si>
    <t xml:space="preserve">Tabla 5 </t>
  </si>
  <si>
    <t>Calculation</t>
  </si>
  <si>
    <t>N° semana</t>
  </si>
  <si>
    <t>Inicio semana</t>
  </si>
  <si>
    <t>Mes referencia</t>
  </si>
  <si>
    <t>may2023</t>
  </si>
  <si>
    <t>jun2023</t>
  </si>
  <si>
    <t>jul2023</t>
  </si>
  <si>
    <t>ago2023</t>
  </si>
  <si>
    <t>SEMANA ACTUAL</t>
  </si>
  <si>
    <t>Status</t>
  </si>
  <si>
    <t>HOGARES</t>
  </si>
  <si>
    <t>Hogares Activos</t>
  </si>
  <si>
    <t>Hogares Nuevos</t>
  </si>
  <si>
    <t>Hogares Quitados</t>
  </si>
  <si>
    <t>Noches Disponibles</t>
  </si>
  <si>
    <t>% Ocupación</t>
  </si>
  <si>
    <t>Noches Disponibles por Hogar</t>
  </si>
  <si>
    <t>Noches por Hogar</t>
  </si>
  <si>
    <t>CLIENTES</t>
  </si>
  <si>
    <t>Incremento en noches</t>
  </si>
  <si>
    <t>Clientes Unicos</t>
  </si>
  <si>
    <t>Clientes Perdidos</t>
  </si>
  <si>
    <t>Nuevos Clientes</t>
  </si>
  <si>
    <t>Noches por cliente</t>
  </si>
  <si>
    <t>Precio promedio noche</t>
  </si>
  <si>
    <t>FINANCIERO</t>
  </si>
  <si>
    <t>Ratio comisión</t>
  </si>
  <si>
    <t>Ingresos</t>
  </si>
  <si>
    <t>Descuentos y subsidios</t>
  </si>
  <si>
    <t>Descuentos y subsidios %</t>
  </si>
  <si>
    <t>Beneficio bruto</t>
  </si>
  <si>
    <t>Margen Bruto</t>
  </si>
  <si>
    <t>sept2023</t>
  </si>
  <si>
    <t>Numero semana</t>
  </si>
  <si>
    <t>Inicio Semana</t>
  </si>
  <si>
    <t>6.51</t>
  </si>
  <si>
    <t>Numero de semana</t>
  </si>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</sst>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#,##0\ [$€-1]"/>
    <numFmt numFmtId="166" formatCode="mmm&quot;-&quot;d"/>
    <numFmt numFmtId="167" formatCode="0.0"/>
  </numFmts>
  <fonts count="13">
    <font>
      <sz val="10.0"/>
      <color rgb="FF000000"/>
      <name val="Verdana"/>
      <scheme val="minor"/>
    </font>
    <font>
      <color theme="1"/>
      <name val="Verdana"/>
      <scheme val="minor"/>
    </font>
    <font>
      <sz val="24.0"/>
      <color rgb="FFFFFFFF"/>
      <name val="Verdana"/>
      <scheme val="minor"/>
    </font>
    <font>
      <sz val="20.0"/>
      <color rgb="FFFFFFFF"/>
      <name val="Verdana"/>
      <scheme val="minor"/>
    </font>
    <font>
      <sz val="14.0"/>
      <color theme="1"/>
      <name val="Verdana"/>
      <scheme val="minor"/>
    </font>
    <font>
      <sz val="15.0"/>
      <color rgb="FFFFFFFF"/>
      <name val="Verdana"/>
      <scheme val="minor"/>
    </font>
    <font>
      <color rgb="FFFFFFFF"/>
      <name val="Verdana"/>
      <scheme val="minor"/>
    </font>
    <font>
      <sz val="14.0"/>
      <color rgb="FFFFFFFF"/>
      <name val="Verdana"/>
      <scheme val="minor"/>
    </font>
    <font>
      <b/>
      <color rgb="FFFFFFFF"/>
      <name val="Verdana"/>
      <scheme val="minor"/>
    </font>
    <font>
      <b/>
      <color theme="1"/>
      <name val="Verdana"/>
      <scheme val="minor"/>
    </font>
    <font>
      <sz val="9.0"/>
      <color rgb="FF000000"/>
      <name val="&quot;Google Sans Mono&quot;"/>
    </font>
    <font>
      <b/>
      <sz val="9.0"/>
      <color theme="1"/>
      <name val="Verdana"/>
      <scheme val="minor"/>
    </font>
    <font>
      <sz val="9.0"/>
      <color theme="1"/>
      <name val="Verdana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2" numFmtId="0" xfId="0" applyAlignment="1" applyBorder="1" applyFont="1">
      <alignment readingOrder="0"/>
    </xf>
    <xf borderId="2" fillId="2" fontId="3" numFmtId="164" xfId="0" applyAlignment="1" applyBorder="1" applyFont="1" applyNumberFormat="1">
      <alignment readingOrder="0"/>
    </xf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0" fillId="3" fontId="1" numFmtId="0" xfId="0" applyFont="1"/>
    <xf borderId="0" fillId="3" fontId="3" numFmtId="0" xfId="0" applyAlignment="1" applyFont="1">
      <alignment readingOrder="0"/>
    </xf>
    <xf borderId="5" fillId="3" fontId="1" numFmtId="0" xfId="0" applyBorder="1" applyFont="1"/>
    <xf borderId="0" fillId="3" fontId="4" numFmtId="0" xfId="0" applyFont="1"/>
    <xf borderId="0" fillId="3" fontId="1" numFmtId="0" xfId="0" applyAlignment="1" applyFont="1">
      <alignment readingOrder="0"/>
    </xf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9" fillId="2" fontId="5" numFmtId="0" xfId="0" applyAlignment="1" applyBorder="1" applyFont="1">
      <alignment readingOrder="0"/>
    </xf>
    <xf borderId="9" fillId="2" fontId="5" numFmtId="0" xfId="0" applyBorder="1" applyFont="1"/>
    <xf borderId="1" fillId="2" fontId="3" numFmtId="0" xfId="0" applyAlignment="1" applyBorder="1" applyFont="1">
      <alignment readingOrder="0"/>
    </xf>
    <xf borderId="2" fillId="2" fontId="6" numFmtId="0" xfId="0" applyBorder="1" applyFont="1"/>
    <xf borderId="3" fillId="2" fontId="6" numFmtId="0" xfId="0" applyBorder="1" applyFont="1"/>
    <xf borderId="0" fillId="2" fontId="5" numFmtId="0" xfId="0" applyAlignment="1" applyFont="1">
      <alignment readingOrder="0"/>
    </xf>
    <xf borderId="4" fillId="2" fontId="6" numFmtId="0" xfId="0" applyAlignment="1" applyBorder="1" applyFont="1">
      <alignment readingOrder="0"/>
    </xf>
    <xf borderId="0" fillId="2" fontId="6" numFmtId="0" xfId="0" applyFont="1"/>
    <xf borderId="0" fillId="2" fontId="7" numFmtId="0" xfId="0" applyAlignment="1" applyFont="1">
      <alignment readingOrder="0"/>
    </xf>
    <xf borderId="5" fillId="2" fontId="7" numFmtId="165" xfId="0" applyBorder="1" applyFont="1" applyNumberFormat="1"/>
    <xf borderId="5" fillId="2" fontId="7" numFmtId="0" xfId="0" applyBorder="1" applyFont="1"/>
    <xf borderId="5" fillId="2" fontId="7" numFmtId="10" xfId="0" applyBorder="1" applyFont="1" applyNumberFormat="1"/>
    <xf borderId="4" fillId="2" fontId="6" numFmtId="0" xfId="0" applyBorder="1" applyFont="1"/>
    <xf borderId="5" fillId="2" fontId="6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0" fillId="4" fontId="8" numFmtId="0" xfId="0" applyAlignment="1" applyFill="1" applyFont="1">
      <alignment readingOrder="0"/>
    </xf>
    <xf borderId="0" fillId="4" fontId="6" numFmtId="0" xfId="0" applyFont="1"/>
    <xf borderId="0" fillId="3" fontId="6" numFmtId="0" xfId="0" applyFont="1"/>
    <xf borderId="0" fillId="4" fontId="6" numFmtId="164" xfId="0" applyFont="1" applyNumberFormat="1"/>
    <xf borderId="0" fillId="4" fontId="6" numFmtId="164" xfId="0" applyAlignment="1" applyFont="1" applyNumberFormat="1">
      <alignment readingOrder="0"/>
    </xf>
    <xf borderId="0" fillId="3" fontId="6" numFmtId="164" xfId="0" applyFont="1" applyNumberFormat="1"/>
    <xf borderId="0" fillId="0" fontId="9" numFmtId="0" xfId="0" applyFont="1"/>
    <xf borderId="0" fillId="4" fontId="8" numFmtId="0" xfId="0" applyFont="1"/>
    <xf borderId="0" fillId="3" fontId="8" numFmtId="0" xfId="0" applyFont="1"/>
    <xf borderId="0" fillId="0" fontId="1" numFmtId="166" xfId="0" applyFont="1" applyNumberFormat="1"/>
    <xf borderId="0" fillId="0" fontId="1" numFmtId="0" xfId="0" applyFont="1"/>
    <xf borderId="0" fillId="5" fontId="10" numFmtId="167" xfId="0" applyFill="1" applyFont="1" applyNumberFormat="1"/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9" numFmtId="167" xfId="0" applyAlignment="1" applyFont="1" applyNumberFormat="1">
      <alignment readingOrder="0"/>
    </xf>
    <xf borderId="0" fillId="0" fontId="1" numFmtId="167" xfId="0" applyFont="1" applyNumberFormat="1"/>
    <xf borderId="0" fillId="3" fontId="6" numFmtId="1" xfId="0" applyFont="1" applyNumberFormat="1"/>
    <xf borderId="0" fillId="0" fontId="1" numFmtId="1" xfId="0" applyFont="1" applyNumberFormat="1"/>
    <xf borderId="0" fillId="6" fontId="1" numFmtId="0" xfId="0" applyFill="1" applyFont="1"/>
    <xf borderId="0" fillId="6" fontId="1" numFmtId="0" xfId="0" applyFont="1"/>
    <xf borderId="0" fillId="6" fontId="1" numFmtId="10" xfId="0" applyFont="1" applyNumberFormat="1"/>
    <xf borderId="0" fillId="6" fontId="1" numFmtId="0" xfId="0" applyAlignment="1" applyFont="1">
      <alignment readingOrder="0"/>
    </xf>
    <xf borderId="0" fillId="6" fontId="1" numFmtId="167" xfId="0" applyFont="1" applyNumberFormat="1"/>
    <xf borderId="0" fillId="6" fontId="1" numFmtId="165" xfId="0" applyFont="1" applyNumberFormat="1"/>
    <xf borderId="0" fillId="0" fontId="1" numFmtId="165" xfId="0" applyFont="1" applyNumberFormat="1"/>
    <xf borderId="0" fillId="3" fontId="8" numFmtId="0" xfId="0" applyAlignment="1" applyFont="1">
      <alignment readingOrder="0"/>
    </xf>
    <xf borderId="0" fillId="0" fontId="1" numFmtId="164" xfId="0" applyFont="1" applyNumberFormat="1"/>
    <xf borderId="0" fillId="0" fontId="1" numFmtId="1" xfId="0" applyAlignment="1" applyFont="1" applyNumberFormat="1">
      <alignment readingOrder="0"/>
    </xf>
    <xf borderId="0" fillId="5" fontId="10" numFmtId="1" xfId="0" applyFont="1" applyNumberFormat="1"/>
    <xf borderId="0" fillId="0" fontId="1" numFmtId="2" xfId="0" applyAlignment="1" applyFont="1" applyNumberFormat="1">
      <alignment readingOrder="0"/>
    </xf>
    <xf borderId="0" fillId="5" fontId="10" numFmtId="2" xfId="0" applyFont="1" applyNumberFormat="1"/>
    <xf borderId="0" fillId="0" fontId="1" numFmtId="3" xfId="0" applyFont="1" applyNumberFormat="1"/>
    <xf borderId="0" fillId="0" fontId="9" numFmtId="0" xfId="0" applyAlignment="1" applyFont="1">
      <alignment readingOrder="0"/>
    </xf>
    <xf borderId="0" fillId="0" fontId="1" numFmtId="2" xfId="0" applyFont="1" applyNumberFormat="1"/>
    <xf borderId="0" fillId="6" fontId="10" numFmtId="2" xfId="0" applyFont="1" applyNumberFormat="1"/>
    <xf borderId="0" fillId="6" fontId="1" numFmtId="2" xfId="0" applyFont="1" applyNumberFormat="1"/>
    <xf borderId="0" fillId="6" fontId="10" numFmtId="10" xfId="0" applyFont="1" applyNumberFormat="1"/>
    <xf borderId="0" fillId="6" fontId="1" numFmtId="10" xfId="0" applyAlignment="1" applyFont="1" applyNumberFormat="1">
      <alignment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/>
    </xf>
    <xf borderId="0" fillId="0" fontId="12" numFmtId="3" xfId="0" applyAlignment="1" applyFont="1" applyNumberFormat="1">
      <alignment horizontal="left" readingOrder="0"/>
    </xf>
    <xf borderId="0" fillId="0" fontId="12" numFmtId="164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0" fontId="12" numFmtId="164" xfId="0" applyAlignment="1" applyFont="1" applyNumberFormat="1">
      <alignment horizontal="left"/>
    </xf>
    <xf borderId="0" fillId="0" fontId="12" numFmtId="49" xfId="0" applyAlignment="1" applyFont="1" applyNumberFormat="1">
      <alignment horizontal="left" readingOrder="0"/>
    </xf>
    <xf borderId="0" fillId="0" fontId="12" numFmtId="4" xfId="0" applyAlignment="1" applyFont="1" applyNumberFormat="1">
      <alignment horizontal="left"/>
    </xf>
    <xf borderId="0" fillId="0" fontId="12" numFmtId="10" xfId="0" applyAlignment="1" applyFont="1" applyNumberFormat="1">
      <alignment horizontal="left"/>
    </xf>
    <xf borderId="0" fillId="0" fontId="12" numFmtId="49" xfId="0" applyAlignment="1" applyFont="1" applyNumberFormat="1">
      <alignment horizontal="left"/>
    </xf>
    <xf borderId="0" fillId="5" fontId="10" numFmtId="0" xfId="0" applyFont="1"/>
  </cellXfs>
  <cellStyles count="1">
    <cellStyle xfId="0" name="Normal" builtinId="0"/>
  </cellStyles>
  <dxfs count="2">
    <dxf>
      <font>
        <color rgb="FF38761D"/>
      </font>
      <fill>
        <patternFill patternType="solid">
          <fgColor rgb="FFD9D9D9"/>
          <bgColor rgb="FFD9D9D9"/>
        </patternFill>
      </fill>
      <border/>
    </dxf>
    <dxf>
      <font>
        <color rgb="FFCC0000"/>
      </font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10</xdr:row>
      <xdr:rowOff>123825</xdr:rowOff>
    </xdr:from>
    <xdr:ext cx="1790700" cy="2276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4" max="4" width="13.11"/>
    <col customWidth="1" min="14" max="14" width="18.67"/>
  </cols>
  <sheetData>
    <row r="9">
      <c r="B9" s="1"/>
      <c r="C9" s="2"/>
      <c r="D9" s="2"/>
      <c r="E9" s="2"/>
      <c r="F9" s="3" t="s">
        <v>0</v>
      </c>
      <c r="G9" s="2"/>
      <c r="H9" s="2"/>
      <c r="I9" s="2"/>
      <c r="J9" s="2"/>
      <c r="K9" s="2"/>
      <c r="L9" s="2"/>
      <c r="M9" s="2"/>
      <c r="N9" s="4">
        <v>45121.0</v>
      </c>
      <c r="O9" s="5"/>
    </row>
    <row r="10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>
      <c r="B12" s="12"/>
      <c r="C12" s="13"/>
      <c r="D12" s="13"/>
      <c r="E12" s="13"/>
      <c r="F12" s="13"/>
      <c r="G12" s="13"/>
      <c r="H12" s="13"/>
      <c r="I12" s="13"/>
      <c r="J12" s="13"/>
      <c r="K12" s="14"/>
      <c r="L12" s="13"/>
      <c r="M12" s="13"/>
      <c r="N12" s="13"/>
      <c r="O12" s="15"/>
    </row>
    <row r="13">
      <c r="B13" s="12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7"/>
      <c r="N13" s="13"/>
      <c r="O13" s="13"/>
    </row>
    <row r="14">
      <c r="B14" s="12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7"/>
      <c r="N14" s="13"/>
      <c r="O14" s="13"/>
    </row>
    <row r="15">
      <c r="B15" s="12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7"/>
      <c r="N15" s="13"/>
      <c r="O15" s="13"/>
    </row>
    <row r="16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7"/>
      <c r="N16" s="13"/>
      <c r="O16" s="13"/>
    </row>
    <row r="17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2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>
      <c r="B23" s="1"/>
      <c r="C23" s="21" t="s">
        <v>1</v>
      </c>
      <c r="D23" s="22"/>
      <c r="E23" s="2"/>
      <c r="F23" s="2"/>
      <c r="G23" s="2"/>
      <c r="H23" s="2"/>
      <c r="I23" s="2"/>
      <c r="J23" s="2"/>
      <c r="K23" s="23" t="s">
        <v>2</v>
      </c>
      <c r="L23" s="24"/>
      <c r="M23" s="24"/>
      <c r="N23" s="24"/>
      <c r="O23" s="25"/>
    </row>
    <row r="24">
      <c r="B24" s="6"/>
      <c r="C24" s="26" t="s">
        <v>3</v>
      </c>
      <c r="D24" s="26" t="s">
        <v>4</v>
      </c>
      <c r="E24" s="7"/>
      <c r="F24" s="7"/>
      <c r="G24" s="7"/>
      <c r="H24" s="7"/>
      <c r="I24" s="7"/>
      <c r="J24" s="7"/>
      <c r="K24" s="27"/>
      <c r="L24" s="28"/>
      <c r="M24" s="29" t="s">
        <v>5</v>
      </c>
      <c r="N24" s="28"/>
      <c r="O24" s="30">
        <f>'1.Actual'!K27</f>
        <v>160800</v>
      </c>
    </row>
    <row r="25">
      <c r="B25" s="6"/>
      <c r="C25" s="26" t="s">
        <v>6</v>
      </c>
      <c r="D25" s="26" t="s">
        <v>7</v>
      </c>
      <c r="E25" s="7"/>
      <c r="F25" s="7"/>
      <c r="G25" s="7"/>
      <c r="H25" s="7"/>
      <c r="I25" s="7"/>
      <c r="J25" s="7"/>
      <c r="K25" s="27"/>
      <c r="L25" s="28"/>
      <c r="M25" s="29" t="s">
        <v>8</v>
      </c>
      <c r="N25" s="28"/>
      <c r="O25" s="31">
        <f>'1.Actual'!K18</f>
        <v>2400</v>
      </c>
    </row>
    <row r="26">
      <c r="B26" s="6"/>
      <c r="C26" s="26" t="s">
        <v>9</v>
      </c>
      <c r="D26" s="26" t="s">
        <v>10</v>
      </c>
      <c r="E26" s="7"/>
      <c r="F26" s="7"/>
      <c r="G26" s="7"/>
      <c r="H26" s="7"/>
      <c r="I26" s="7"/>
      <c r="J26" s="7"/>
      <c r="K26" s="27"/>
      <c r="L26" s="28"/>
      <c r="M26" s="29" t="s">
        <v>11</v>
      </c>
      <c r="N26" s="28"/>
      <c r="O26" s="32">
        <f>'1.Actual'!K19</f>
        <v>0.1379800853</v>
      </c>
    </row>
    <row r="27">
      <c r="B27" s="6"/>
      <c r="C27" s="26" t="s">
        <v>12</v>
      </c>
      <c r="D27" s="26" t="s">
        <v>13</v>
      </c>
      <c r="E27" s="7"/>
      <c r="F27" s="7"/>
      <c r="G27" s="7"/>
      <c r="H27" s="7"/>
      <c r="I27" s="7"/>
      <c r="J27" s="7"/>
      <c r="K27" s="27"/>
      <c r="L27" s="28"/>
      <c r="M27" s="29" t="s">
        <v>14</v>
      </c>
      <c r="N27" s="28"/>
      <c r="O27" s="32">
        <f>'1.Actual'!K33</f>
        <v>0.1105037313</v>
      </c>
    </row>
    <row r="28">
      <c r="B28" s="6"/>
      <c r="C28" s="26" t="s">
        <v>15</v>
      </c>
      <c r="D28" s="26" t="s">
        <v>16</v>
      </c>
      <c r="E28" s="7"/>
      <c r="F28" s="7"/>
      <c r="G28" s="7"/>
      <c r="H28" s="7"/>
      <c r="I28" s="7"/>
      <c r="J28" s="7"/>
      <c r="K28" s="33"/>
      <c r="L28" s="28"/>
      <c r="M28" s="28"/>
      <c r="N28" s="28"/>
      <c r="O28" s="34"/>
    </row>
    <row r="29">
      <c r="B29" s="6"/>
      <c r="C29" s="26" t="s">
        <v>17</v>
      </c>
      <c r="D29" s="26" t="s">
        <v>18</v>
      </c>
      <c r="E29" s="7"/>
      <c r="F29" s="7"/>
      <c r="G29" s="7"/>
      <c r="H29" s="7"/>
      <c r="I29" s="7"/>
      <c r="J29" s="7"/>
      <c r="K29" s="35"/>
      <c r="L29" s="36"/>
      <c r="M29" s="36"/>
      <c r="N29" s="36"/>
      <c r="O29" s="37"/>
    </row>
    <row r="30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</row>
    <row r="31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5.89"/>
    <col customWidth="1" min="2" max="11" width="10.11"/>
  </cols>
  <sheetData>
    <row r="1">
      <c r="A1" s="38" t="s">
        <v>19</v>
      </c>
      <c r="B1" s="39">
        <f>VLOOKUP($B2,'5.Calculation'!$A2:$B11,2,0)</f>
        <v>19</v>
      </c>
      <c r="C1" s="39">
        <f>VLOOKUP(C2,'5.Calculation'!$A2:$B11,2,0)</f>
        <v>20</v>
      </c>
      <c r="D1" s="39">
        <f>VLOOKUP(D2,'5.Calculation'!$A2:$B11,2,0)</f>
        <v>21</v>
      </c>
      <c r="E1" s="39">
        <f>VLOOKUP(E2,'5.Calculation'!$A2:$B11,2,0)</f>
        <v>22</v>
      </c>
      <c r="F1" s="39">
        <f>VLOOKUP(F2,'5.Calculation'!$A2:$B11,2,0)</f>
        <v>23</v>
      </c>
      <c r="G1" s="39">
        <f>VLOOKUP(G2,'5.Calculation'!$A2:$B11,2,0)</f>
        <v>24</v>
      </c>
      <c r="H1" s="39">
        <f>VLOOKUP(H2,'5.Calculation'!$A2:$B11,2,0)</f>
        <v>25</v>
      </c>
      <c r="I1" s="39">
        <f>VLOOKUP(I2,'5.Calculation'!$A2:$B11,2,0)</f>
        <v>26</v>
      </c>
      <c r="J1" s="39">
        <f>VLOOKUP(J2,'5.Calculation'!$A2:$B15,2,0)</f>
        <v>27</v>
      </c>
      <c r="K1" s="39">
        <f>VLOOKUP(K2,'5.Calculation'!$A2:$B15,2,0)</f>
        <v>28</v>
      </c>
      <c r="L1" s="40">
        <f>VLOOKUP(L2,'5.Calculation'!$A2:$B15,2,0)</f>
        <v>29</v>
      </c>
      <c r="M1" s="40">
        <f>VLOOKUP(M2,'5.Calculation'!$A2:$B15,2,0)</f>
        <v>30</v>
      </c>
      <c r="N1" s="40">
        <f>VLOOKUP(N2,'5.Calculation'!$A2:$B15,2,0)</f>
        <v>31</v>
      </c>
      <c r="O1" s="40">
        <f>VLOOKUP(O2,'5.Calculation'!$A2:$B15,2,0)</f>
        <v>32</v>
      </c>
    </row>
    <row r="2">
      <c r="A2" s="38" t="s">
        <v>20</v>
      </c>
      <c r="B2" s="41">
        <f t="array" ref="B2:O2">TRANSPOSE('5.Calculation'!A2:A15)</f>
        <v>45058</v>
      </c>
      <c r="C2" s="41">
        <v>45065.0</v>
      </c>
      <c r="D2" s="41">
        <v>45072.0</v>
      </c>
      <c r="E2" s="41">
        <v>45079.0</v>
      </c>
      <c r="F2" s="41">
        <v>45086.0</v>
      </c>
      <c r="G2" s="41">
        <v>45093.0</v>
      </c>
      <c r="H2" s="41">
        <v>45100.0</v>
      </c>
      <c r="I2" s="41">
        <v>45107.0</v>
      </c>
      <c r="J2" s="41">
        <v>45114.0</v>
      </c>
      <c r="K2" s="42">
        <v>45121.0</v>
      </c>
      <c r="L2" s="43">
        <v>45128.0</v>
      </c>
      <c r="M2" s="43">
        <v>45135.0</v>
      </c>
      <c r="N2" s="43">
        <v>45142.0</v>
      </c>
      <c r="O2" s="43">
        <v>45149.0</v>
      </c>
    </row>
    <row r="3">
      <c r="A3" s="38" t="s">
        <v>21</v>
      </c>
      <c r="B3" s="39" t="str">
        <f t="array" ref="B3:O3">TRANSPOSE('5.Calculation'!C2:C15)</f>
        <v>may2023</v>
      </c>
      <c r="C3" s="39" t="s">
        <v>22</v>
      </c>
      <c r="D3" s="39" t="s">
        <v>22</v>
      </c>
      <c r="E3" s="39" t="s">
        <v>23</v>
      </c>
      <c r="F3" s="39" t="s">
        <v>23</v>
      </c>
      <c r="G3" s="39" t="s">
        <v>23</v>
      </c>
      <c r="H3" s="39" t="s">
        <v>23</v>
      </c>
      <c r="I3" s="39" t="s">
        <v>23</v>
      </c>
      <c r="J3" s="39" t="s">
        <v>24</v>
      </c>
      <c r="K3" s="39" t="s">
        <v>24</v>
      </c>
      <c r="L3" s="40" t="s">
        <v>24</v>
      </c>
      <c r="M3" s="40" t="s">
        <v>24</v>
      </c>
      <c r="N3" s="40" t="s">
        <v>25</v>
      </c>
      <c r="O3" s="40" t="s">
        <v>25</v>
      </c>
    </row>
    <row r="4">
      <c r="A4" s="44"/>
    </row>
    <row r="5">
      <c r="A5" s="38" t="s">
        <v>26</v>
      </c>
      <c r="B5" s="45" t="str">
        <f t="shared" ref="B5:O5" si="1">"Semana "&amp; B1</f>
        <v>Semana 19</v>
      </c>
      <c r="C5" s="45" t="str">
        <f t="shared" si="1"/>
        <v>Semana 20</v>
      </c>
      <c r="D5" s="45" t="str">
        <f t="shared" si="1"/>
        <v>Semana 21</v>
      </c>
      <c r="E5" s="45" t="str">
        <f t="shared" si="1"/>
        <v>Semana 22</v>
      </c>
      <c r="F5" s="45" t="str">
        <f t="shared" si="1"/>
        <v>Semana 23</v>
      </c>
      <c r="G5" s="45" t="str">
        <f t="shared" si="1"/>
        <v>Semana 24</v>
      </c>
      <c r="H5" s="45" t="str">
        <f t="shared" si="1"/>
        <v>Semana 25</v>
      </c>
      <c r="I5" s="45" t="str">
        <f t="shared" si="1"/>
        <v>Semana 26</v>
      </c>
      <c r="J5" s="45" t="str">
        <f t="shared" si="1"/>
        <v>Semana 27</v>
      </c>
      <c r="K5" s="45" t="str">
        <f t="shared" si="1"/>
        <v>Semana 28</v>
      </c>
      <c r="L5" s="46" t="str">
        <f t="shared" si="1"/>
        <v>Semana 29</v>
      </c>
      <c r="M5" s="46" t="str">
        <f t="shared" si="1"/>
        <v>Semana 30</v>
      </c>
      <c r="N5" s="46" t="str">
        <f t="shared" si="1"/>
        <v>Semana 31</v>
      </c>
      <c r="O5" s="46" t="str">
        <f t="shared" si="1"/>
        <v>Semana 32</v>
      </c>
    </row>
    <row r="6">
      <c r="B6" s="47">
        <f t="shared" ref="B6:O6" si="2">B2</f>
        <v>45058</v>
      </c>
      <c r="C6" s="47">
        <f t="shared" si="2"/>
        <v>45065</v>
      </c>
      <c r="D6" s="47">
        <f t="shared" si="2"/>
        <v>45072</v>
      </c>
      <c r="E6" s="47">
        <f t="shared" si="2"/>
        <v>45079</v>
      </c>
      <c r="F6" s="47">
        <f t="shared" si="2"/>
        <v>45086</v>
      </c>
      <c r="G6" s="47">
        <f t="shared" si="2"/>
        <v>45093</v>
      </c>
      <c r="H6" s="47">
        <f t="shared" si="2"/>
        <v>45100</v>
      </c>
      <c r="I6" s="47">
        <f t="shared" si="2"/>
        <v>45107</v>
      </c>
      <c r="J6" s="47">
        <f t="shared" si="2"/>
        <v>45114</v>
      </c>
      <c r="K6" s="47">
        <f t="shared" si="2"/>
        <v>45121</v>
      </c>
      <c r="L6" s="47">
        <f t="shared" si="2"/>
        <v>45128</v>
      </c>
      <c r="M6" s="47">
        <f t="shared" si="2"/>
        <v>45135</v>
      </c>
      <c r="N6" s="47">
        <f t="shared" si="2"/>
        <v>45142</v>
      </c>
      <c r="O6" s="47">
        <f t="shared" si="2"/>
        <v>45149</v>
      </c>
    </row>
    <row r="7">
      <c r="A7" s="38" t="s">
        <v>27</v>
      </c>
      <c r="B7" s="39" t="str">
        <f t="shared" ref="B7:J7" si="3">IF(B2+6&gt;TODAY(),"Forecast","Actual")</f>
        <v>Actual</v>
      </c>
      <c r="C7" s="39" t="str">
        <f t="shared" si="3"/>
        <v>Actual</v>
      </c>
      <c r="D7" s="39" t="str">
        <f t="shared" si="3"/>
        <v>Actual</v>
      </c>
      <c r="E7" s="39" t="str">
        <f t="shared" si="3"/>
        <v>Actual</v>
      </c>
      <c r="F7" s="39" t="str">
        <f t="shared" si="3"/>
        <v>Actual</v>
      </c>
      <c r="G7" s="39" t="str">
        <f t="shared" si="3"/>
        <v>Actual</v>
      </c>
      <c r="H7" s="39" t="str">
        <f t="shared" si="3"/>
        <v>Actual</v>
      </c>
      <c r="I7" s="39" t="str">
        <f t="shared" si="3"/>
        <v>Actual</v>
      </c>
      <c r="J7" s="39" t="str">
        <f t="shared" si="3"/>
        <v>Actual</v>
      </c>
      <c r="K7" s="39" t="s">
        <v>7</v>
      </c>
      <c r="L7" s="40" t="str">
        <f t="shared" ref="L7:O7" si="4">IF(L2+6&gt;TODAY(),"Forecast","Actual")</f>
        <v>Forecast</v>
      </c>
      <c r="M7" s="40" t="str">
        <f t="shared" si="4"/>
        <v>Forecast</v>
      </c>
      <c r="N7" s="40" t="str">
        <f t="shared" si="4"/>
        <v>Forecast</v>
      </c>
      <c r="O7" s="40" t="str">
        <f t="shared" si="4"/>
        <v>Forecast</v>
      </c>
    </row>
    <row r="8">
      <c r="A8" s="38" t="s">
        <v>28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40"/>
      <c r="M8" s="40"/>
      <c r="N8" s="40"/>
      <c r="O8" s="40"/>
    </row>
    <row r="9">
      <c r="A9" s="48" t="s">
        <v>29</v>
      </c>
      <c r="B9" s="48">
        <f t="array" ref="B9">IFERROR(INDEX('3.Data'!$B$1:$M1015,MATCH(B$2,'3.Data'!$B:$B,0),MATCH($A9,'3.Data'!$B$1:$M$1,0)),"")</f>
        <v>600</v>
      </c>
      <c r="C9" s="48">
        <f t="array" ref="C9">IFERROR(INDEX('3.Data'!$B$1:$M1015,MATCH(C$2,'3.Data'!$B:$B,0),MATCH($A9,'3.Data'!$B$1:$M$1,0)),"")</f>
        <v>612</v>
      </c>
      <c r="D9" s="48">
        <f t="array" ref="D9">IFERROR(INDEX('3.Data'!$B$1:$M1015,MATCH(D$2,'3.Data'!$B:$B,0),MATCH($A9,'3.Data'!$B$1:$M$1,0)),"")</f>
        <v>624</v>
      </c>
      <c r="E9" s="48">
        <f t="array" ref="E9">IFERROR(INDEX('3.Data'!$B$1:$M1015,MATCH(E$2,'3.Data'!$B:$B,0),MATCH($A9,'3.Data'!$B$1:$M$1,0)),"")</f>
        <v>637</v>
      </c>
      <c r="F9" s="48">
        <f t="array" ref="F9">IFERROR(INDEX('3.Data'!$B$1:$M1015,MATCH(F$2,'3.Data'!$B:$B,0),MATCH($A9,'3.Data'!$B$1:$M$1,0)),"")</f>
        <v>649</v>
      </c>
      <c r="G9" s="48">
        <f t="array" ref="G9">IFERROR(INDEX('3.Data'!$B$1:$M1015,MATCH(G$2,'3.Data'!$B:$B,0),MATCH($A9,'3.Data'!$B$1:$M$1,0)),"")</f>
        <v>662</v>
      </c>
      <c r="H9" s="48">
        <f t="array" ref="H9">IFERROR(INDEX('3.Data'!$B$1:$M1015,MATCH(H$2,'3.Data'!$B:$B,0),MATCH($A9,'3.Data'!$B$1:$M$1,0)),"")</f>
        <v>676</v>
      </c>
      <c r="I9" s="48">
        <f t="array" ref="I9">IFERROR(INDEX('3.Data'!$B$1:$M1015,MATCH(I$2,'3.Data'!$B:$B,0),MATCH($A9,'3.Data'!$B$1:$M$1,0)),"")</f>
        <v>689</v>
      </c>
      <c r="J9" s="48">
        <f t="array" ref="J9">IFERROR(INDEX('3.Data'!$B$1:$M1015,MATCH(J$2,'3.Data'!$B:$B,0),MATCH($A9,'3.Data'!$B$1:$M$1,0)),"")</f>
        <v>492</v>
      </c>
      <c r="K9" s="49">
        <f t="array" ref="K9">IF(K$7="Actual",IFERROR(INDEX('3.Data'!$B$1:$M1015,MATCH(K$2,'3.Data'!$B:$B,0),MATCH($A9,'3.Data'!$B$1:$M$1,0)),""),IFERROR(INDEX('2.Forecast'!$A$8:$J$33,MATCH($A9,'2.Forecast'!$A$8:$A$33,0),MATCH(K$1,'2.Forecast'!$A$1:$J$1,0))))</f>
        <v>500</v>
      </c>
      <c r="L9" s="49">
        <f t="array" ref="L9">IF(L$7="Actual",IFERROR(INDEX('3.Data'!$B$1:$M1015,MATCH(L$2,'3.Data'!$B:$B,0),MATCH($A9,'3.Data'!$B$1:$M$1,0)),""),IFERROR(INDEX('2.Forecast'!$A$8:$J$33,MATCH($A9,'2.Forecast'!$A$8:$A$33,0),MATCH(L$1,'2.Forecast'!$A$1:$J$1,0))))</f>
        <v>596.9972538</v>
      </c>
      <c r="M9" s="49">
        <f t="array" ref="M9">IF(M$7="Actual",IFERROR(INDEX('3.Data'!$B$1:$M1015,MATCH(M$2,'3.Data'!$B:$B,0),MATCH($A9,'3.Data'!$B$1:$M$1,0)),""),IFERROR(INDEX('2.Forecast'!$A$8:$J$33,MATCH($A9,'2.Forecast'!$A$8:$A$33,0),MATCH(M$1,'2.Forecast'!$A$1:$J$1,0))))</f>
        <v>591.0330948</v>
      </c>
      <c r="N9" s="49">
        <f t="array" ref="N9">IF(N$7="Actual",IFERROR(INDEX('3.Data'!$B$1:$M1015,MATCH(N$2,'3.Data'!$B:$B,0),MATCH($A9,'3.Data'!$B$1:$M$1,0)),""),IFERROR(INDEX('2.Forecast'!$A$8:$J$33,MATCH($A9,'2.Forecast'!$A$8:$A$33,0),MATCH(N$1,'2.Forecast'!$A$1:$J$1,0))))</f>
        <v>601.021905</v>
      </c>
      <c r="O9" s="49">
        <f t="array" ref="O9">IF(O$7="Actual",IFERROR(INDEX('3.Data'!$B$1:$M1015,MATCH(O$2,'3.Data'!$B:$B,0),MATCH($A9,'3.Data'!$B$1:$M$1,0)),""),IFERROR(INDEX('2.Forecast'!$A$8:$J$33,MATCH($A9,'2.Forecast'!$A$8:$A$33,0),MATCH(O$1,'2.Forecast'!$A$1:$J$1,0))))</f>
        <v>596.3302788</v>
      </c>
    </row>
    <row r="10">
      <c r="A10" s="48" t="s">
        <v>30</v>
      </c>
      <c r="B10" s="48">
        <f t="array" ref="B10">IFERROR(INDEX('3.Data'!$B$1:$M1015,MATCH(B$2,'3.Data'!$B:$B,0),MATCH($A10,'3.Data'!$B$1:$M$1,0)),"")</f>
        <v>20</v>
      </c>
      <c r="C10" s="48">
        <f t="array" ref="C10">IFERROR(INDEX('3.Data'!$B$1:$M1015,MATCH(C$2,'3.Data'!$B:$B,0),MATCH($A10,'3.Data'!$B$1:$M$1,0)),"")</f>
        <v>22</v>
      </c>
      <c r="D10" s="48">
        <f t="array" ref="D10">IFERROR(INDEX('3.Data'!$B$1:$M1015,MATCH(D$2,'3.Data'!$B:$B,0),MATCH($A10,'3.Data'!$B$1:$M$1,0)),"")</f>
        <v>24</v>
      </c>
      <c r="E10" s="48">
        <f t="array" ref="E10">IFERROR(INDEX('3.Data'!$B$1:$M1015,MATCH(E$2,'3.Data'!$B:$B,0),MATCH($A10,'3.Data'!$B$1:$M$1,0)),"")</f>
        <v>27</v>
      </c>
      <c r="F10" s="48">
        <f t="array" ref="F10">IFERROR(INDEX('3.Data'!$B$1:$M1015,MATCH(F$2,'3.Data'!$B:$B,0),MATCH($A10,'3.Data'!$B$1:$M$1,0)),"")</f>
        <v>29</v>
      </c>
      <c r="G10" s="48">
        <f t="array" ref="G10">IFERROR(INDEX('3.Data'!$B$1:$M1015,MATCH(G$2,'3.Data'!$B:$B,0),MATCH($A10,'3.Data'!$B$1:$M$1,0)),"")</f>
        <v>32</v>
      </c>
      <c r="H10" s="48">
        <f t="array" ref="H10">IFERROR(INDEX('3.Data'!$B$1:$M1015,MATCH(H$2,'3.Data'!$B:$B,0),MATCH($A10,'3.Data'!$B$1:$M$1,0)),"")</f>
        <v>35</v>
      </c>
      <c r="I10" s="48">
        <f t="array" ref="I10">IFERROR(INDEX('3.Data'!$B$1:$M1015,MATCH(I$2,'3.Data'!$B:$B,0),MATCH($A10,'3.Data'!$B$1:$M$1,0)),"")</f>
        <v>39</v>
      </c>
      <c r="J10" s="48">
        <f t="array" ref="J10">IFERROR(INDEX('3.Data'!$B$1:$M1015,MATCH(J$2,'3.Data'!$B:$B,0),MATCH($A10,'3.Data'!$B$1:$M$1,0)),"")</f>
        <v>28</v>
      </c>
      <c r="K10" s="49">
        <f t="array" ref="K10">IF(K$7="Actual",IFERROR(INDEX('3.Data'!$B$1:$M1015,MATCH(K$2,'3.Data'!$B:$B,0),MATCH($A10,'3.Data'!$B$1:$M$1,0)),""),IFERROR(INDEX('2.Forecast'!$A$8:$J$33,MATCH($A10,'2.Forecast'!$A$8:$A$33,0),MATCH(K$1,'2.Forecast'!$A$1:$J$1,0))))</f>
        <v>30</v>
      </c>
      <c r="L10" s="49">
        <f t="array" ref="L10">IF(L$7="Actual",IFERROR(INDEX('3.Data'!$B$1:$M1015,MATCH(L$2,'3.Data'!$B:$B,0),MATCH($A10,'3.Data'!$B$1:$M$1,0)),""),IFERROR(INDEX('2.Forecast'!$A$8:$J$33,MATCH($A10,'2.Forecast'!$A$8:$A$33,0),MATCH(L$1,'2.Forecast'!$A$1:$J$1,0))))</f>
        <v>63.33333333</v>
      </c>
      <c r="M10" s="49">
        <f t="array" ref="M10">IF(M$7="Actual",IFERROR(INDEX('3.Data'!$B$1:$M1015,MATCH(M$2,'3.Data'!$B:$B,0),MATCH($A10,'3.Data'!$B$1:$M$1,0)),""),IFERROR(INDEX('2.Forecast'!$A$8:$J$33,MATCH($A10,'2.Forecast'!$A$8:$A$33,0),MATCH(M$1,'2.Forecast'!$A$1:$J$1,0))))</f>
        <v>43.44444444</v>
      </c>
      <c r="N10" s="49">
        <f t="array" ref="N10">IF(N$7="Actual",IFERROR(INDEX('3.Data'!$B$1:$M1015,MATCH(N$2,'3.Data'!$B:$B,0),MATCH($A10,'3.Data'!$B$1:$M$1,0)),""),IFERROR(INDEX('2.Forecast'!$A$8:$J$33,MATCH($A10,'2.Forecast'!$A$8:$A$33,0),MATCH(N$1,'2.Forecast'!$A$1:$J$1,0))))</f>
        <v>76.59259259</v>
      </c>
      <c r="O10" s="49">
        <f t="array" ref="O10">IF(O$7="Actual",IFERROR(INDEX('3.Data'!$B$1:$M1015,MATCH(O$2,'3.Data'!$B:$B,0),MATCH($A10,'3.Data'!$B$1:$M$1,0)),""),IFERROR(INDEX('2.Forecast'!$A$8:$J$33,MATCH($A10,'2.Forecast'!$A$8:$A$33,0),MATCH(O$1,'2.Forecast'!$A$1:$J$1,0))))</f>
        <v>61.12345679</v>
      </c>
    </row>
    <row r="11">
      <c r="A11" s="48" t="s">
        <v>31</v>
      </c>
      <c r="B11" s="48">
        <f t="array" ref="B11">IFERROR(INDEX('3.Data'!$B$1:$M1015,MATCH(B$2,'3.Data'!$B:$B,0),MATCH($A11,'3.Data'!$B$1:$M$1,0)),"")</f>
        <v>10</v>
      </c>
      <c r="C11" s="48">
        <f t="array" ref="C11">IFERROR(INDEX('3.Data'!$B$1:$M1015,MATCH(C$2,'3.Data'!$B:$B,0),MATCH($A11,'3.Data'!$B$1:$M$1,0)),"")</f>
        <v>15</v>
      </c>
      <c r="D11" s="48">
        <f t="array" ref="D11">IFERROR(INDEX('3.Data'!$B$1:$M1015,MATCH(D$2,'3.Data'!$B:$B,0),MATCH($A11,'3.Data'!$B$1:$M$1,0)),"")</f>
        <v>16</v>
      </c>
      <c r="E11" s="48">
        <f t="array" ref="E11">IFERROR(INDEX('3.Data'!$B$1:$M1015,MATCH(E$2,'3.Data'!$B:$B,0),MATCH($A11,'3.Data'!$B$1:$M$1,0)),"")</f>
        <v>20</v>
      </c>
      <c r="F11" s="48">
        <f t="array" ref="F11">IFERROR(INDEX('3.Data'!$B$1:$M1015,MATCH(F$2,'3.Data'!$B:$B,0),MATCH($A11,'3.Data'!$B$1:$M$1,0)),"")</f>
        <v>14</v>
      </c>
      <c r="G11" s="48">
        <f t="array" ref="G11">IFERROR(INDEX('3.Data'!$B$1:$M1015,MATCH(G$2,'3.Data'!$B:$B,0),MATCH($A11,'3.Data'!$B$1:$M$1,0)),"")</f>
        <v>13</v>
      </c>
      <c r="H11" s="48">
        <f t="array" ref="H11">IFERROR(INDEX('3.Data'!$B$1:$M1015,MATCH(H$2,'3.Data'!$B:$B,0),MATCH($A11,'3.Data'!$B$1:$M$1,0)),"")</f>
        <v>16</v>
      </c>
      <c r="I11" s="48">
        <f t="array" ref="I11">IFERROR(INDEX('3.Data'!$B$1:$M1015,MATCH(I$2,'3.Data'!$B:$B,0),MATCH($A11,'3.Data'!$B$1:$M$1,0)),"")</f>
        <v>13</v>
      </c>
      <c r="J11" s="48">
        <f t="array" ref="J11">IFERROR(INDEX('3.Data'!$B$1:$M1015,MATCH(J$2,'3.Data'!$B:$B,0),MATCH($A11,'3.Data'!$B$1:$M$1,0)),"")</f>
        <v>9</v>
      </c>
      <c r="K11" s="49">
        <f t="array" ref="K11">IF(K$7="Actual",IFERROR(INDEX('3.Data'!$B$1:$M1015,MATCH(K$2,'3.Data'!$B:$B,0),MATCH($A11,'3.Data'!$B$1:$M$1,0)),""),IFERROR(INDEX('2.Forecast'!$A$8:$J$33,MATCH($A11,'2.Forecast'!$A$8:$A$33,0),MATCH(K$1,'2.Forecast'!$A$1:$J$1,0))))</f>
        <v>12</v>
      </c>
      <c r="L11" s="49">
        <f t="array" ref="L11">IF(L$7="Actual",IFERROR(INDEX('3.Data'!$B$1:$M1015,MATCH(L$2,'3.Data'!$B:$B,0),MATCH($A11,'3.Data'!$B$1:$M$1,0)),""),IFERROR(INDEX('2.Forecast'!$A$8:$J$33,MATCH($A11,'2.Forecast'!$A$8:$A$33,0),MATCH(L$1,'2.Forecast'!$A$1:$J$1,0))))</f>
        <v>44.90745091</v>
      </c>
      <c r="M11" s="49">
        <f t="array" ref="M11">IF(M$7="Actual",IFERROR(INDEX('3.Data'!$B$1:$M1015,MATCH(M$2,'3.Data'!$B:$B,0),MATCH($A11,'3.Data'!$B$1:$M$1,0)),""),IFERROR(INDEX('2.Forecast'!$A$8:$J$33,MATCH($A11,'2.Forecast'!$A$8:$A$33,0),MATCH(M$1,'2.Forecast'!$A$1:$J$1,0))))</f>
        <v>37.48028544</v>
      </c>
      <c r="N11" s="49">
        <f t="array" ref="N11">IF(N$7="Actual",IFERROR(INDEX('3.Data'!$B$1:$M1015,MATCH(N$2,'3.Data'!$B:$B,0),MATCH($A11,'3.Data'!$B$1:$M$1,0)),""),IFERROR(INDEX('2.Forecast'!$A$8:$J$33,MATCH($A11,'2.Forecast'!$A$8:$A$33,0),MATCH(N$1,'2.Forecast'!$A$1:$J$1,0))))</f>
        <v>86.58140278</v>
      </c>
      <c r="O11" s="49">
        <f t="array" ref="O11">IF(O$7="Actual",IFERROR(INDEX('3.Data'!$B$1:$M1015,MATCH(O$2,'3.Data'!$B:$B,0),MATCH($A11,'3.Data'!$B$1:$M$1,0)),""),IFERROR(INDEX('2.Forecast'!$A$8:$J$33,MATCH($A11,'2.Forecast'!$A$8:$A$33,0),MATCH(O$1,'2.Forecast'!$A$1:$J$1,0))))</f>
        <v>56.43183059</v>
      </c>
    </row>
    <row r="12">
      <c r="A12" s="48" t="s">
        <v>32</v>
      </c>
      <c r="B12" s="48">
        <f t="array" ref="B12">IFERROR(INDEX('3.Data'!$B$1:$M1015,MATCH(B$2,'3.Data'!$B:$B,0),MATCH($A12,'3.Data'!$B$1:$M$1,0)),"")</f>
        <v>3126</v>
      </c>
      <c r="C12" s="48">
        <f t="array" ref="C12">IFERROR(INDEX('3.Data'!$B$1:$M1015,MATCH(C$2,'3.Data'!$B:$B,0),MATCH($A12,'3.Data'!$B$1:$M$1,0)),"")</f>
        <v>3311</v>
      </c>
      <c r="D12" s="48">
        <f t="array" ref="D12">IFERROR(INDEX('3.Data'!$B$1:$M1015,MATCH(D$2,'3.Data'!$B:$B,0),MATCH($A12,'3.Data'!$B$1:$M$1,0)),"")</f>
        <v>3084</v>
      </c>
      <c r="E12" s="48">
        <f t="array" ref="E12">IFERROR(INDEX('3.Data'!$B$1:$M1015,MATCH(E$2,'3.Data'!$B:$B,0),MATCH($A12,'3.Data'!$B$1:$M$1,0)),"")</f>
        <v>3279</v>
      </c>
      <c r="F12" s="48">
        <f t="array" ref="F12">IFERROR(INDEX('3.Data'!$B$1:$M1015,MATCH(F$2,'3.Data'!$B:$B,0),MATCH($A12,'3.Data'!$B$1:$M$1,0)),"")</f>
        <v>3397</v>
      </c>
      <c r="G12" s="48">
        <f t="array" ref="G12">IFERROR(INDEX('3.Data'!$B$1:$M1015,MATCH(G$2,'3.Data'!$B:$B,0),MATCH($A12,'3.Data'!$B$1:$M$1,0)),"")</f>
        <v>3551</v>
      </c>
      <c r="H12" s="48">
        <f t="array" ref="H12">IFERROR(INDEX('3.Data'!$B$1:$M1015,MATCH(H$2,'3.Data'!$B:$B,0),MATCH($A12,'3.Data'!$B$1:$M$1,0)),"")</f>
        <v>3764</v>
      </c>
      <c r="I12" s="48">
        <f t="array" ref="I12">IFERROR(INDEX('3.Data'!$B$1:$M1015,MATCH(I$2,'3.Data'!$B:$B,0),MATCH($A12,'3.Data'!$B$1:$M$1,0)),"")</f>
        <v>3991</v>
      </c>
      <c r="J12" s="48">
        <f t="array" ref="J12">IFERROR(INDEX('3.Data'!$B$1:$M1015,MATCH(J$2,'3.Data'!$B:$B,0),MATCH($A12,'3.Data'!$B$1:$M$1,0)),"")</f>
        <v>2851</v>
      </c>
      <c r="K12" s="49">
        <f t="array" ref="K12">IF(K$7="Actual",IFERROR(INDEX('3.Data'!$B$1:$M1015,MATCH(K$2,'3.Data'!$B:$B,0),MATCH($A12,'3.Data'!$B$1:$M$1,0)),""),IFERROR(INDEX('2.Forecast'!$A$8:$J$33,MATCH($A12,'2.Forecast'!$A$8:$A$33,0),MATCH(K$1,'2.Forecast'!$A$1:$J$1,0))))</f>
        <v>2800</v>
      </c>
      <c r="L12" s="49">
        <f t="array" ref="L12">IF(L$7="Actual",IFERROR(INDEX('3.Data'!$B$1:$M1015,MATCH(L$2,'3.Data'!$B:$B,0),MATCH($A12,'3.Data'!$B$1:$M$1,0)),""),IFERROR(INDEX('2.Forecast'!$A$8:$J$33,MATCH($A12,'2.Forecast'!$A$8:$A$33,0),MATCH(L$1,'2.Forecast'!$A$1:$J$1,0))))</f>
        <v>3443.793282</v>
      </c>
      <c r="M12" s="49">
        <f t="array" ref="M12">IF(M$7="Actual",IFERROR(INDEX('3.Data'!$B$1:$M1015,MATCH(M$2,'3.Data'!$B:$B,0),MATCH($A12,'3.Data'!$B$1:$M$1,0)),""),IFERROR(INDEX('2.Forecast'!$A$8:$J$33,MATCH($A12,'2.Forecast'!$A$8:$A$33,0),MATCH(M$1,'2.Forecast'!$A$1:$J$1,0))))</f>
        <v>3419.262937</v>
      </c>
      <c r="N12" s="49">
        <f t="array" ref="N12">IF(N$7="Actual",IFERROR(INDEX('3.Data'!$B$1:$M1015,MATCH(N$2,'3.Data'!$B:$B,0),MATCH($A12,'3.Data'!$B$1:$M$1,0)),""),IFERROR(INDEX('2.Forecast'!$A$8:$J$33,MATCH($A12,'2.Forecast'!$A$8:$A$33,0),MATCH(N$1,'2.Forecast'!$A$1:$J$1,0))))</f>
        <v>3460.315627</v>
      </c>
      <c r="O12" s="49">
        <f t="array" ref="O12">IF(O$7="Actual",IFERROR(INDEX('3.Data'!$B$1:$M1015,MATCH(O$2,'3.Data'!$B:$B,0),MATCH($A12,'3.Data'!$B$1:$M$1,0)),""),IFERROR(INDEX('2.Forecast'!$A$8:$J$33,MATCH($A12,'2.Forecast'!$A$8:$A$33,0),MATCH(O$1,'2.Forecast'!$A$1:$J$1,0))))</f>
        <v>3441.05277</v>
      </c>
    </row>
    <row r="13">
      <c r="A13" s="50" t="s">
        <v>33</v>
      </c>
      <c r="B13" s="51">
        <f t="shared" ref="B13:O13" si="5">IFERROR(B18/B12,"")</f>
        <v>0.6740243122</v>
      </c>
      <c r="C13" s="51">
        <f t="shared" si="5"/>
        <v>0.6490486258</v>
      </c>
      <c r="D13" s="51">
        <f t="shared" si="5"/>
        <v>0.691309987</v>
      </c>
      <c r="E13" s="51">
        <f t="shared" si="5"/>
        <v>0.7941445563</v>
      </c>
      <c r="F13" s="51">
        <f t="shared" si="5"/>
        <v>0.7324109508</v>
      </c>
      <c r="G13" s="51">
        <f t="shared" si="5"/>
        <v>0.6049000282</v>
      </c>
      <c r="H13" s="51">
        <f t="shared" si="5"/>
        <v>0.6782678002</v>
      </c>
      <c r="I13" s="51">
        <f t="shared" si="5"/>
        <v>0.704585317</v>
      </c>
      <c r="J13" s="51">
        <f t="shared" si="5"/>
        <v>0.739740442</v>
      </c>
      <c r="K13" s="51">
        <f t="shared" si="5"/>
        <v>0.8571428571</v>
      </c>
      <c r="L13" s="51">
        <f t="shared" si="5"/>
        <v>0.7174582141</v>
      </c>
      <c r="M13" s="51">
        <f t="shared" si="5"/>
        <v>0.7206014779</v>
      </c>
      <c r="N13" s="51">
        <f t="shared" si="5"/>
        <v>0.7153525706</v>
      </c>
      <c r="O13" s="51">
        <f t="shared" si="5"/>
        <v>0.7178083645</v>
      </c>
    </row>
    <row r="14">
      <c r="A14" s="52" t="s">
        <v>34</v>
      </c>
      <c r="B14" s="53">
        <f t="shared" ref="B14:J14" si="6">IFERROR((B12/B9))</f>
        <v>5.21</v>
      </c>
      <c r="C14" s="53">
        <f t="shared" si="6"/>
        <v>5.410130719</v>
      </c>
      <c r="D14" s="53">
        <f t="shared" si="6"/>
        <v>4.942307692</v>
      </c>
      <c r="E14" s="53">
        <f t="shared" si="6"/>
        <v>5.147566719</v>
      </c>
      <c r="F14" s="53">
        <f t="shared" si="6"/>
        <v>5.234206471</v>
      </c>
      <c r="G14" s="53">
        <f t="shared" si="6"/>
        <v>5.364048338</v>
      </c>
      <c r="H14" s="53">
        <f t="shared" si="6"/>
        <v>5.568047337</v>
      </c>
      <c r="I14" s="53">
        <f t="shared" si="6"/>
        <v>5.79245283</v>
      </c>
      <c r="J14" s="53">
        <f t="shared" si="6"/>
        <v>5.794715447</v>
      </c>
      <c r="K14" s="53">
        <f t="array" ref="K14">IF($K$7="Actual",K12/K9,INDEX('2.Forecast'!$A$8:$A$33,MATCH($A14,'2.Forecast'!$A$8:$A$33,0),MATCH(K$1,'2.Forecast'!$A$2:$J$2,0)))</f>
        <v>5.6</v>
      </c>
      <c r="L14" s="53">
        <f t="array" ref="L14">IF($K$7="Actual",L12/L9,INDEX('2.Forecast'!$A$8:$A$33,MATCH($A14,'2.Forecast'!$A$8:$A$33,0),MATCH(L$1,'2.Forecast'!$A$2:$J$2,0)))</f>
        <v>5.768524494</v>
      </c>
      <c r="M14" s="53">
        <f t="array" ref="M14">IF($K$7="Actual",M12/M9,INDEX('2.Forecast'!$A$8:$A$33,MATCH($A14,'2.Forecast'!$A$8:$A$33,0),MATCH(M$1,'2.Forecast'!$A$2:$J$2,0)))</f>
        <v>5.785230924</v>
      </c>
      <c r="N14" s="53">
        <f t="array" ref="N14">IF($K$7="Actual",N12/N9,INDEX('2.Forecast'!$A$8:$A$33,MATCH($A14,'2.Forecast'!$A$8:$A$33,0),MATCH(N$1,'2.Forecast'!$A$2:$J$2,0)))</f>
        <v>5.757386874</v>
      </c>
      <c r="O14" s="53">
        <f t="array" ref="O14">IF($K$7="Actual",O12/O9,INDEX('2.Forecast'!$A$8:$A$33,MATCH($A14,'2.Forecast'!$A$8:$A$33,0),MATCH(O$1,'2.Forecast'!$A$2:$J$2,0)))</f>
        <v>5.770380764</v>
      </c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0" t="s">
        <v>35</v>
      </c>
      <c r="B15" s="53">
        <f t="shared" ref="B15:J15" si="7">IFERROR(B18/B9)</f>
        <v>3.511666667</v>
      </c>
      <c r="C15" s="53">
        <f t="shared" si="7"/>
        <v>3.511437908</v>
      </c>
      <c r="D15" s="53">
        <f t="shared" si="7"/>
        <v>3.416666667</v>
      </c>
      <c r="E15" s="53">
        <f t="shared" si="7"/>
        <v>4.087912088</v>
      </c>
      <c r="F15" s="53">
        <f t="shared" si="7"/>
        <v>3.833590139</v>
      </c>
      <c r="G15" s="53">
        <f t="shared" si="7"/>
        <v>3.244712991</v>
      </c>
      <c r="H15" s="53">
        <f t="shared" si="7"/>
        <v>3.776627219</v>
      </c>
      <c r="I15" s="53">
        <f t="shared" si="7"/>
        <v>4.081277213</v>
      </c>
      <c r="J15" s="53">
        <f t="shared" si="7"/>
        <v>4.286585366</v>
      </c>
      <c r="K15" s="53">
        <f t="array" ref="K15">IF($K$7="Actual",K18/K9,INDEX('2.Forecast'!$A$8:$A$33,MATCH($A15,'2.Forecast'!$A$8:$A$33,0),MATCH(K$1,'2.Forecast'!$A$2:$J$2,0)))</f>
        <v>4.8</v>
      </c>
      <c r="L15" s="53">
        <f t="array" ref="L15">IF($K$7="Actual",L18/L9,INDEX('2.Forecast'!$A$8:$A$33,MATCH($A15,'2.Forecast'!$A$8:$A$33,0),MATCH(L$1,'2.Forecast'!$A$2:$J$2,0)))</f>
        <v>4.138675282</v>
      </c>
      <c r="M15" s="53">
        <f t="array" ref="M15">IF($K$7="Actual",M18/M9,INDEX('2.Forecast'!$A$8:$A$33,MATCH($A15,'2.Forecast'!$A$8:$A$33,0),MATCH(M$1,'2.Forecast'!$A$2:$J$2,0)))</f>
        <v>4.168845954</v>
      </c>
      <c r="N15" s="53">
        <f t="array" ref="N15">IF($K$7="Actual",N18/N9,INDEX('2.Forecast'!$A$8:$A$33,MATCH($A15,'2.Forecast'!$A$8:$A$33,0),MATCH(N$1,'2.Forecast'!$A$2:$J$2,0)))</f>
        <v>4.1185615</v>
      </c>
      <c r="O15" s="53">
        <f t="array" ref="O15">IF($K$7="Actual",O18/O9,INDEX('2.Forecast'!$A$8:$A$33,MATCH($A15,'2.Forecast'!$A$8:$A$33,0),MATCH(O$1,'2.Forecast'!$A$2:$J$2,0)))</f>
        <v>4.142027579</v>
      </c>
    </row>
    <row r="17">
      <c r="A17" s="38" t="s">
        <v>36</v>
      </c>
      <c r="B17" s="39" t="str">
        <f t="array" ref="B17">IFERROR(INDEX('3.Data'!$B$1:$M1015,MATCH(B$2,'3.Data'!$B:$B,0),MATCH($A17,'3.Data'!$B$1:$M$1,0)),"")</f>
        <v/>
      </c>
      <c r="C17" s="39"/>
      <c r="D17" s="39"/>
      <c r="E17" s="39"/>
      <c r="F17" s="39"/>
      <c r="G17" s="39"/>
      <c r="H17" s="39"/>
      <c r="I17" s="39"/>
      <c r="J17" s="39"/>
      <c r="K17" s="39"/>
      <c r="L17" s="54"/>
      <c r="M17" s="54"/>
      <c r="N17" s="54"/>
      <c r="O17" s="54"/>
    </row>
    <row r="18">
      <c r="A18" s="48" t="s">
        <v>8</v>
      </c>
      <c r="B18" s="48">
        <f t="array" ref="B18">IFERROR(INDEX('3.Data'!$B$1:$M1015,MATCH(B$2,'3.Data'!$B:$B,0),MATCH($A18,'3.Data'!$B$1:$M$1,0)),"")</f>
        <v>2107</v>
      </c>
      <c r="C18" s="48">
        <f t="array" ref="C18">IFERROR(INDEX('3.Data'!$B$1:$M1015,MATCH(C$2,'3.Data'!$B:$B,0),MATCH($A18,'3.Data'!$B$1:$M$1,0)),"")</f>
        <v>2149</v>
      </c>
      <c r="D18" s="48">
        <f t="array" ref="D18">IFERROR(INDEX('3.Data'!$B$1:$M1015,MATCH(D$2,'3.Data'!$B:$B,0),MATCH($A18,'3.Data'!$B$1:$M$1,0)),"")</f>
        <v>2132</v>
      </c>
      <c r="E18" s="48">
        <f t="array" ref="E18">IFERROR(INDEX('3.Data'!$B$1:$M1015,MATCH(E$2,'3.Data'!$B:$B,0),MATCH($A18,'3.Data'!$B$1:$M$1,0)),"")</f>
        <v>2604</v>
      </c>
      <c r="F18" s="48">
        <f t="array" ref="F18">IFERROR(INDEX('3.Data'!$B$1:$M1015,MATCH(F$2,'3.Data'!$B:$B,0),MATCH($A18,'3.Data'!$B$1:$M$1,0)),"")</f>
        <v>2488</v>
      </c>
      <c r="G18" s="48">
        <f t="array" ref="G18">IFERROR(INDEX('3.Data'!$B$1:$M1015,MATCH(G$2,'3.Data'!$B:$B,0),MATCH($A18,'3.Data'!$B$1:$M$1,0)),"")</f>
        <v>2148</v>
      </c>
      <c r="H18" s="48">
        <f t="array" ref="H18">IFERROR(INDEX('3.Data'!$B$1:$M1015,MATCH(H$2,'3.Data'!$B:$B,0),MATCH($A18,'3.Data'!$B$1:$M$1,0)),"")</f>
        <v>2553</v>
      </c>
      <c r="I18" s="48">
        <f t="array" ref="I18">IFERROR(INDEX('3.Data'!$B$1:$M1015,MATCH(I$2,'3.Data'!$B:$B,0),MATCH($A18,'3.Data'!$B$1:$M$1,0)),"")</f>
        <v>2812</v>
      </c>
      <c r="J18" s="48">
        <f t="array" ref="J18">IFERROR(INDEX('3.Data'!$B$1:$M1015,MATCH(J$2,'3.Data'!$B:$B,0),MATCH($A18,'3.Data'!$B$1:$M$1,0)),"")</f>
        <v>2109</v>
      </c>
      <c r="K18" s="48">
        <f t="array" ref="K18">IF(K$7="Actual",IFERROR(INDEX('3.Data'!$B$1:$M1015,MATCH(K$2,'3.Data'!$B:$B,0),MATCH($A18,'3.Data'!$B$1:$M$1,0)),""),IFERROR(INDEX('2.Forecast'!$A$8:$J$33,MATCH($A18,'2.Forecast'!$A$8:$A$33,0),MATCH(K$1,'2.Forecast'!$A$1:$J$1,0))))</f>
        <v>2400</v>
      </c>
      <c r="L18" s="55">
        <f t="array" ref="L18">IF(L$7="Actual",IFERROR(INDEX('3.Data'!$B$1:$M1015,MATCH(L$2,'3.Data'!$B:$B,0),MATCH($A18,'3.Data'!$B$1:$M$1,0)),""),IFERROR(INDEX('2.Forecast'!$A$8:$J$33,MATCH($A18,'2.Forecast'!$A$8:$A$33,0),MATCH(L$1,'2.Forecast'!$A$1:$J$1,0))))</f>
        <v>2470.777778</v>
      </c>
      <c r="M18" s="55">
        <f t="array" ref="M18">IF(M$7="Actual",IFERROR(INDEX('3.Data'!$B$1:$M1015,MATCH(M$2,'3.Data'!$B:$B,0),MATCH($A18,'3.Data'!$B$1:$M$1,0)),""),IFERROR(INDEX('2.Forecast'!$A$8:$J$33,MATCH($A18,'2.Forecast'!$A$8:$A$33,0),MATCH(M$1,'2.Forecast'!$A$1:$J$1,0))))</f>
        <v>2463.925926</v>
      </c>
      <c r="N18" s="55">
        <f t="array" ref="N18">IF(N$7="Actual",IFERROR(INDEX('3.Data'!$B$1:$M1015,MATCH(N$2,'3.Data'!$B:$B,0),MATCH($A18,'3.Data'!$B$1:$M$1,0)),""),IFERROR(INDEX('2.Forecast'!$A$8:$J$33,MATCH($A18,'2.Forecast'!$A$8:$A$33,0),MATCH(N$1,'2.Forecast'!$A$1:$J$1,0))))</f>
        <v>2475.345679</v>
      </c>
      <c r="O18" s="55">
        <f t="array" ref="O18">IF(O$7="Actual",IFERROR(INDEX('3.Data'!$B$1:$M1015,MATCH(O$2,'3.Data'!$B:$B,0),MATCH($A18,'3.Data'!$B$1:$M$1,0)),""),IFERROR(INDEX('2.Forecast'!$A$8:$J$33,MATCH($A18,'2.Forecast'!$A$8:$A$33,0),MATCH(O$1,'2.Forecast'!$A$1:$J$1,0))))</f>
        <v>2470.016461</v>
      </c>
    </row>
    <row r="19">
      <c r="A19" s="56" t="s">
        <v>37</v>
      </c>
      <c r="B19" s="57"/>
      <c r="C19" s="58">
        <f t="shared" ref="C19:O19" si="8">(C18-B18)/B18</f>
        <v>0.01993355482</v>
      </c>
      <c r="D19" s="58">
        <f t="shared" si="8"/>
        <v>-0.007910656119</v>
      </c>
      <c r="E19" s="58">
        <f t="shared" si="8"/>
        <v>0.2213883677</v>
      </c>
      <c r="F19" s="58">
        <f t="shared" si="8"/>
        <v>-0.044546851</v>
      </c>
      <c r="G19" s="58">
        <f t="shared" si="8"/>
        <v>-0.1366559486</v>
      </c>
      <c r="H19" s="58">
        <f t="shared" si="8"/>
        <v>0.188547486</v>
      </c>
      <c r="I19" s="58">
        <f t="shared" si="8"/>
        <v>0.1014492754</v>
      </c>
      <c r="J19" s="58">
        <f t="shared" si="8"/>
        <v>-0.25</v>
      </c>
      <c r="K19" s="58">
        <f t="shared" si="8"/>
        <v>0.1379800853</v>
      </c>
      <c r="L19" s="58">
        <f t="shared" si="8"/>
        <v>0.02949074074</v>
      </c>
      <c r="M19" s="58">
        <f t="shared" si="8"/>
        <v>-0.002773155851</v>
      </c>
      <c r="N19" s="58">
        <f t="shared" si="8"/>
        <v>0.004634779385</v>
      </c>
      <c r="O19" s="58">
        <f t="shared" si="8"/>
        <v>-0.002152918743</v>
      </c>
    </row>
    <row r="20">
      <c r="A20" s="48" t="s">
        <v>38</v>
      </c>
      <c r="B20" s="48">
        <f t="array" ref="B20">IFERROR(INDEX('3.Data'!$B$1:$M1015,MATCH(B$2,'3.Data'!$B:$B,0),MATCH($A20,'3.Data'!$B$1:$M$1,0)),"")</f>
        <v>843</v>
      </c>
      <c r="C20" s="48">
        <f t="array" ref="C20">IFERROR(INDEX('3.Data'!$B$1:$M1015,MATCH(C$2,'3.Data'!$B:$B,0),MATCH($A20,'3.Data'!$B$1:$M$1,0)),"")</f>
        <v>903</v>
      </c>
      <c r="D20" s="48">
        <f t="array" ref="D20">IFERROR(INDEX('3.Data'!$B$1:$M1015,MATCH(D$2,'3.Data'!$B:$B,0),MATCH($A20,'3.Data'!$B$1:$M$1,0)),"")</f>
        <v>938</v>
      </c>
      <c r="E20" s="48">
        <f t="array" ref="E20">IFERROR(INDEX('3.Data'!$B$1:$M1015,MATCH(E$2,'3.Data'!$B:$B,0),MATCH($A20,'3.Data'!$B$1:$M$1,0)),"")</f>
        <v>1302</v>
      </c>
      <c r="F20" s="48">
        <f t="array" ref="F20">IFERROR(INDEX('3.Data'!$B$1:$M1015,MATCH(F$2,'3.Data'!$B:$B,0),MATCH($A20,'3.Data'!$B$1:$M$1,0)),"")</f>
        <v>821</v>
      </c>
      <c r="G20" s="48">
        <f t="array" ref="G20">IFERROR(INDEX('3.Data'!$B$1:$M1015,MATCH(G$2,'3.Data'!$B:$B,0),MATCH($A20,'3.Data'!$B$1:$M$1,0)),"")</f>
        <v>911</v>
      </c>
      <c r="H20" s="48">
        <f t="array" ref="H20">IFERROR(INDEX('3.Data'!$B$1:$M1015,MATCH(H$2,'3.Data'!$B:$B,0),MATCH($A20,'3.Data'!$B$1:$M$1,0)),"")</f>
        <v>1021</v>
      </c>
      <c r="I20" s="48">
        <f t="array" ref="I20">IFERROR(INDEX('3.Data'!$B$1:$M1015,MATCH(I$2,'3.Data'!$B:$B,0),MATCH($A20,'3.Data'!$B$1:$M$1,0)),"")</f>
        <v>1405</v>
      </c>
      <c r="J20" s="48">
        <f t="array" ref="J20">IFERROR(INDEX('3.Data'!$B$1:$M1015,MATCH(J$2,'3.Data'!$B:$B,0),MATCH($A20,'3.Data'!$B$1:$M$1,0)),"")</f>
        <v>1004</v>
      </c>
      <c r="K20" s="48">
        <f t="array" ref="K20">IF(K$7="Actual",IFERROR(INDEX('3.Data'!$B$1:$M1015,MATCH(K$2,'3.Data'!$B:$B,0),MATCH($A20,'3.Data'!$B$1:$M$1,0)),""),IFERROR(INDEX('2.Forecast'!$A$8:$J$33,MATCH($A20,'2.Forecast'!$A$8:$A$33,0),MATCH(K$1,'2.Forecast'!$A$1:$J$1,0))))</f>
        <v>1204</v>
      </c>
      <c r="L20" s="55">
        <f t="array" ref="L20">IF(L$7="Actual",IFERROR(INDEX('3.Data'!$B$1:$M1015,MATCH(L$2,'3.Data'!$B:$B,0),MATCH($A20,'3.Data'!$B$1:$M$1,0)),""),IFERROR(INDEX('2.Forecast'!$A$8:$J$33,MATCH($A20,'2.Forecast'!$A$8:$A$33,0),MATCH(L$1,'2.Forecast'!$A$1:$J$1,0))))</f>
        <v>1184.111111</v>
      </c>
      <c r="M20" s="55">
        <f t="array" ref="M20">IF(M$7="Actual",IFERROR(INDEX('3.Data'!$B$1:$M1015,MATCH(M$2,'3.Data'!$B:$B,0),MATCH($A20,'3.Data'!$B$1:$M$1,0)),""),IFERROR(INDEX('2.Forecast'!$A$8:$J$33,MATCH($A20,'2.Forecast'!$A$8:$A$33,0),MATCH(M$1,'2.Forecast'!$A$1:$J$1,0))))</f>
        <v>1197.703704</v>
      </c>
      <c r="N20" s="55">
        <f t="array" ref="N20">IF(N$7="Actual",IFERROR(INDEX('3.Data'!$B$1:$M1015,MATCH(N$2,'3.Data'!$B:$B,0),MATCH($A20,'3.Data'!$B$1:$M$1,0)),""),IFERROR(INDEX('2.Forecast'!$A$8:$J$33,MATCH($A20,'2.Forecast'!$A$8:$A$33,0),MATCH(N$1,'2.Forecast'!$A$1:$J$1,0))))</f>
        <v>1175.049383</v>
      </c>
      <c r="O20" s="55">
        <f t="array" ref="O20">IF(O$7="Actual",IFERROR(INDEX('3.Data'!$B$1:$M1015,MATCH(O$2,'3.Data'!$B:$B,0),MATCH($A20,'3.Data'!$B$1:$M$1,0)),""),IFERROR(INDEX('2.Forecast'!$A$8:$J$33,MATCH($A20,'2.Forecast'!$A$8:$A$33,0),MATCH(O$1,'2.Forecast'!$A$1:$J$1,0))))</f>
        <v>1185.621399</v>
      </c>
    </row>
    <row r="21">
      <c r="A21" s="48" t="s">
        <v>39</v>
      </c>
      <c r="B21" s="48">
        <f t="array" ref="B21">IFERROR(INDEX('3.Data'!$B$1:$M1015,MATCH(B$2,'3.Data'!$B:$B,0),MATCH($A21,'3.Data'!$B$1:$M$1,0)),"")</f>
        <v>67</v>
      </c>
      <c r="C21" s="48">
        <f t="array" ref="C21">IFERROR(INDEX('3.Data'!$B$1:$M1015,MATCH(C$2,'3.Data'!$B:$B,0),MATCH($A21,'3.Data'!$B$1:$M$1,0)),"")</f>
        <v>72</v>
      </c>
      <c r="D21" s="48">
        <f t="array" ref="D21">IFERROR(INDEX('3.Data'!$B$1:$M1015,MATCH(D$2,'3.Data'!$B:$B,0),MATCH($A21,'3.Data'!$B$1:$M$1,0)),"")</f>
        <v>75</v>
      </c>
      <c r="E21" s="48">
        <f t="array" ref="E21">IFERROR(INDEX('3.Data'!$B$1:$M1015,MATCH(E$2,'3.Data'!$B:$B,0),MATCH($A21,'3.Data'!$B$1:$M$1,0)),"")</f>
        <v>104</v>
      </c>
      <c r="F21" s="48">
        <f t="array" ref="F21">IFERROR(INDEX('3.Data'!$B$1:$M1015,MATCH(F$2,'3.Data'!$B:$B,0),MATCH($A21,'3.Data'!$B$1:$M$1,0)),"")</f>
        <v>66</v>
      </c>
      <c r="G21" s="48">
        <f t="array" ref="G21">IFERROR(INDEX('3.Data'!$B$1:$M1015,MATCH(G$2,'3.Data'!$B:$B,0),MATCH($A21,'3.Data'!$B$1:$M$1,0)),"")</f>
        <v>73</v>
      </c>
      <c r="H21" s="48">
        <f t="array" ref="H21">IFERROR(INDEX('3.Data'!$B$1:$M1015,MATCH(H$2,'3.Data'!$B:$B,0),MATCH($A21,'3.Data'!$B$1:$M$1,0)),"")</f>
        <v>82</v>
      </c>
      <c r="I21" s="48">
        <f t="array" ref="I21">IFERROR(INDEX('3.Data'!$B$1:$M1015,MATCH(I$2,'3.Data'!$B:$B,0),MATCH($A21,'3.Data'!$B$1:$M$1,0)),"")</f>
        <v>112</v>
      </c>
      <c r="J21" s="48">
        <f t="array" ref="J21">IFERROR(INDEX('3.Data'!$B$1:$M1015,MATCH(J$2,'3.Data'!$B:$B,0),MATCH($A21,'3.Data'!$B$1:$M$1,0)),"")</f>
        <v>80</v>
      </c>
      <c r="K21" s="48">
        <f t="array" ref="K21">IF(K$7="Actual",IFERROR(INDEX('3.Data'!$B$1:$M1015,MATCH(K$2,'3.Data'!$B:$B,0),MATCH($A21,'3.Data'!$B$1:$M$1,0)),""),IFERROR(INDEX('2.Forecast'!$A$8:$J$33,MATCH($A21,'2.Forecast'!$A$8:$A$33,0),MATCH(K$1,'2.Forecast'!$A$1:$J$1,0))))</f>
        <v>89</v>
      </c>
      <c r="L21" s="48">
        <f t="array" ref="L21">IF(L$7="Actual",IFERROR(INDEX('3.Data'!$B$1:$M1015,MATCH(L$2,'3.Data'!$B:$B,0),MATCH($A21,'3.Data'!$B$1:$M$1,0)),""),IFERROR(INDEX('2.Forecast'!$A$8:$J$33,MATCH($A21,'2.Forecast'!$A$8:$A$33,0),MATCH(L$1,'2.Forecast'!$A$1:$J$1,0))))</f>
        <v>105</v>
      </c>
      <c r="M21" s="48">
        <f t="array" ref="M21">IF(M$7="Actual",IFERROR(INDEX('3.Data'!$B$1:$M1015,MATCH(M$2,'3.Data'!$B:$B,0),MATCH($A21,'3.Data'!$B$1:$M$1,0)),""),IFERROR(INDEX('2.Forecast'!$A$8:$J$33,MATCH($A21,'2.Forecast'!$A$8:$A$33,0),MATCH(M$1,'2.Forecast'!$A$1:$J$1,0))))</f>
        <v>99</v>
      </c>
      <c r="N21" s="48">
        <f t="array" ref="N21">IF(N$7="Actual",IFERROR(INDEX('3.Data'!$B$1:$M1015,MATCH(N$2,'3.Data'!$B:$B,0),MATCH($A21,'3.Data'!$B$1:$M$1,0)),""),IFERROR(INDEX('2.Forecast'!$A$8:$J$33,MATCH($A21,'2.Forecast'!$A$8:$A$33,0),MATCH(N$1,'2.Forecast'!$A$1:$J$1,0))))</f>
        <v>109</v>
      </c>
      <c r="O21" s="55">
        <f t="array" ref="O21">IF(O$7="Actual",IFERROR(INDEX('3.Data'!$B$1:$M1015,MATCH(O$2,'3.Data'!$B:$B,0),MATCH($A21,'3.Data'!$B$1:$M$1,0)),""),IFERROR(INDEX('2.Forecast'!$A$8:$J$33,MATCH($A21,'2.Forecast'!$A$8:$A$33,0),MATCH(O$1,'2.Forecast'!$A$1:$J$1,0))))</f>
        <v>104.3333333</v>
      </c>
    </row>
    <row r="22">
      <c r="A22" s="48" t="s">
        <v>40</v>
      </c>
      <c r="B22" s="48">
        <f t="array" ref="B22">IFERROR(INDEX('3.Data'!$B$1:$M1015,MATCH(B$2,'3.Data'!$B:$B,0),MATCH($A22,'3.Data'!$B$1:$M$1,0)),"")</f>
        <v>84</v>
      </c>
      <c r="C22" s="48">
        <f t="array" ref="C22">IFERROR(INDEX('3.Data'!$B$1:$M1015,MATCH(C$2,'3.Data'!$B:$B,0),MATCH($A22,'3.Data'!$B$1:$M$1,0)),"")</f>
        <v>90</v>
      </c>
      <c r="D22" s="48">
        <f t="array" ref="D22">IFERROR(INDEX('3.Data'!$B$1:$M1015,MATCH(D$2,'3.Data'!$B:$B,0),MATCH($A22,'3.Data'!$B$1:$M$1,0)),"")</f>
        <v>94</v>
      </c>
      <c r="E22" s="48">
        <f t="array" ref="E22">IFERROR(INDEX('3.Data'!$B$1:$M1015,MATCH(E$2,'3.Data'!$B:$B,0),MATCH($A22,'3.Data'!$B$1:$M$1,0)),"")</f>
        <v>130</v>
      </c>
      <c r="F22" s="48">
        <f t="array" ref="F22">IFERROR(INDEX('3.Data'!$B$1:$M1015,MATCH(F$2,'3.Data'!$B:$B,0),MATCH($A22,'3.Data'!$B$1:$M$1,0)),"")</f>
        <v>82</v>
      </c>
      <c r="G22" s="48">
        <f t="array" ref="G22">IFERROR(INDEX('3.Data'!$B$1:$M1015,MATCH(G$2,'3.Data'!$B:$B,0),MATCH($A22,'3.Data'!$B$1:$M$1,0)),"")</f>
        <v>91</v>
      </c>
      <c r="H22" s="48">
        <f t="array" ref="H22">IFERROR(INDEX('3.Data'!$B$1:$M1015,MATCH(H$2,'3.Data'!$B:$B,0),MATCH($A22,'3.Data'!$B$1:$M$1,0)),"")</f>
        <v>102</v>
      </c>
      <c r="I22" s="48">
        <f t="array" ref="I22">IFERROR(INDEX('3.Data'!$B$1:$M1015,MATCH(I$2,'3.Data'!$B:$B,0),MATCH($A22,'3.Data'!$B$1:$M$1,0)),"")</f>
        <v>141</v>
      </c>
      <c r="J22" s="48">
        <f t="array" ref="J22">IFERROR(INDEX('3.Data'!$B$1:$M1015,MATCH(J$2,'3.Data'!$B:$B,0),MATCH($A22,'3.Data'!$B$1:$M$1,0)),"")</f>
        <v>100</v>
      </c>
      <c r="K22" s="48">
        <f t="array" ref="K22">IF(K$7="Actual",IFERROR(INDEX('3.Data'!$B$1:$M1015,MATCH(K$2,'3.Data'!$B:$B,0),MATCH($A22,'3.Data'!$B$1:$M$1,0)),""),IFERROR(INDEX('2.Forecast'!$A$8:$J$33,MATCH($A22,'2.Forecast'!$A$8:$A$33,0),MATCH(K$1,'2.Forecast'!$A$1:$J$1,0))))</f>
        <v>96</v>
      </c>
      <c r="L22" s="55">
        <f t="array" ref="L22">IF(L$7="Actual",IFERROR(INDEX('3.Data'!$B$1:$M1015,MATCH(L$2,'3.Data'!$B:$B,0),MATCH($A22,'3.Data'!$B$1:$M$1,0)),""),IFERROR(INDEX('2.Forecast'!$A$8:$J$33,MATCH($A22,'2.Forecast'!$A$8:$A$33,0),MATCH(L$1,'2.Forecast'!$A$1:$J$1,0))))</f>
        <v>145.7777778</v>
      </c>
      <c r="M22" s="55">
        <f t="array" ref="M22">IF(M$7="Actual",IFERROR(INDEX('3.Data'!$B$1:$M1015,MATCH(M$2,'3.Data'!$B:$B,0),MATCH($A22,'3.Data'!$B$1:$M$1,0)),""),IFERROR(INDEX('2.Forecast'!$A$8:$J$33,MATCH($A22,'2.Forecast'!$A$8:$A$33,0),MATCH(M$1,'2.Forecast'!$A$1:$J$1,0))))</f>
        <v>112.5925926</v>
      </c>
      <c r="N22" s="55">
        <f t="array" ref="N22">IF(N$7="Actual",IFERROR(INDEX('3.Data'!$B$1:$M1015,MATCH(N$2,'3.Data'!$B:$B,0),MATCH($A22,'3.Data'!$B$1:$M$1,0)),""),IFERROR(INDEX('2.Forecast'!$A$8:$J$33,MATCH($A22,'2.Forecast'!$A$8:$A$33,0),MATCH(N$1,'2.Forecast'!$A$1:$J$1,0))))</f>
        <v>86.34567901</v>
      </c>
      <c r="O22" s="55">
        <f t="array" ref="O22">IF(O$7="Actual",IFERROR(INDEX('3.Data'!$B$1:$M1015,MATCH(O$2,'3.Data'!$B:$B,0),MATCH($A22,'3.Data'!$B$1:$M$1,0)),""),IFERROR(INDEX('2.Forecast'!$A$8:$J$33,MATCH($A22,'2.Forecast'!$A$8:$A$33,0),MATCH(O$1,'2.Forecast'!$A$1:$J$1,0))))</f>
        <v>114.9053498</v>
      </c>
    </row>
    <row r="23">
      <c r="A23" s="59" t="s">
        <v>41</v>
      </c>
      <c r="B23" s="60">
        <f t="shared" ref="B23:J23" si="9">IFERROR(B18/B20)</f>
        <v>2.49940688</v>
      </c>
      <c r="C23" s="60">
        <f t="shared" si="9"/>
        <v>2.379844961</v>
      </c>
      <c r="D23" s="60">
        <f t="shared" si="9"/>
        <v>2.272921109</v>
      </c>
      <c r="E23" s="60">
        <f t="shared" si="9"/>
        <v>2</v>
      </c>
      <c r="F23" s="60">
        <f t="shared" si="9"/>
        <v>3.03045067</v>
      </c>
      <c r="G23" s="60">
        <f t="shared" si="9"/>
        <v>2.357848518</v>
      </c>
      <c r="H23" s="60">
        <f t="shared" si="9"/>
        <v>2.500489716</v>
      </c>
      <c r="I23" s="60">
        <f t="shared" si="9"/>
        <v>2.001423488</v>
      </c>
      <c r="J23" s="60">
        <f t="shared" si="9"/>
        <v>2.10059761</v>
      </c>
      <c r="K23" s="60">
        <f t="array" ref="K23">IF($K$7="Actual",K18/K20,INDEX('2.Forecast'!$A$8:$A$33,MATCH($A23,'2.Forecast'!$A$8:$A$33,0),MATCH(K$1,'2.Forecast'!$A$2:$J$2,0)))</f>
        <v>1.993355482</v>
      </c>
      <c r="L23" s="60">
        <f t="array" ref="L23">IF($K$7="Actual",L18/L20,INDEX('2.Forecast'!$A$8:$A$33,MATCH($A23,'2.Forecast'!$A$8:$A$33,0),MATCH(L$1,'2.Forecast'!$A$2:$J$2,0)))</f>
        <v>2.08660974</v>
      </c>
      <c r="M23" s="60">
        <f t="array" ref="M23">IF($K$7="Actual",M18/M20,INDEX('2.Forecast'!$A$8:$A$33,MATCH($A23,'2.Forecast'!$A$8:$A$33,0),MATCH(M$1,'2.Forecast'!$A$2:$J$2,0)))</f>
        <v>2.057208238</v>
      </c>
      <c r="N23" s="60">
        <f t="array" ref="N23">IF($K$7="Actual",N18/N20,INDEX('2.Forecast'!$A$8:$A$33,MATCH($A23,'2.Forecast'!$A$8:$A$33,0),MATCH(N$1,'2.Forecast'!$A$2:$J$2,0)))</f>
        <v>2.106588638</v>
      </c>
      <c r="O23" s="60">
        <f t="array" ref="O23">IF($K$7="Actual",O18/O20,INDEX('2.Forecast'!$A$8:$A$33,MATCH($A23,'2.Forecast'!$A$8:$A$33,0),MATCH(O$1,'2.Forecast'!$A$2:$J$2,0)))</f>
        <v>2.083309615</v>
      </c>
    </row>
    <row r="24">
      <c r="A24" s="59" t="s">
        <v>42</v>
      </c>
      <c r="B24" s="57">
        <f t="shared" ref="B24:J24" si="10">IFERROR(B27/B18)</f>
        <v>67</v>
      </c>
      <c r="C24" s="57">
        <f t="shared" si="10"/>
        <v>70</v>
      </c>
      <c r="D24" s="57">
        <f t="shared" si="10"/>
        <v>86</v>
      </c>
      <c r="E24" s="57">
        <f t="shared" si="10"/>
        <v>54</v>
      </c>
      <c r="F24" s="57">
        <f t="shared" si="10"/>
        <v>33</v>
      </c>
      <c r="G24" s="57">
        <f t="shared" si="10"/>
        <v>55</v>
      </c>
      <c r="H24" s="57">
        <f t="shared" si="10"/>
        <v>44</v>
      </c>
      <c r="I24" s="57">
        <f t="shared" si="10"/>
        <v>96</v>
      </c>
      <c r="J24" s="57">
        <f t="shared" si="10"/>
        <v>67</v>
      </c>
      <c r="K24" s="61">
        <f t="array" ref="K24">IF($K$7="Actual",K27/K18,INDEX('2.Forecast'!$A$8:$A$33,MATCH($A24,'2.Forecast'!$A$8:$A$33,0),MATCH(K$1,'2.Forecast'!$A$2:$J$2,0)))</f>
        <v>67</v>
      </c>
      <c r="L24" s="61">
        <f t="array" ref="L24">IF($K$7="Actual",L27/L18,INDEX('2.Forecast'!$A$8:$A$33,MATCH($A24,'2.Forecast'!$A$8:$A$33,0),MATCH(L$1,'2.Forecast'!$A$2:$J$2,0)))</f>
        <v>77.33333333</v>
      </c>
      <c r="M24" s="61">
        <f t="array" ref="M24">IF($K$7="Actual",M27/M18,INDEX('2.Forecast'!$A$8:$A$33,MATCH($A24,'2.Forecast'!$A$8:$A$33,0),MATCH(M$1,'2.Forecast'!$A$2:$J$2,0)))</f>
        <v>80.11111111</v>
      </c>
      <c r="N24" s="61">
        <f t="array" ref="N24">IF($K$7="Actual",N27/N18,INDEX('2.Forecast'!$A$8:$A$33,MATCH($A24,'2.Forecast'!$A$8:$A$33,0),MATCH(N$1,'2.Forecast'!$A$2:$J$2,0)))</f>
        <v>75.48148148</v>
      </c>
      <c r="O24" s="61">
        <f t="array" ref="O24">IF($K$7="Actual",O27/O18,INDEX('2.Forecast'!$A$8:$A$33,MATCH($A24,'2.Forecast'!$A$8:$A$33,0),MATCH(O$1,'2.Forecast'!$A$2:$J$2,0)))</f>
        <v>77.64197531</v>
      </c>
    </row>
    <row r="26">
      <c r="A26" s="38" t="s">
        <v>43</v>
      </c>
      <c r="B26" s="39" t="str">
        <f t="array" ref="B26">IFERROR(INDEX('3.Data'!$B$1:$M1015,MATCH(B$2,'3.Data'!$B:$B,0),MATCH($A26,'3.Data'!$B$1:$M$1,0)),"")</f>
        <v/>
      </c>
      <c r="C26" s="39"/>
      <c r="D26" s="39"/>
      <c r="E26" s="39"/>
      <c r="F26" s="39"/>
      <c r="G26" s="39"/>
      <c r="H26" s="39"/>
      <c r="I26" s="39"/>
      <c r="J26" s="39"/>
      <c r="K26" s="39"/>
      <c r="L26" s="40"/>
      <c r="M26" s="40"/>
      <c r="N26" s="40"/>
      <c r="O26" s="40"/>
    </row>
    <row r="27">
      <c r="A27" s="48" t="s">
        <v>5</v>
      </c>
      <c r="B27" s="62">
        <f t="array" ref="B27">IFERROR(INDEX('3.Data'!$B$1:$M1015,MATCH(B$2,'3.Data'!$B:$B,0),MATCH($A27,'3.Data'!$B$1:$M$1,0)),"")</f>
        <v>141169</v>
      </c>
      <c r="C27" s="62">
        <f t="array" ref="C27">IFERROR(INDEX('3.Data'!$B$1:$M1015,MATCH(C$2,'3.Data'!$B:$B,0),MATCH($A27,'3.Data'!$B$1:$M$1,0)),"")</f>
        <v>150430</v>
      </c>
      <c r="D27" s="62">
        <f t="array" ref="D27">IFERROR(INDEX('3.Data'!$B$1:$M1015,MATCH(D$2,'3.Data'!$B:$B,0),MATCH($A27,'3.Data'!$B$1:$M$1,0)),"")</f>
        <v>183352</v>
      </c>
      <c r="E27" s="62">
        <f t="array" ref="E27">IFERROR(INDEX('3.Data'!$B$1:$M1015,MATCH(E$2,'3.Data'!$B:$B,0),MATCH($A27,'3.Data'!$B$1:$M$1,0)),"")</f>
        <v>140616</v>
      </c>
      <c r="F27" s="62">
        <f t="array" ref="F27">IFERROR(INDEX('3.Data'!$B$1:$M1015,MATCH(F$2,'3.Data'!$B:$B,0),MATCH($A27,'3.Data'!$B$1:$M$1,0)),"")</f>
        <v>82104</v>
      </c>
      <c r="G27" s="62">
        <f t="array" ref="G27">IFERROR(INDEX('3.Data'!$B$1:$M1015,MATCH(G$2,'3.Data'!$B:$B,0),MATCH($A27,'3.Data'!$B$1:$M$1,0)),"")</f>
        <v>118140</v>
      </c>
      <c r="H27" s="62">
        <f t="array" ref="H27">IFERROR(INDEX('3.Data'!$B$1:$M1015,MATCH(H$2,'3.Data'!$B:$B,0),MATCH($A27,'3.Data'!$B$1:$M$1,0)),"")</f>
        <v>112332</v>
      </c>
      <c r="I27" s="62">
        <f t="array" ref="I27">IFERROR(INDEX('3.Data'!$B$1:$M1015,MATCH(I$2,'3.Data'!$B:$B,0),MATCH($A27,'3.Data'!$B$1:$M$1,0)),"")</f>
        <v>269952</v>
      </c>
      <c r="J27" s="62">
        <f t="array" ref="J27">IFERROR(INDEX('3.Data'!$B$1:$M1015,MATCH(J$2,'3.Data'!$B:$B,0),MATCH($A27,'3.Data'!$B$1:$M$1,0)),"")</f>
        <v>141303</v>
      </c>
      <c r="K27" s="62">
        <f t="array" ref="K27">IF(K$7="Actual",IFERROR(INDEX('3.Data'!$B$1:$M1015,MATCH(K$2,'3.Data'!$B:$B,0),MATCH($A27,'3.Data'!$B$1:$M$1,0)),""),IFERROR(INDEX('2.Forecast'!$A$8:$J$33,MATCH($A27,'2.Forecast'!$A$8:$A$33,0),MATCH(K$1,'2.Forecast'!$A$1:$J$1,0))))</f>
        <v>160800</v>
      </c>
      <c r="L27" s="62">
        <f t="array" ref="L27">IF(L$7="Actual",IFERROR(INDEX('3.Data'!$B$1:$M1015,MATCH(L$2,'3.Data'!$B:$B,0),MATCH($A27,'3.Data'!$B$1:$M$1,0)),""),IFERROR(INDEX('2.Forecast'!$A$8:$J$33,MATCH($A27,'2.Forecast'!$A$8:$A$33,0),MATCH(L$1,'2.Forecast'!$A$1:$J$1,0))))</f>
        <v>191073.4815</v>
      </c>
      <c r="M27" s="62">
        <f t="array" ref="M27">IF(M$7="Actual",IFERROR(INDEX('3.Data'!$B$1:$M1015,MATCH(M$2,'3.Data'!$B:$B,0),MATCH($A27,'3.Data'!$B$1:$M$1,0)),""),IFERROR(INDEX('2.Forecast'!$A$8:$J$33,MATCH($A27,'2.Forecast'!$A$8:$A$33,0),MATCH(M$1,'2.Forecast'!$A$1:$J$1,0))))</f>
        <v>197387.8436</v>
      </c>
      <c r="N27" s="62">
        <f t="array" ref="N27">IF(N$7="Actual",IFERROR(INDEX('3.Data'!$B$1:$M1015,MATCH(N$2,'3.Data'!$B:$B,0),MATCH($A27,'3.Data'!$B$1:$M$1,0)),""),IFERROR(INDEX('2.Forecast'!$A$8:$J$33,MATCH($A27,'2.Forecast'!$A$8:$A$33,0),MATCH(N$1,'2.Forecast'!$A$1:$J$1,0))))</f>
        <v>186842.759</v>
      </c>
      <c r="O27" s="62">
        <f t="array" ref="O27">IF(O$7="Actual",IFERROR(INDEX('3.Data'!$B$1:$M1015,MATCH(O$2,'3.Data'!$B:$B,0),MATCH($A27,'3.Data'!$B$1:$M$1,0)),""),IFERROR(INDEX('2.Forecast'!$A$8:$J$33,MATCH($A27,'2.Forecast'!$A$8:$A$33,0),MATCH(O$1,'2.Forecast'!$A$1:$J$1,0))))</f>
        <v>191776.9571</v>
      </c>
      <c r="P27" s="62" t="str">
        <f t="array" ref="P27">IFERROR(INDEX('3.Data'!$B$1:$M1015,MATCH(P$2,'3.Data'!$B:$B,0),MATCH($A27,'3.Data'!$B$1:$M$1,0)),"")</f>
        <v/>
      </c>
      <c r="Q27" s="62" t="str">
        <f t="array" ref="Q27">IFERROR(INDEX('3.Data'!$B$1:$M1015,MATCH(Q$2,'3.Data'!$B:$B,0),MATCH($A27,'3.Data'!$B$1:$M$1,0)),"")</f>
        <v/>
      </c>
      <c r="R27" s="62" t="str">
        <f t="array" ref="R27">IFERROR(INDEX('3.Data'!$B$1:$M1015,MATCH(R$2,'3.Data'!$B:$B,0),MATCH($A27,'3.Data'!$B$1:$M$1,0)),"")</f>
        <v/>
      </c>
    </row>
    <row r="28">
      <c r="A28" s="59" t="s">
        <v>44</v>
      </c>
      <c r="B28" s="58">
        <f t="shared" ref="B28:J28" si="11">IFERROR(B29/B27,"")</f>
        <v>0.1439976199</v>
      </c>
      <c r="C28" s="58">
        <f t="shared" si="11"/>
        <v>0.1318819384</v>
      </c>
      <c r="D28" s="58">
        <f t="shared" si="11"/>
        <v>0.1213730966</v>
      </c>
      <c r="E28" s="58">
        <f t="shared" si="11"/>
        <v>0.182696137</v>
      </c>
      <c r="F28" s="58">
        <f t="shared" si="11"/>
        <v>0.3403244665</v>
      </c>
      <c r="G28" s="58">
        <f t="shared" si="11"/>
        <v>0.2109277129</v>
      </c>
      <c r="H28" s="58">
        <f t="shared" si="11"/>
        <v>0.2702524659</v>
      </c>
      <c r="I28" s="58">
        <f t="shared" si="11"/>
        <v>0.1185470009</v>
      </c>
      <c r="J28" s="58">
        <f t="shared" si="11"/>
        <v>0.1723247206</v>
      </c>
      <c r="K28" s="58">
        <f t="array" ref="K28">INDEX('2.Forecast'!$A$8:$J$33,MATCH($A28,'2.Forecast'!$A$8:$A$33,0),MATCH(K$1,'2.Forecast'!$A$1:$J$1,0))</f>
        <v>0.1870413958</v>
      </c>
      <c r="L28" s="58">
        <f t="array" ref="L28">INDEX('2.Forecast'!$A$8:$J$33,MATCH($A28,'2.Forecast'!$A$8:$A$33,0),MATCH(L$1,'2.Forecast'!$A$1:$J$1,0))</f>
        <v>0.1593043725</v>
      </c>
      <c r="M28" s="58">
        <f t="array" ref="M28">INDEX('2.Forecast'!$A$8:$J$33,MATCH($A28,'2.Forecast'!$A$8:$A$33,0),MATCH(M$1,'2.Forecast'!$A$1:$J$1,0))</f>
        <v>0.150058698</v>
      </c>
      <c r="N28" s="58">
        <f t="array" ref="N28">INDEX('2.Forecast'!$A$8:$J$33,MATCH($A28,'2.Forecast'!$A$8:$A$33,0),MATCH(N$1,'2.Forecast'!$A$1:$J$1,0))</f>
        <v>0.1654681554</v>
      </c>
      <c r="O28" s="58">
        <f t="array" ref="O28">INDEX('2.Forecast'!$A$8:$J$33,MATCH($A28,'2.Forecast'!$A$8:$A$33,0),MATCH(O$1,'2.Forecast'!$A$1:$J$1,0))</f>
        <v>0.1582770753</v>
      </c>
    </row>
    <row r="29">
      <c r="A29" s="48" t="s">
        <v>45</v>
      </c>
      <c r="B29" s="62">
        <f t="array" ref="B29">IFERROR(INDEX('3.Data'!$B$1:$M1015,MATCH(B$2,'3.Data'!$B:$B,0),MATCH($A29,'3.Data'!$B$1:$M$1,0)),"")</f>
        <v>20328</v>
      </c>
      <c r="C29" s="62">
        <f t="array" ref="C29">IFERROR(INDEX('3.Data'!$B$1:$M1015,MATCH(C$2,'3.Data'!$B:$B,0),MATCH($A29,'3.Data'!$B$1:$M$1,0)),"")</f>
        <v>19839</v>
      </c>
      <c r="D29" s="62">
        <f t="array" ref="D29">IFERROR(INDEX('3.Data'!$B$1:$M1015,MATCH(D$2,'3.Data'!$B:$B,0),MATCH($A29,'3.Data'!$B$1:$M$1,0)),"")</f>
        <v>22254</v>
      </c>
      <c r="E29" s="62">
        <f t="array" ref="E29">IFERROR(INDEX('3.Data'!$B$1:$M1015,MATCH(E$2,'3.Data'!$B:$B,0),MATCH($A29,'3.Data'!$B$1:$M$1,0)),"")</f>
        <v>25690</v>
      </c>
      <c r="F29" s="62">
        <f t="array" ref="F29">IFERROR(INDEX('3.Data'!$B$1:$M1015,MATCH(F$2,'3.Data'!$B:$B,0),MATCH($A29,'3.Data'!$B$1:$M$1,0)),"")</f>
        <v>27942</v>
      </c>
      <c r="G29" s="62">
        <f t="array" ref="G29">IFERROR(INDEX('3.Data'!$B$1:$M1015,MATCH(G$2,'3.Data'!$B:$B,0),MATCH($A29,'3.Data'!$B$1:$M$1,0)),"")</f>
        <v>24919</v>
      </c>
      <c r="H29" s="62">
        <f t="array" ref="H29">IFERROR(INDEX('3.Data'!$B$1:$M1015,MATCH(H$2,'3.Data'!$B:$B,0),MATCH($A29,'3.Data'!$B$1:$M$1,0)),"")</f>
        <v>30358</v>
      </c>
      <c r="I29" s="62">
        <f t="array" ref="I29">IFERROR(INDEX('3.Data'!$B$1:$M1015,MATCH(I$2,'3.Data'!$B:$B,0),MATCH($A29,'3.Data'!$B$1:$M$1,0)),"")</f>
        <v>32002</v>
      </c>
      <c r="J29" s="62">
        <f t="array" ref="J29">IFERROR(INDEX('3.Data'!$B$1:$M1015,MATCH(J$2,'3.Data'!$B:$B,0),MATCH($A29,'3.Data'!$B$1:$M$1,0)),"")</f>
        <v>24350</v>
      </c>
      <c r="K29" s="62">
        <f t="array" ref="K29">IF(K$7="Actual",IFERROR(INDEX('3.Data'!$B$1:$M1015,MATCH(K$2,'3.Data'!$B:$B,0),MATCH($A29,'3.Data'!$B$1:$M$1,0)),""),IFERROR(INDEX('2.Forecast'!$A$8:$J$33,MATCH($A29,'2.Forecast'!$A$8:$A$33,0),MATCH(K$1,'2.Forecast'!$A$1:$J$1,0))))</f>
        <v>24350</v>
      </c>
      <c r="L29" s="62">
        <f t="array" ref="L29">IF(L$7="Actual",IFERROR(INDEX('3.Data'!$B$1:$M1015,MATCH(L$2,'3.Data'!$B:$B,0),MATCH($A29,'3.Data'!$B$1:$M$1,0)),""),IFERROR(INDEX('2.Forecast'!$A$8:$J$33,MATCH($A29,'2.Forecast'!$A$8:$A$33,0),MATCH(L$1,'2.Forecast'!$A$1:$J$1,0))))</f>
        <v>30438.84106</v>
      </c>
      <c r="M29" s="62">
        <f t="array" ref="M29">IF(M$7="Actual",IFERROR(INDEX('3.Data'!$B$1:$M1015,MATCH(M$2,'3.Data'!$B:$B,0),MATCH($A29,'3.Data'!$B$1:$M$1,0)),""),IFERROR(INDEX('2.Forecast'!$A$8:$J$33,MATCH($A29,'2.Forecast'!$A$8:$A$33,0),MATCH(M$1,'2.Forecast'!$A$1:$J$1,0))))</f>
        <v>29619.76282</v>
      </c>
      <c r="N29" s="62">
        <f t="array" ref="N29">IF(N$7="Actual",IFERROR(INDEX('3.Data'!$B$1:$M1015,MATCH(N$2,'3.Data'!$B:$B,0),MATCH($A29,'3.Data'!$B$1:$M$1,0)),""),IFERROR(INDEX('2.Forecast'!$A$8:$J$33,MATCH($A29,'2.Forecast'!$A$8:$A$33,0),MATCH(N$1,'2.Forecast'!$A$1:$J$1,0))))</f>
        <v>30916.52669</v>
      </c>
      <c r="O29" s="62">
        <f t="array" ref="O29">IF(O$7="Actual",IFERROR(INDEX('3.Data'!$B$1:$M1015,MATCH(O$2,'3.Data'!$B:$B,0),MATCH($A29,'3.Data'!$B$1:$M$1,0)),""),IFERROR(INDEX('2.Forecast'!$A$8:$J$33,MATCH($A29,'2.Forecast'!$A$8:$A$33,0),MATCH(O$1,'2.Forecast'!$A$1:$J$1,0))))</f>
        <v>30353.89588</v>
      </c>
      <c r="P29" s="62" t="str">
        <f t="array" ref="P29">IFERROR(INDEX('3.Data'!$B$1:$M1015,MATCH(P$2,'3.Data'!$B:$B,0),MATCH($A29,'3.Data'!$B$1:$M$1,0)),"")</f>
        <v/>
      </c>
      <c r="Q29" s="62" t="str">
        <f t="array" ref="Q29">IFERROR(INDEX('3.Data'!$B$1:$M1015,MATCH(Q$2,'3.Data'!$B:$B,0),MATCH($A29,'3.Data'!$B$1:$M$1,0)),"")</f>
        <v/>
      </c>
      <c r="R29" s="62" t="str">
        <f t="array" ref="R29">IFERROR(INDEX('3.Data'!$B$1:$M1015,MATCH(R$2,'3.Data'!$B:$B,0),MATCH($A29,'3.Data'!$B$1:$M$1,0)),"")</f>
        <v/>
      </c>
    </row>
    <row r="30">
      <c r="A30" s="48" t="s">
        <v>46</v>
      </c>
      <c r="B30" s="62">
        <f t="array" ref="B30">IFERROR(INDEX('3.Data'!$B$1:$M1015,MATCH(B$2,'3.Data'!$B:$B,0),MATCH($A30,'3.Data'!$B$1:$M$1,0)),"")</f>
        <v>6211</v>
      </c>
      <c r="C30" s="62">
        <f t="array" ref="C30">IFERROR(INDEX('3.Data'!$B$1:$M1015,MATCH(C$2,'3.Data'!$B:$B,0),MATCH($A30,'3.Data'!$B$1:$M$1,0)),"")</f>
        <v>6410</v>
      </c>
      <c r="D30" s="62">
        <f t="array" ref="D30">IFERROR(INDEX('3.Data'!$B$1:$M1015,MATCH(D$2,'3.Data'!$B:$B,0),MATCH($A30,'3.Data'!$B$1:$M$1,0)),"")</f>
        <v>5291</v>
      </c>
      <c r="E30" s="62">
        <f t="array" ref="E30">IFERROR(INDEX('3.Data'!$B$1:$M1015,MATCH(E$2,'3.Data'!$B:$B,0),MATCH($A30,'3.Data'!$B$1:$M$1,0)),"")</f>
        <v>13114</v>
      </c>
      <c r="F30" s="62">
        <f t="array" ref="F30">IFERROR(INDEX('3.Data'!$B$1:$M1015,MATCH(F$2,'3.Data'!$B:$B,0),MATCH($A30,'3.Data'!$B$1:$M$1,0)),"")</f>
        <v>12613</v>
      </c>
      <c r="G30" s="62">
        <f t="array" ref="G30">IFERROR(INDEX('3.Data'!$B$1:$M1015,MATCH(G$2,'3.Data'!$B:$B,0),MATCH($A30,'3.Data'!$B$1:$M$1,0)),"")</f>
        <v>1890</v>
      </c>
      <c r="H30" s="62">
        <f t="array" ref="H30">IFERROR(INDEX('3.Data'!$B$1:$M1015,MATCH(H$2,'3.Data'!$B:$B,0),MATCH($A30,'3.Data'!$B$1:$M$1,0)),"")</f>
        <v>29730</v>
      </c>
      <c r="I30" s="62">
        <f t="array" ref="I30">IFERROR(INDEX('3.Data'!$B$1:$M1015,MATCH(I$2,'3.Data'!$B:$B,0),MATCH($A30,'3.Data'!$B$1:$M$1,0)),"")</f>
        <v>14554</v>
      </c>
      <c r="J30" s="62">
        <f t="array" ref="J30">IFERROR(INDEX('3.Data'!$B$1:$M1015,MATCH(J$2,'3.Data'!$B:$B,0),MATCH($A30,'3.Data'!$B$1:$M$1,0)),"")</f>
        <v>6581</v>
      </c>
      <c r="K30" s="62">
        <f t="array" ref="K30">IF(K$7="Actual",IFERROR(INDEX('3.Data'!$B$1:$M1015,MATCH(K$2,'3.Data'!$B:$B,0),MATCH($A30,'3.Data'!$B$1:$M$1,0)),""),IFERROR(INDEX('2.Forecast'!$A$8:$J$33,MATCH($A30,'2.Forecast'!$A$8:$A$33,0),MATCH(K$1,'2.Forecast'!$A$1:$J$1,0))))</f>
        <v>6581</v>
      </c>
      <c r="L30" s="62">
        <f t="array" ref="L30">IF(L$7="Actual",IFERROR(INDEX('3.Data'!$B$1:$M1015,MATCH(L$2,'3.Data'!$B:$B,0),MATCH($A30,'3.Data'!$B$1:$M$1,0)),""),IFERROR(INDEX('2.Forecast'!$A$8:$J$33,MATCH($A30,'2.Forecast'!$A$8:$A$33,0),MATCH(L$1,'2.Forecast'!$A$1:$J$1,0))))</f>
        <v>14152.38282</v>
      </c>
      <c r="M30" s="62">
        <f t="array" ref="M30">IF(M$7="Actual",IFERROR(INDEX('3.Data'!$B$1:$M1015,MATCH(M$2,'3.Data'!$B:$B,0),MATCH($A30,'3.Data'!$B$1:$M$1,0)),""),IFERROR(INDEX('2.Forecast'!$A$8:$J$33,MATCH($A30,'2.Forecast'!$A$8:$A$33,0),MATCH(M$1,'2.Forecast'!$A$1:$J$1,0))))</f>
        <v>11484.9928</v>
      </c>
      <c r="N30" s="62">
        <f t="array" ref="N30">IF(N$7="Actual",IFERROR(INDEX('3.Data'!$B$1:$M1015,MATCH(N$2,'3.Data'!$B:$B,0),MATCH($A30,'3.Data'!$B$1:$M$1,0)),""),IFERROR(INDEX('2.Forecast'!$A$8:$J$33,MATCH($A30,'2.Forecast'!$A$8:$A$33,0),MATCH(N$1,'2.Forecast'!$A$1:$J$1,0))))</f>
        <v>15817.41917</v>
      </c>
      <c r="O30" s="62">
        <f t="array" ref="O30">IF(O$7="Actual",IFERROR(INDEX('3.Data'!$B$1:$M1015,MATCH(O$2,'3.Data'!$B:$B,0),MATCH($A30,'3.Data'!$B$1:$M$1,0)),""),IFERROR(INDEX('2.Forecast'!$A$8:$J$33,MATCH($A30,'2.Forecast'!$A$8:$A$33,0),MATCH(O$1,'2.Forecast'!$A$1:$J$1,0))))</f>
        <v>13866.04726</v>
      </c>
      <c r="P30" s="62" t="str">
        <f t="array" ref="P30">IFERROR(INDEX('3.Data'!$B$1:$M1015,MATCH(P$2,'3.Data'!$B:$B,0),MATCH($A30,'3.Data'!$B$1:$M$1,0)),"")</f>
        <v/>
      </c>
      <c r="Q30" s="62" t="str">
        <f t="array" ref="Q30">IFERROR(INDEX('3.Data'!$B$1:$M1015,MATCH(Q$2,'3.Data'!$B:$B,0),MATCH($A30,'3.Data'!$B$1:$M$1,0)),"")</f>
        <v/>
      </c>
      <c r="R30" s="62" t="str">
        <f t="array" ref="R30">IFERROR(INDEX('3.Data'!$B$1:$M1015,MATCH(R$2,'3.Data'!$B:$B,0),MATCH($A30,'3.Data'!$B$1:$M$1,0)),"")</f>
        <v/>
      </c>
    </row>
    <row r="31">
      <c r="A31" s="59" t="s">
        <v>47</v>
      </c>
      <c r="B31" s="58">
        <f t="shared" ref="B31:J31" si="12">B30/B27</f>
        <v>0.0439969115</v>
      </c>
      <c r="C31" s="58">
        <f t="shared" si="12"/>
        <v>0.04261118128</v>
      </c>
      <c r="D31" s="58">
        <f t="shared" si="12"/>
        <v>0.02885706183</v>
      </c>
      <c r="E31" s="58">
        <f t="shared" si="12"/>
        <v>0.09326107982</v>
      </c>
      <c r="F31" s="58">
        <f t="shared" si="12"/>
        <v>0.1536222352</v>
      </c>
      <c r="G31" s="58">
        <f t="shared" si="12"/>
        <v>0.01599796851</v>
      </c>
      <c r="H31" s="58">
        <f t="shared" si="12"/>
        <v>0.2646618951</v>
      </c>
      <c r="I31" s="58">
        <f t="shared" si="12"/>
        <v>0.05391328829</v>
      </c>
      <c r="J31" s="58">
        <f t="shared" si="12"/>
        <v>0.04657367501</v>
      </c>
      <c r="K31" s="58">
        <f t="array" ref="K31">IFERROR(IF($K$7="Actual",K30/K27,INDEX('2.Forecast'!$A$8:$A$33,MATCH($A23,'2.Forecast'!$A$8:$A$33,0),MATCH(K$1,'2.Forecast'!$A$2:$J$2,0))),"")</f>
        <v>0.04092661692</v>
      </c>
      <c r="L31" s="58">
        <f t="array" ref="L31">IFERROR(IF($K$7="Actual",L30/L27,INDEX('2.Forecast'!$A$8:$A$33,MATCH($A23,'2.Forecast'!$A$8:$A$33,0),MATCH(L$1,'2.Forecast'!$A$2:$J$2,0))),"")</f>
        <v>0.07406774981</v>
      </c>
      <c r="M31" s="58">
        <f t="array" ref="M31">IFERROR(IF($K$7="Actual",M30/M27,INDEX('2.Forecast'!$A$8:$A$33,MATCH($A23,'2.Forecast'!$A$8:$A$33,0),MATCH(M$1,'2.Forecast'!$A$2:$J$2,0))),"")</f>
        <v>0.05818490437</v>
      </c>
      <c r="N31" s="58">
        <f t="array" ref="N31">IFERROR(IF($K$7="Actual",N30/N27,INDEX('2.Forecast'!$A$8:$A$33,MATCH($A23,'2.Forecast'!$A$8:$A$33,0),MATCH(N$1,'2.Forecast'!$A$2:$J$2,0))),"")</f>
        <v>0.08465631344</v>
      </c>
      <c r="O31" s="58">
        <f t="array" ref="O31">IFERROR(IF($K$7="Actual",O30/O27,INDEX('2.Forecast'!$A$8:$A$33,MATCH($A23,'2.Forecast'!$A$8:$A$33,0),MATCH(O$1,'2.Forecast'!$A$2:$J$2,0))),"")</f>
        <v>0.07230298921</v>
      </c>
      <c r="P31" s="51" t="str">
        <f t="array" ref="P31">IFERROR(IF($K$7="Actual",P30/P27,INDEX('2.Forecast'!$A$8:$A$33,MATCH($A23,'2.Forecast'!$A$8:$A$33,0),MATCH(P$1,'2.Forecast'!$A$2:$J$2,0))),"")</f>
        <v/>
      </c>
      <c r="Q31" s="51" t="str">
        <f t="array" ref="Q31">IFERROR(IF($K$7="Actual",Q30/Q27,INDEX('2.Forecast'!$A$8:$A$33,MATCH($A23,'2.Forecast'!$A$8:$A$33,0),MATCH(Q$1,'2.Forecast'!$A$2:$J$2,0))),"")</f>
        <v/>
      </c>
      <c r="R31" s="51" t="str">
        <f t="array" ref="R31">IFERROR(IF($K$7="Actual",R30/R27,INDEX('2.Forecast'!$A$8:$A$33,MATCH($A23,'2.Forecast'!$A$8:$A$33,0),MATCH(R$1,'2.Forecast'!$A$2:$J$2,0))),"")</f>
        <v/>
      </c>
    </row>
    <row r="32">
      <c r="A32" s="59" t="s">
        <v>48</v>
      </c>
      <c r="B32" s="61">
        <f t="shared" ref="B32:O32" si="13">B29-B30</f>
        <v>14117</v>
      </c>
      <c r="C32" s="61">
        <f t="shared" si="13"/>
        <v>13429</v>
      </c>
      <c r="D32" s="61">
        <f t="shared" si="13"/>
        <v>16963</v>
      </c>
      <c r="E32" s="61">
        <f t="shared" si="13"/>
        <v>12576</v>
      </c>
      <c r="F32" s="61">
        <f t="shared" si="13"/>
        <v>15329</v>
      </c>
      <c r="G32" s="61">
        <f t="shared" si="13"/>
        <v>23029</v>
      </c>
      <c r="H32" s="61">
        <f t="shared" si="13"/>
        <v>628</v>
      </c>
      <c r="I32" s="61">
        <f t="shared" si="13"/>
        <v>17448</v>
      </c>
      <c r="J32" s="61">
        <f t="shared" si="13"/>
        <v>17769</v>
      </c>
      <c r="K32" s="61">
        <f t="shared" si="13"/>
        <v>17769</v>
      </c>
      <c r="L32" s="61">
        <f t="shared" si="13"/>
        <v>16286.45824</v>
      </c>
      <c r="M32" s="61">
        <f t="shared" si="13"/>
        <v>18134.77001</v>
      </c>
      <c r="N32" s="61">
        <f t="shared" si="13"/>
        <v>15099.10752</v>
      </c>
      <c r="O32" s="61">
        <f t="shared" si="13"/>
        <v>16487.84862</v>
      </c>
    </row>
    <row r="33">
      <c r="A33" s="59" t="s">
        <v>49</v>
      </c>
      <c r="B33" s="58">
        <f t="shared" ref="B33:J33" si="14">B32/B27</f>
        <v>0.1000007084</v>
      </c>
      <c r="C33" s="58">
        <f t="shared" si="14"/>
        <v>0.08927075716</v>
      </c>
      <c r="D33" s="58">
        <f t="shared" si="14"/>
        <v>0.09251603473</v>
      </c>
      <c r="E33" s="58">
        <f t="shared" si="14"/>
        <v>0.08943505718</v>
      </c>
      <c r="F33" s="58">
        <f t="shared" si="14"/>
        <v>0.1867022313</v>
      </c>
      <c r="G33" s="58">
        <f t="shared" si="14"/>
        <v>0.1949297444</v>
      </c>
      <c r="H33" s="58">
        <f t="shared" si="14"/>
        <v>0.005590570808</v>
      </c>
      <c r="I33" s="58">
        <f t="shared" si="14"/>
        <v>0.06463371266</v>
      </c>
      <c r="J33" s="58">
        <f t="shared" si="14"/>
        <v>0.1257510456</v>
      </c>
      <c r="K33" s="58">
        <f t="shared" ref="K33:S33" si="15">IFERROR(K32/K27,"")</f>
        <v>0.1105037313</v>
      </c>
      <c r="L33" s="58">
        <f t="shared" si="15"/>
        <v>0.08523662266</v>
      </c>
      <c r="M33" s="58">
        <f t="shared" si="15"/>
        <v>0.09187379365</v>
      </c>
      <c r="N33" s="58">
        <f t="shared" si="15"/>
        <v>0.080811842</v>
      </c>
      <c r="O33" s="58">
        <f t="shared" si="15"/>
        <v>0.0859740861</v>
      </c>
      <c r="P33" s="51" t="str">
        <f t="shared" si="15"/>
        <v/>
      </c>
      <c r="Q33" s="51" t="str">
        <f t="shared" si="15"/>
        <v/>
      </c>
      <c r="R33" s="51" t="str">
        <f t="shared" si="15"/>
        <v/>
      </c>
      <c r="S33" s="51" t="str">
        <f t="shared" si="15"/>
        <v/>
      </c>
    </row>
  </sheetData>
  <conditionalFormatting sqref="C19:O19">
    <cfRule type="cellIs" dxfId="0" priority="1" operator="greaterThan">
      <formula>0</formula>
    </cfRule>
  </conditionalFormatting>
  <conditionalFormatting sqref="C19:O19">
    <cfRule type="cellIs" dxfId="1" priority="2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5.89"/>
    <col customWidth="1" min="2" max="11" width="10.11"/>
  </cols>
  <sheetData>
    <row r="1">
      <c r="A1" s="63" t="s">
        <v>19</v>
      </c>
      <c r="B1" s="40">
        <f>VLOOKUP(B2,'5.Calculation'!$A2:$B19,2,0)</f>
        <v>28</v>
      </c>
      <c r="C1" s="40">
        <f>VLOOKUP(C2,'5.Calculation'!$A2:$B19,2,0)</f>
        <v>29</v>
      </c>
      <c r="D1" s="40">
        <f>VLOOKUP(D2,'5.Calculation'!$A2:$B19,2,0)</f>
        <v>30</v>
      </c>
      <c r="E1" s="40">
        <f>VLOOKUP(E2,'5.Calculation'!$A2:$B19,2,0)</f>
        <v>31</v>
      </c>
      <c r="F1" s="40">
        <f>VLOOKUP(F2,'5.Calculation'!$A2:$B19,2,0)</f>
        <v>32</v>
      </c>
      <c r="G1" s="40">
        <f>VLOOKUP(G2,'5.Calculation'!$A2:$B19,2,0)</f>
        <v>33</v>
      </c>
      <c r="H1" s="40">
        <f>VLOOKUP(H2,'5.Calculation'!$A2:$B19,2,0)</f>
        <v>34</v>
      </c>
      <c r="I1" s="40">
        <f>VLOOKUP(I2,'5.Calculation'!$A2:$B19,2,0)</f>
        <v>35</v>
      </c>
      <c r="J1" s="40">
        <f>VLOOKUP(J2,'5.Calculation'!$A2:$B19,2,0)</f>
        <v>36</v>
      </c>
    </row>
    <row r="2">
      <c r="A2" s="63" t="s">
        <v>20</v>
      </c>
      <c r="B2" s="43">
        <f t="array" ref="B2:J2">TRANSPOSE('5.Calculation'!A11:A19)</f>
        <v>45121</v>
      </c>
      <c r="C2" s="43">
        <v>45128.0</v>
      </c>
      <c r="D2" s="43">
        <v>45135.0</v>
      </c>
      <c r="E2" s="43">
        <v>45142.0</v>
      </c>
      <c r="F2" s="43">
        <v>45149.0</v>
      </c>
      <c r="G2" s="43">
        <v>45156.0</v>
      </c>
      <c r="H2" s="43">
        <v>45163.0</v>
      </c>
      <c r="I2" s="43">
        <v>45170.0</v>
      </c>
      <c r="J2" s="43">
        <v>45177.0</v>
      </c>
      <c r="K2" s="64"/>
    </row>
    <row r="3">
      <c r="A3" s="63" t="s">
        <v>21</v>
      </c>
      <c r="B3" s="40" t="str">
        <f t="array" ref="B3:J3">TRANSPOSE('5.Calculation'!C11:C19)</f>
        <v>jul2023</v>
      </c>
      <c r="C3" s="40" t="s">
        <v>24</v>
      </c>
      <c r="D3" s="40" t="s">
        <v>24</v>
      </c>
      <c r="E3" s="40" t="s">
        <v>25</v>
      </c>
      <c r="F3" s="40" t="s">
        <v>25</v>
      </c>
      <c r="G3" s="40" t="s">
        <v>25</v>
      </c>
      <c r="H3" s="40" t="s">
        <v>25</v>
      </c>
      <c r="I3" s="40" t="s">
        <v>50</v>
      </c>
      <c r="J3" s="40" t="s">
        <v>50</v>
      </c>
    </row>
    <row r="4">
      <c r="A4" s="44"/>
    </row>
    <row r="5">
      <c r="A5" s="63" t="s">
        <v>26</v>
      </c>
      <c r="B5" s="46" t="str">
        <f t="shared" ref="B5:J5" si="1">"Semana "&amp; B1</f>
        <v>Semana 28</v>
      </c>
      <c r="C5" s="46" t="str">
        <f t="shared" si="1"/>
        <v>Semana 29</v>
      </c>
      <c r="D5" s="46" t="str">
        <f t="shared" si="1"/>
        <v>Semana 30</v>
      </c>
      <c r="E5" s="46" t="str">
        <f t="shared" si="1"/>
        <v>Semana 31</v>
      </c>
      <c r="F5" s="46" t="str">
        <f t="shared" si="1"/>
        <v>Semana 32</v>
      </c>
      <c r="G5" s="46" t="str">
        <f t="shared" si="1"/>
        <v>Semana 33</v>
      </c>
      <c r="H5" s="46" t="str">
        <f t="shared" si="1"/>
        <v>Semana 34</v>
      </c>
      <c r="I5" s="46" t="str">
        <f t="shared" si="1"/>
        <v>Semana 35</v>
      </c>
      <c r="J5" s="46" t="str">
        <f t="shared" si="1"/>
        <v>Semana 36</v>
      </c>
    </row>
    <row r="6">
      <c r="B6" s="47">
        <f t="shared" ref="B6:J6" si="2">B2</f>
        <v>45121</v>
      </c>
      <c r="C6" s="47">
        <f t="shared" si="2"/>
        <v>45128</v>
      </c>
      <c r="D6" s="47">
        <f t="shared" si="2"/>
        <v>45135</v>
      </c>
      <c r="E6" s="47">
        <f t="shared" si="2"/>
        <v>45142</v>
      </c>
      <c r="F6" s="47">
        <f t="shared" si="2"/>
        <v>45149</v>
      </c>
      <c r="G6" s="47">
        <f t="shared" si="2"/>
        <v>45156</v>
      </c>
      <c r="H6" s="47">
        <f t="shared" si="2"/>
        <v>45163</v>
      </c>
      <c r="I6" s="47">
        <f t="shared" si="2"/>
        <v>45170</v>
      </c>
      <c r="J6" s="47">
        <f t="shared" si="2"/>
        <v>45177</v>
      </c>
      <c r="K6" s="47"/>
      <c r="L6" s="47"/>
      <c r="M6" s="47"/>
      <c r="N6" s="47"/>
      <c r="O6" s="47"/>
    </row>
    <row r="7">
      <c r="B7" s="48" t="str">
        <f t="shared" ref="B7:J7" si="3">IF(B2+6&gt;TODAY(),"Forecast","Actual")</f>
        <v>Actual</v>
      </c>
      <c r="C7" s="48" t="str">
        <f t="shared" si="3"/>
        <v>Forecast</v>
      </c>
      <c r="D7" s="48" t="str">
        <f t="shared" si="3"/>
        <v>Forecast</v>
      </c>
      <c r="E7" s="48" t="str">
        <f t="shared" si="3"/>
        <v>Forecast</v>
      </c>
      <c r="F7" s="48" t="str">
        <f t="shared" si="3"/>
        <v>Forecast</v>
      </c>
      <c r="G7" s="48" t="str">
        <f t="shared" si="3"/>
        <v>Forecast</v>
      </c>
      <c r="H7" s="48" t="str">
        <f t="shared" si="3"/>
        <v>Forecast</v>
      </c>
      <c r="I7" s="48" t="str">
        <f t="shared" si="3"/>
        <v>Forecast</v>
      </c>
      <c r="J7" s="48" t="str">
        <f t="shared" si="3"/>
        <v>Forecast</v>
      </c>
    </row>
    <row r="8">
      <c r="A8" s="63" t="s">
        <v>28</v>
      </c>
      <c r="B8" s="40"/>
      <c r="C8" s="40"/>
      <c r="D8" s="40"/>
      <c r="E8" s="40"/>
      <c r="F8" s="40"/>
      <c r="G8" s="40"/>
      <c r="H8" s="40"/>
      <c r="I8" s="40"/>
      <c r="J8" s="40"/>
    </row>
    <row r="9">
      <c r="A9" s="55" t="s">
        <v>29</v>
      </c>
      <c r="B9" s="55">
        <f t="shared" ref="B9:J9" si="4">B18/B15</f>
        <v>615.4231363</v>
      </c>
      <c r="C9" s="55">
        <f t="shared" si="4"/>
        <v>596.9972538</v>
      </c>
      <c r="D9" s="55">
        <f t="shared" si="4"/>
        <v>591.0330948</v>
      </c>
      <c r="E9" s="55">
        <f t="shared" si="4"/>
        <v>601.021905</v>
      </c>
      <c r="F9" s="55">
        <f t="shared" si="4"/>
        <v>596.3302788</v>
      </c>
      <c r="G9" s="55">
        <f t="shared" si="4"/>
        <v>596.1081937</v>
      </c>
      <c r="H9" s="55">
        <f t="shared" si="4"/>
        <v>597.8139143</v>
      </c>
      <c r="I9" s="55">
        <f t="shared" si="4"/>
        <v>596.7501001</v>
      </c>
      <c r="J9" s="55">
        <f t="shared" si="4"/>
        <v>596.8901357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48" t="s">
        <v>30</v>
      </c>
      <c r="B10" s="65">
        <v>123.0</v>
      </c>
      <c r="C10" s="66">
        <f t="array" ref="C10">IFERROR(AVERAGE(INDEX('1.Actual'!$A$9:$J$33,MATCH($A10,'1.Actual'!$A$9:$A$33,0),MATCH((B$1-1),'1.Actual'!$A$1:$K$1,0)),INDEX('1.Actual'!$A$9:$J$33,MATCH(A10,'1.Actual'!$A$9:$A$33,0),MATCH((B$1-2),'1.Actual'!$A$1:$K$1,0)),B10),"")</f>
        <v>63.33333333</v>
      </c>
      <c r="D10" s="55">
        <f t="array" ref="D10">IFERROR(AVERAGE(INDEX('1.Actual'!$A$9:$J$33,MATCH($A10,'1.Actual'!$A$9:$A$33,0),MATCH((B$1-1),'1.Actual'!$A$1:$K$1,0)),INDEX('1.Actual'!$A$9:$J$33,MATCH(A10,'1.Actual'!$A$9:$A$33,0),MATCH((B$1-2),'1.Actual'!$A$1:$K$1,0)),C10),"")</f>
        <v>43.44444444</v>
      </c>
      <c r="E10" s="55">
        <f t="shared" ref="E10:J10" si="5">AVERAGE(D10,C10,B10)</f>
        <v>76.59259259</v>
      </c>
      <c r="F10" s="55">
        <f t="shared" si="5"/>
        <v>61.12345679</v>
      </c>
      <c r="G10" s="55">
        <f t="shared" si="5"/>
        <v>60.38683128</v>
      </c>
      <c r="H10" s="55">
        <f t="shared" si="5"/>
        <v>66.03429355</v>
      </c>
      <c r="I10" s="55">
        <f t="shared" si="5"/>
        <v>62.51486054</v>
      </c>
      <c r="J10" s="55">
        <f t="shared" si="5"/>
        <v>62.97866179</v>
      </c>
    </row>
    <row r="11">
      <c r="A11" s="48" t="s">
        <v>31</v>
      </c>
      <c r="B11" s="67">
        <v>0.0</v>
      </c>
      <c r="C11" s="68">
        <f t="shared" ref="C11:J11" si="6">C9-B9+C10</f>
        <v>44.90745091</v>
      </c>
      <c r="D11" s="68">
        <f t="shared" si="6"/>
        <v>37.48028544</v>
      </c>
      <c r="E11" s="68">
        <f t="shared" si="6"/>
        <v>86.58140278</v>
      </c>
      <c r="F11" s="68">
        <f t="shared" si="6"/>
        <v>56.43183059</v>
      </c>
      <c r="G11" s="68">
        <f t="shared" si="6"/>
        <v>60.16474612</v>
      </c>
      <c r="H11" s="68">
        <f t="shared" si="6"/>
        <v>67.74001419</v>
      </c>
      <c r="I11" s="68">
        <f t="shared" si="6"/>
        <v>61.45104634</v>
      </c>
      <c r="J11" s="68">
        <f t="shared" si="6"/>
        <v>63.11869736</v>
      </c>
    </row>
    <row r="12">
      <c r="A12" s="48" t="s">
        <v>32</v>
      </c>
      <c r="B12" s="69">
        <f t="shared" ref="B12:J12" si="7">B14*B9</f>
        <v>3519.238866</v>
      </c>
      <c r="C12" s="69">
        <f t="shared" si="7"/>
        <v>3443.793282</v>
      </c>
      <c r="D12" s="69">
        <f t="shared" si="7"/>
        <v>3419.262937</v>
      </c>
      <c r="E12" s="69">
        <f t="shared" si="7"/>
        <v>3460.315627</v>
      </c>
      <c r="F12" s="69">
        <f t="shared" si="7"/>
        <v>3441.05277</v>
      </c>
      <c r="G12" s="69">
        <f t="shared" si="7"/>
        <v>3440.1401</v>
      </c>
      <c r="H12" s="69">
        <f t="shared" si="7"/>
        <v>3447.147903</v>
      </c>
      <c r="I12" s="69">
        <f t="shared" si="7"/>
        <v>3442.777839</v>
      </c>
      <c r="J12" s="69">
        <f t="shared" si="7"/>
        <v>3443.353193</v>
      </c>
    </row>
    <row r="13">
      <c r="A13" s="50" t="s">
        <v>33</v>
      </c>
      <c r="B13" s="51">
        <f t="shared" ref="B13:J13" si="8">IFERROR(B18/B12,"")</f>
        <v>0.7079182256</v>
      </c>
      <c r="C13" s="51">
        <f t="shared" si="8"/>
        <v>0.7174582141</v>
      </c>
      <c r="D13" s="51">
        <f t="shared" si="8"/>
        <v>0.7206014779</v>
      </c>
      <c r="E13" s="51">
        <f t="shared" si="8"/>
        <v>0.7153525706</v>
      </c>
      <c r="F13" s="51">
        <f t="shared" si="8"/>
        <v>0.7178083645</v>
      </c>
      <c r="G13" s="51">
        <f t="shared" si="8"/>
        <v>0.7179250312</v>
      </c>
      <c r="H13" s="51">
        <f t="shared" si="8"/>
        <v>0.7170299465</v>
      </c>
      <c r="I13" s="51">
        <f t="shared" si="8"/>
        <v>0.7175879257</v>
      </c>
      <c r="J13" s="51">
        <f t="shared" si="8"/>
        <v>0.7175144263</v>
      </c>
    </row>
    <row r="14">
      <c r="A14" s="70" t="s">
        <v>34</v>
      </c>
      <c r="B14" s="71">
        <f t="array" ref="B14">IFERROR(AVERAGE(INDEX('1.Actual'!$A$9:$J$33,MATCH($A14,'1.Actual'!$A$9:$A$33,0),MATCH((B$1-1),'1.Actual'!$A$1:$K$1,0)),INDEX('1.Actual'!$A$9:$J$33,MATCH(A14,'1.Actual'!$A$9:$A$33,0),MATCH((B$1-2),'1.Actual'!$A$1:$K$1,0)),INDEX('1.Actual'!$A$9:$J$33,MATCH(A14,'1.Actual'!$A$9:$A$33,0),MATCH((B$1-3),'1.Actual'!$A$1:$K$1,0))),"")</f>
        <v>5.718405205</v>
      </c>
      <c r="C14" s="68">
        <f t="array" ref="C14">IFERROR(AVERAGE(INDEX('1.Actual'!$A$9:$J$33,MATCH($A14,'1.Actual'!$A$9:$A$33,0),MATCH((B$1-1),'1.Actual'!$A$1:$K$1,0)),INDEX('1.Actual'!$A$9:$J$33,MATCH(A14,'1.Actual'!$A$9:$A$33,0),MATCH((B$1-2),'1.Actual'!$A$1:$K$1,0)),B14),"")</f>
        <v>5.768524494</v>
      </c>
      <c r="D14" s="71">
        <f t="array" ref="D14">IFERROR(AVERAGE(INDEX('1.Actual'!$A$9:$J$33,MATCH($A14,'1.Actual'!$A$9:$A$33,0),MATCH((B$1-1),'1.Actual'!$A$1:$K$1,0)),INDEX('1.Actual'!$A$9:$J$33,MATCH(A14,'1.Actual'!$A$9:$A$33,0),MATCH((B$1-2),'1.Actual'!$A$1:$K$1,0)),C14),"")</f>
        <v>5.785230924</v>
      </c>
      <c r="E14" s="71">
        <f t="shared" ref="E14:J14" si="9">AVERAGE(D14,C14,B14)</f>
        <v>5.757386874</v>
      </c>
      <c r="F14" s="71">
        <f t="shared" si="9"/>
        <v>5.770380764</v>
      </c>
      <c r="G14" s="71">
        <f t="shared" si="9"/>
        <v>5.770999521</v>
      </c>
      <c r="H14" s="71">
        <f t="shared" si="9"/>
        <v>5.76625572</v>
      </c>
      <c r="I14" s="71">
        <f t="shared" si="9"/>
        <v>5.769212001</v>
      </c>
      <c r="J14" s="71">
        <f t="shared" si="9"/>
        <v>5.768822414</v>
      </c>
    </row>
    <row r="15">
      <c r="A15" s="67" t="s">
        <v>35</v>
      </c>
      <c r="B15" s="71">
        <f t="array" ref="B15">IFERROR(AVERAGE(INDEX('1.Actual'!$A$9:$J$33,MATCH($A15,'1.Actual'!$A$9:$A$33,0),MATCH((B$1-1),'1.Actual'!$A$1:$K$1,0)),INDEX('1.Actual'!$A$9:$J$33,MATCH(A15,'1.Actual'!$A$9:$A$33,0),MATCH((B$1-2),'1.Actual'!$A$1:$K$1,0)),INDEX('1.Actual'!$A$9:$J$33,MATCH(A15,'1.Actual'!$A$9:$A$33,0),MATCH((B$1-3),'1.Actual'!$A$1:$K$1,0))),"")</f>
        <v>4.048163266</v>
      </c>
      <c r="C15" s="68">
        <f t="array" ref="C15">IFERROR(AVERAGE(INDEX('1.Actual'!$A$9:$J$33,MATCH($A15,'1.Actual'!$A$9:$A$33,0),MATCH((B$1-1),'1.Actual'!$A$1:$K$1,0)),INDEX('1.Actual'!$A$9:$J$33,MATCH(A15,'1.Actual'!$A$9:$A$33,0),MATCH((B$1-2),'1.Actual'!$A$1:$K$1,0)),B15),"")</f>
        <v>4.138675282</v>
      </c>
      <c r="D15" s="71">
        <f t="array" ref="D15">IFERROR(AVERAGE(INDEX('1.Actual'!$A$9:$J$33,MATCH($A15,'1.Actual'!$A$9:$A$33,0),MATCH((B$1-1),'1.Actual'!$A$1:$K$1,0)),INDEX('1.Actual'!$A$9:$J$33,MATCH(A15,'1.Actual'!$A$9:$A$33,0),MATCH((B$1-2),'1.Actual'!$A$1:$K$1,0)),C15),"")</f>
        <v>4.168845954</v>
      </c>
      <c r="E15" s="71">
        <f t="shared" ref="E15:J15" si="10">AVERAGE(D15,C15,B15)</f>
        <v>4.1185615</v>
      </c>
      <c r="F15" s="71">
        <f t="shared" si="10"/>
        <v>4.142027579</v>
      </c>
      <c r="G15" s="71">
        <f t="shared" si="10"/>
        <v>4.143145011</v>
      </c>
      <c r="H15" s="71">
        <f t="shared" si="10"/>
        <v>4.13457803</v>
      </c>
      <c r="I15" s="71">
        <f t="shared" si="10"/>
        <v>4.139916873</v>
      </c>
      <c r="J15" s="71">
        <f t="shared" si="10"/>
        <v>4.139213305</v>
      </c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7">
      <c r="A17" s="63" t="s">
        <v>36</v>
      </c>
      <c r="B17" s="40" t="str">
        <f t="array" ref="B17">IFERROR(INDEX('3.Data'!$B$1:$M1015,MATCH(B$2,'3.Data'!$B:$B,0),MATCH($A17,'3.Data'!$B$1:$M$1,0)),"")</f>
        <v/>
      </c>
      <c r="C17" s="40"/>
      <c r="D17" s="40"/>
      <c r="E17" s="40"/>
      <c r="F17" s="40"/>
      <c r="G17" s="40"/>
      <c r="H17" s="40"/>
      <c r="I17" s="40"/>
      <c r="J17" s="40"/>
    </row>
    <row r="18">
      <c r="A18" s="48" t="s">
        <v>8</v>
      </c>
      <c r="B18" s="71">
        <f t="array" ref="B18">IFERROR(AVERAGE(INDEX('1.Actual'!$A$9:$J$33,MATCH($A18,'1.Actual'!$A$9:$A$33,0),MATCH((B$1-1),'1.Actual'!$A$1:$K$1,0)),INDEX('1.Actual'!$A$9:$J$33,MATCH(A18,'1.Actual'!$A$9:$A$33,0),MATCH((B$1-2),'1.Actual'!$A$1:$K$1,0)),INDEX('1.Actual'!$A$9:$J$33,MATCH(A18,'1.Actual'!$A$9:$A$33,0),MATCH((B$1-3),'1.Actual'!$A$1:$K$1,0))),"")</f>
        <v>2491.333333</v>
      </c>
      <c r="C18" s="68">
        <f t="array" ref="C18">IFERROR(AVERAGE(INDEX('1.Actual'!$A$9:$J$33,MATCH($A18,'1.Actual'!$A$9:$A$33,0),MATCH((B$1-1),'1.Actual'!$A$1:$K$1,0)),INDEX('1.Actual'!$A$9:$J$33,MATCH(A18,'1.Actual'!$A$9:$A$33,0),MATCH((B$1-2),'1.Actual'!$A$1:$K$1,0)),B18),"")</f>
        <v>2470.777778</v>
      </c>
      <c r="D18" s="71">
        <f t="array" ref="D18">IFERROR(AVERAGE(INDEX('1.Actual'!$A$9:$J$33,MATCH($A18,'1.Actual'!$A$9:$A$33,0),MATCH((B$1-1),'1.Actual'!$A$1:$K$1,0)),INDEX('1.Actual'!$A$9:$J$33,MATCH(A18,'1.Actual'!$A$9:$A$33,0),MATCH((B$1-2),'1.Actual'!$A$1:$K$1,0)),C18),"")</f>
        <v>2463.925926</v>
      </c>
      <c r="E18" s="71">
        <f t="shared" ref="E18:J18" si="11">AVERAGE(D18,C18,B18)</f>
        <v>2475.345679</v>
      </c>
      <c r="F18" s="71">
        <f t="shared" si="11"/>
        <v>2470.016461</v>
      </c>
      <c r="G18" s="71">
        <f t="shared" si="11"/>
        <v>2469.762689</v>
      </c>
      <c r="H18" s="71">
        <f t="shared" si="11"/>
        <v>2471.708276</v>
      </c>
      <c r="I18" s="71">
        <f t="shared" si="11"/>
        <v>2470.495809</v>
      </c>
      <c r="J18" s="71">
        <f t="shared" si="11"/>
        <v>2470.655591</v>
      </c>
    </row>
    <row r="19">
      <c r="A19" s="56" t="s">
        <v>37</v>
      </c>
      <c r="B19" s="57"/>
      <c r="C19" s="58">
        <f t="shared" ref="C19:J19" si="12">(C18-B18)/B18</f>
        <v>-0.008250825083</v>
      </c>
      <c r="D19" s="58">
        <f t="shared" si="12"/>
        <v>-0.002773155851</v>
      </c>
      <c r="E19" s="58">
        <f t="shared" si="12"/>
        <v>0.004634779385</v>
      </c>
      <c r="F19" s="58">
        <f t="shared" si="12"/>
        <v>-0.002152918743</v>
      </c>
      <c r="G19" s="58">
        <f t="shared" si="12"/>
        <v>-0.0001027411334</v>
      </c>
      <c r="H19" s="58">
        <f t="shared" si="12"/>
        <v>0.0007877629587</v>
      </c>
      <c r="I19" s="58">
        <f t="shared" si="12"/>
        <v>-0.0004905383145</v>
      </c>
      <c r="J19" s="58">
        <f t="shared" si="12"/>
        <v>0.00006467631028</v>
      </c>
    </row>
    <row r="20">
      <c r="A20" s="48" t="s">
        <v>38</v>
      </c>
      <c r="B20" s="55">
        <f t="array" ref="B20">IFERROR(AVERAGE(INDEX('1.Actual'!$A$9:$J$33,MATCH($A20,'1.Actual'!$A$9:$A$33,0),MATCH((B$1-1),'1.Actual'!$A$1:$K$1,0)),INDEX('1.Actual'!$A$9:$J$33,MATCH(A20,'1.Actual'!$A$9:$A$33,0),MATCH((B$1-2),'1.Actual'!$A$1:$K$1,0)),INDEX('1.Actual'!$A$9:$J$33,MATCH(A20,'1.Actual'!$A$9:$A$33,0),MATCH((B$1-3),'1.Actual'!$A$1:$K$1,0))),"")</f>
        <v>1143.333333</v>
      </c>
      <c r="C20" s="66">
        <f t="array" ref="C20">IFERROR(AVERAGE(INDEX('1.Actual'!$A$9:$J$33,MATCH($A20,'1.Actual'!$A$9:$A$33,0),MATCH((B$1-1),'1.Actual'!$A$1:$K$1,0)),INDEX('1.Actual'!$A$9:$J$33,MATCH(A20,'1.Actual'!$A$9:$A$33,0),MATCH((B$1-2),'1.Actual'!$A$1:$K$1,0)),B20),"")</f>
        <v>1184.111111</v>
      </c>
      <c r="D20" s="55">
        <f t="array" ref="D20">IFERROR(AVERAGE(INDEX('1.Actual'!$A$9:$J$33,MATCH($A20,'1.Actual'!$A$9:$A$33,0),MATCH((B$1-1),'1.Actual'!$A$1:$K$1,0)),INDEX('1.Actual'!$A$9:$J$33,MATCH(A20,'1.Actual'!$A$9:$A$33,0),MATCH((B$1-2),'1.Actual'!$A$1:$K$1,0)),C20),"")</f>
        <v>1197.703704</v>
      </c>
      <c r="E20" s="55">
        <f t="shared" ref="E20:J20" si="13">AVERAGE(D20,C20,B20)</f>
        <v>1175.049383</v>
      </c>
      <c r="F20" s="55">
        <f t="shared" si="13"/>
        <v>1185.621399</v>
      </c>
      <c r="G20" s="55">
        <f t="shared" si="13"/>
        <v>1186.124829</v>
      </c>
      <c r="H20" s="55">
        <f t="shared" si="13"/>
        <v>1182.265203</v>
      </c>
      <c r="I20" s="55">
        <f t="shared" si="13"/>
        <v>1184.670477</v>
      </c>
      <c r="J20" s="55">
        <f t="shared" si="13"/>
        <v>1184.353503</v>
      </c>
    </row>
    <row r="21">
      <c r="A21" s="48" t="s">
        <v>39</v>
      </c>
      <c r="B21" s="65">
        <v>123.0</v>
      </c>
      <c r="C21" s="66">
        <f t="array" ref="C21">IFERROR(AVERAGE(INDEX('1.Actual'!$A$9:$J$33,MATCH($A21,'1.Actual'!$A$9:$A$33,0),MATCH((B$1-1),'1.Actual'!$A$1:$K$1,0)),INDEX('1.Actual'!$A$9:$J$33,MATCH(A21,'1.Actual'!$A$9:$A$33,0),MATCH((B$1-2),'1.Actual'!$A$1:$K$1,0)),B21),"")</f>
        <v>105</v>
      </c>
      <c r="D21" s="55">
        <f t="array" ref="D21">IFERROR(AVERAGE(INDEX('1.Actual'!$A$9:$J$33,MATCH($A21,'1.Actual'!$A$9:$A$33,0),MATCH((B$1-1),'1.Actual'!$A$1:$K$1,0)),INDEX('1.Actual'!$A$9:$J$33,MATCH(A21,'1.Actual'!$A$9:$A$33,0),MATCH((B$1-2),'1.Actual'!$A$1:$K$1,0)),C21),"")</f>
        <v>99</v>
      </c>
      <c r="E21" s="55">
        <f t="shared" ref="E21:J21" si="14">AVERAGE(D21,C21,B21)</f>
        <v>109</v>
      </c>
      <c r="F21" s="55">
        <f t="shared" si="14"/>
        <v>104.3333333</v>
      </c>
      <c r="G21" s="55">
        <f t="shared" si="14"/>
        <v>104.1111111</v>
      </c>
      <c r="H21" s="55">
        <f t="shared" si="14"/>
        <v>105.8148148</v>
      </c>
      <c r="I21" s="55">
        <f t="shared" si="14"/>
        <v>104.7530864</v>
      </c>
      <c r="J21" s="55">
        <f t="shared" si="14"/>
        <v>104.8930041</v>
      </c>
    </row>
    <row r="22">
      <c r="A22" s="48" t="s">
        <v>40</v>
      </c>
      <c r="B22" s="67">
        <v>0.0</v>
      </c>
      <c r="C22" s="68">
        <f t="shared" ref="C22:J22" si="15">C20-B20+C21</f>
        <v>145.7777778</v>
      </c>
      <c r="D22" s="68">
        <f t="shared" si="15"/>
        <v>112.5925926</v>
      </c>
      <c r="E22" s="68">
        <f t="shared" si="15"/>
        <v>86.34567901</v>
      </c>
      <c r="F22" s="68">
        <f t="shared" si="15"/>
        <v>114.9053498</v>
      </c>
      <c r="G22" s="68">
        <f t="shared" si="15"/>
        <v>104.6145405</v>
      </c>
      <c r="H22" s="68">
        <f t="shared" si="15"/>
        <v>101.9551898</v>
      </c>
      <c r="I22" s="68">
        <f t="shared" si="15"/>
        <v>107.15836</v>
      </c>
      <c r="J22" s="68">
        <f t="shared" si="15"/>
        <v>104.5760301</v>
      </c>
    </row>
    <row r="23">
      <c r="A23" s="59" t="s">
        <v>41</v>
      </c>
      <c r="B23" s="60">
        <f t="shared" ref="B23:J23" si="16">IFERROR(B18/B20)</f>
        <v>2.179008746</v>
      </c>
      <c r="C23" s="60">
        <f t="shared" si="16"/>
        <v>2.08660974</v>
      </c>
      <c r="D23" s="60">
        <f t="shared" si="16"/>
        <v>2.057208238</v>
      </c>
      <c r="E23" s="60">
        <f t="shared" si="16"/>
        <v>2.106588638</v>
      </c>
      <c r="F23" s="60">
        <f t="shared" si="16"/>
        <v>2.083309615</v>
      </c>
      <c r="G23" s="60">
        <f t="shared" si="16"/>
        <v>2.082211441</v>
      </c>
      <c r="H23" s="60">
        <f t="shared" si="16"/>
        <v>2.090654676</v>
      </c>
      <c r="I23" s="60">
        <f t="shared" si="16"/>
        <v>2.085386491</v>
      </c>
      <c r="J23" s="60">
        <f t="shared" si="16"/>
        <v>2.086079523</v>
      </c>
    </row>
    <row r="24">
      <c r="A24" s="59" t="s">
        <v>42</v>
      </c>
      <c r="B24" s="72">
        <f t="array" ref="B24">IFERROR(AVERAGE(INDEX('1.Actual'!$A$9:$J$33,MATCH($A24,'1.Actual'!$A$9:$A$33,0),MATCH((B$1-1),'1.Actual'!$A$1:$K$1,0)),INDEX('1.Actual'!$A$9:$J$33,MATCH(A24,'1.Actual'!$A$9:$A$33,0),MATCH((B$1-2),'1.Actual'!$A$1:$K$1,0)),INDEX('1.Actual'!$A$9:$J$33,MATCH(A24,'1.Actual'!$A$9:$A$33,0),MATCH((B$1-3),'1.Actual'!$A$1:$K$1,0))),"")</f>
        <v>69</v>
      </c>
      <c r="C24" s="72">
        <f t="array" ref="C24">IFERROR(AVERAGE(INDEX('1.Actual'!$A$9:$J$33,MATCH($A24,'1.Actual'!$A$9:$A$33,0),MATCH((B$1-1),'1.Actual'!$A$1:$K$1,0)),INDEX('1.Actual'!$A$9:$J$33,MATCH(A24,'1.Actual'!$A$9:$A$33,0),MATCH((B$1-2),'1.Actual'!$A$1:$K$1,0)),B24),"")</f>
        <v>77.33333333</v>
      </c>
      <c r="D24" s="73">
        <f t="array" ref="D24">IFERROR(AVERAGE(INDEX('1.Actual'!$A$9:$J$33,MATCH($A24,'1.Actual'!$A$9:$A$33,0),MATCH((B$1-1),'1.Actual'!$A$1:$K$1,0)),INDEX('1.Actual'!$A$9:$J$33,MATCH(A24,'1.Actual'!$A$9:$A$33,0),MATCH((B$1-2),'1.Actual'!$A$1:$K$1,0)),C24),"")</f>
        <v>80.11111111</v>
      </c>
      <c r="E24" s="73">
        <f t="shared" ref="E24:J24" si="17">AVERAGE(D24,C24,B24)</f>
        <v>75.48148148</v>
      </c>
      <c r="F24" s="73">
        <f t="shared" si="17"/>
        <v>77.64197531</v>
      </c>
      <c r="G24" s="73">
        <f t="shared" si="17"/>
        <v>77.74485597</v>
      </c>
      <c r="H24" s="73">
        <f t="shared" si="17"/>
        <v>76.95610425</v>
      </c>
      <c r="I24" s="73">
        <f t="shared" si="17"/>
        <v>77.44764518</v>
      </c>
      <c r="J24" s="73">
        <f t="shared" si="17"/>
        <v>77.38286847</v>
      </c>
    </row>
    <row r="26">
      <c r="A26" s="63" t="s">
        <v>43</v>
      </c>
      <c r="B26" s="40" t="str">
        <f t="array" ref="B26">IFERROR(INDEX('3.Data'!$B$1:$M1015,MATCH(B$2,'3.Data'!$B:$B,0),MATCH($A26,'3.Data'!$B$1:$M$1,0)),"")</f>
        <v/>
      </c>
      <c r="C26" s="40"/>
      <c r="D26" s="40"/>
      <c r="E26" s="40"/>
      <c r="F26" s="40"/>
      <c r="G26" s="40"/>
      <c r="H26" s="40"/>
      <c r="I26" s="40"/>
      <c r="J26" s="40"/>
    </row>
    <row r="27">
      <c r="A27" s="48" t="s">
        <v>5</v>
      </c>
      <c r="B27" s="62">
        <f t="shared" ref="B27:J27" si="18">B24*B18</f>
        <v>171902</v>
      </c>
      <c r="C27" s="62">
        <f t="shared" si="18"/>
        <v>191073.4815</v>
      </c>
      <c r="D27" s="62">
        <f t="shared" si="18"/>
        <v>197387.8436</v>
      </c>
      <c r="E27" s="62">
        <f t="shared" si="18"/>
        <v>186842.759</v>
      </c>
      <c r="F27" s="62">
        <f t="shared" si="18"/>
        <v>191776.9571</v>
      </c>
      <c r="G27" s="62">
        <f t="shared" si="18"/>
        <v>192011.3445</v>
      </c>
      <c r="H27" s="62">
        <f t="shared" si="18"/>
        <v>190213.0398</v>
      </c>
      <c r="I27" s="62">
        <f t="shared" si="18"/>
        <v>191334.0828</v>
      </c>
      <c r="J27" s="62">
        <f t="shared" si="18"/>
        <v>191186.4166</v>
      </c>
    </row>
    <row r="28">
      <c r="A28" s="59" t="s">
        <v>44</v>
      </c>
      <c r="B28" s="58">
        <f t="array" ref="B28">IFERROR(AVERAGE(INDEX('1.Actual'!$A$9:$J$33,MATCH($A28,'1.Actual'!$A$9:$A$33,0),MATCH((B$1-1),'1.Actual'!$A$1:$K$1,0)),INDEX('1.Actual'!$A$9:$J$33,MATCH(A28,'1.Actual'!$A$9:$A$33,0),MATCH((B$1-2),'1.Actual'!$A$1:$K$1,0)),INDEX('1.Actual'!$A$9:$J$33,MATCH(A28,'1.Actual'!$A$9:$A$33,0),MATCH((B$1-3),'1.Actual'!$A$1:$K$1,0))),"")</f>
        <v>0.1870413958</v>
      </c>
      <c r="C28" s="74">
        <f t="array" ref="C28">IFERROR(AVERAGE(INDEX('1.Actual'!$A$9:$J$33,MATCH($A28,'1.Actual'!$A$9:$A$33,0),MATCH((B$1-1),'1.Actual'!$A$1:$K$1,0)),INDEX('1.Actual'!$A$9:$J$33,MATCH(A28,'1.Actual'!$A$9:$A$33,0),MATCH((B$1-2),'1.Actual'!$A$1:$K$1,0)),B28),"")</f>
        <v>0.1593043725</v>
      </c>
      <c r="D28" s="58">
        <f t="array" ref="D28">IFERROR(AVERAGE(INDEX('1.Actual'!$A$9:$J$33,MATCH($A28,'1.Actual'!$A$9:$A$33,0),MATCH((B$1-1),'1.Actual'!$A$1:$K$1,0)),INDEX('1.Actual'!$A$9:$J$33,MATCH(A28,'1.Actual'!$A$9:$A$33,0),MATCH((B$1-2),'1.Actual'!$A$1:$K$1,0)),C28),"")</f>
        <v>0.150058698</v>
      </c>
      <c r="E28" s="58">
        <f t="shared" ref="E28:J28" si="19">AVERAGE(D28,C28,B28)</f>
        <v>0.1654681554</v>
      </c>
      <c r="F28" s="58">
        <f t="shared" si="19"/>
        <v>0.1582770753</v>
      </c>
      <c r="G28" s="58">
        <f t="shared" si="19"/>
        <v>0.1579346429</v>
      </c>
      <c r="H28" s="58">
        <f t="shared" si="19"/>
        <v>0.1605599579</v>
      </c>
      <c r="I28" s="58">
        <f t="shared" si="19"/>
        <v>0.158923892</v>
      </c>
      <c r="J28" s="58">
        <f t="shared" si="19"/>
        <v>0.1591394976</v>
      </c>
      <c r="K28" s="51"/>
    </row>
    <row r="29">
      <c r="A29" s="48" t="s">
        <v>45</v>
      </c>
      <c r="B29" s="62">
        <f t="shared" ref="B29:J29" si="20">B27*B28</f>
        <v>32152.79003</v>
      </c>
      <c r="C29" s="62">
        <f t="shared" si="20"/>
        <v>30438.84106</v>
      </c>
      <c r="D29" s="62">
        <f t="shared" si="20"/>
        <v>29619.76282</v>
      </c>
      <c r="E29" s="62">
        <f t="shared" si="20"/>
        <v>30916.52669</v>
      </c>
      <c r="F29" s="62">
        <f t="shared" si="20"/>
        <v>30353.89588</v>
      </c>
      <c r="G29" s="62">
        <f t="shared" si="20"/>
        <v>30325.24313</v>
      </c>
      <c r="H29" s="62">
        <f t="shared" si="20"/>
        <v>30540.59766</v>
      </c>
      <c r="I29" s="62">
        <f t="shared" si="20"/>
        <v>30407.55712</v>
      </c>
      <c r="J29" s="62">
        <f t="shared" si="20"/>
        <v>30425.31029</v>
      </c>
    </row>
    <row r="30">
      <c r="A30" s="48" t="s">
        <v>46</v>
      </c>
      <c r="B30" s="62">
        <f t="shared" ref="B30:J30" si="21">B27*B31</f>
        <v>20923.27302</v>
      </c>
      <c r="C30" s="62">
        <f t="shared" si="21"/>
        <v>14152.38282</v>
      </c>
      <c r="D30" s="62">
        <f t="shared" si="21"/>
        <v>11484.9928</v>
      </c>
      <c r="E30" s="62">
        <f t="shared" si="21"/>
        <v>15817.41917</v>
      </c>
      <c r="F30" s="62">
        <f t="shared" si="21"/>
        <v>13866.04726</v>
      </c>
      <c r="G30" s="62">
        <f t="shared" si="21"/>
        <v>13770.04282</v>
      </c>
      <c r="H30" s="62">
        <f t="shared" si="21"/>
        <v>14498.92798</v>
      </c>
      <c r="I30" s="62">
        <f t="shared" si="21"/>
        <v>14046.62614</v>
      </c>
      <c r="J30" s="62">
        <f t="shared" si="21"/>
        <v>14106.59734</v>
      </c>
    </row>
    <row r="31">
      <c r="A31" s="59" t="s">
        <v>47</v>
      </c>
      <c r="B31" s="75">
        <f t="array" ref="B31">IFERROR(AVERAGE(INDEX('1.Actual'!$A$9:$J$33,MATCH($A31,'1.Actual'!$A$9:$A$33,0),MATCH((B$1-1),'1.Actual'!$A$1:$K$1,0)),INDEX('1.Actual'!$A$9:$J$33,MATCH(A31,'1.Actual'!$A$9:$A$33,0),MATCH((B$1-2),'1.Actual'!$A$1:$K$1,0)),INDEX('1.Actual'!$A$9:$J$33,MATCH(A31,'1.Actual'!$A$9:$A$33,0),MATCH((B$1-3),'1.Actual'!$A$1:$K$1,0))),"")</f>
        <v>0.1217162861</v>
      </c>
      <c r="C31" s="75">
        <f t="array" ref="C31">IFERROR(AVERAGE(INDEX('1.Actual'!$A$9:$J$33,MATCH($A31,'1.Actual'!$A$9:$A$33,0),MATCH((B$1-1),'1.Actual'!$A$1:$K$1,0)),INDEX('1.Actual'!$A$9:$J$33,MATCH(A31,'1.Actual'!$A$9:$A$33,0),MATCH((B$1-2),'1.Actual'!$A$1:$K$1,0)),B31),"")</f>
        <v>0.07406774981</v>
      </c>
      <c r="D31" s="75">
        <f t="array" ref="D31">IFERROR(AVERAGE(INDEX('1.Actual'!$A$9:$J$33,MATCH($A31,'1.Actual'!$A$9:$A$33,0),MATCH((B$1-1),'1.Actual'!$A$1:$K$1,0)),INDEX('1.Actual'!$A$9:$J$33,MATCH(A31,'1.Actual'!$A$9:$A$33,0),MATCH((B$1-2),'1.Actual'!$A$1:$K$1,0)),C31),"")</f>
        <v>0.05818490437</v>
      </c>
      <c r="E31" s="75">
        <f t="shared" ref="E31:J31" si="22">AVERAGE(D31,C31,B31)</f>
        <v>0.08465631344</v>
      </c>
      <c r="F31" s="75">
        <f t="shared" si="22"/>
        <v>0.07230298921</v>
      </c>
      <c r="G31" s="75">
        <f t="shared" si="22"/>
        <v>0.07171473567</v>
      </c>
      <c r="H31" s="75">
        <f t="shared" si="22"/>
        <v>0.07622467944</v>
      </c>
      <c r="I31" s="75">
        <f t="shared" si="22"/>
        <v>0.07341413477</v>
      </c>
      <c r="J31" s="75">
        <f t="shared" si="22"/>
        <v>0.07378451663</v>
      </c>
    </row>
    <row r="32">
      <c r="A32" s="59" t="s">
        <v>48</v>
      </c>
      <c r="B32" s="61">
        <f t="shared" ref="B32:J32" si="23">B29-B30</f>
        <v>11229.51701</v>
      </c>
      <c r="C32" s="61">
        <f t="shared" si="23"/>
        <v>16286.45824</v>
      </c>
      <c r="D32" s="61">
        <f t="shared" si="23"/>
        <v>18134.77001</v>
      </c>
      <c r="E32" s="61">
        <f t="shared" si="23"/>
        <v>15099.10752</v>
      </c>
      <c r="F32" s="61">
        <f t="shared" si="23"/>
        <v>16487.84862</v>
      </c>
      <c r="G32" s="61">
        <f t="shared" si="23"/>
        <v>16555.20031</v>
      </c>
      <c r="H32" s="61">
        <f t="shared" si="23"/>
        <v>16041.66968</v>
      </c>
      <c r="I32" s="61">
        <f t="shared" si="23"/>
        <v>16360.93098</v>
      </c>
      <c r="J32" s="61">
        <f t="shared" si="23"/>
        <v>16318.71296</v>
      </c>
    </row>
    <row r="33">
      <c r="A33" s="59" t="s">
        <v>49</v>
      </c>
      <c r="B33" s="58">
        <f t="shared" ref="B33:J33" si="24">B32/B27</f>
        <v>0.0653251097</v>
      </c>
      <c r="C33" s="58">
        <f t="shared" si="24"/>
        <v>0.08523662266</v>
      </c>
      <c r="D33" s="58">
        <f t="shared" si="24"/>
        <v>0.09187379365</v>
      </c>
      <c r="E33" s="58">
        <f t="shared" si="24"/>
        <v>0.080811842</v>
      </c>
      <c r="F33" s="58">
        <f t="shared" si="24"/>
        <v>0.0859740861</v>
      </c>
      <c r="G33" s="58">
        <f t="shared" si="24"/>
        <v>0.08621990725</v>
      </c>
      <c r="H33" s="58">
        <f t="shared" si="24"/>
        <v>0.08433527845</v>
      </c>
      <c r="I33" s="58">
        <f t="shared" si="24"/>
        <v>0.08550975727</v>
      </c>
      <c r="J33" s="58">
        <f t="shared" si="24"/>
        <v>0.08535498099</v>
      </c>
    </row>
  </sheetData>
  <conditionalFormatting sqref="C19:J19">
    <cfRule type="cellIs" dxfId="0" priority="1" operator="greaterThan">
      <formula>0</formula>
    </cfRule>
  </conditionalFormatting>
  <conditionalFormatting sqref="C19:J19">
    <cfRule type="cellIs" dxfId="1" priority="2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2" width="9.89"/>
    <col customWidth="1" min="3" max="4" width="11.44"/>
    <col customWidth="1" min="5" max="5" width="12.33"/>
    <col customWidth="1" min="6" max="6" width="13.67"/>
    <col customWidth="1" min="7" max="7" width="13.56"/>
    <col customWidth="1" min="8" max="8" width="10.89"/>
    <col customWidth="1" min="9" max="9" width="12.11"/>
    <col customWidth="1" min="10" max="10" width="11.22"/>
    <col customWidth="1" min="11" max="12" width="6.44"/>
    <col customWidth="1" min="13" max="13" width="18.33"/>
  </cols>
  <sheetData>
    <row r="1">
      <c r="A1" s="76" t="s">
        <v>51</v>
      </c>
      <c r="B1" s="76" t="s">
        <v>52</v>
      </c>
      <c r="C1" s="76" t="s">
        <v>29</v>
      </c>
      <c r="D1" s="76" t="s">
        <v>30</v>
      </c>
      <c r="E1" s="76" t="s">
        <v>31</v>
      </c>
      <c r="F1" s="76" t="s">
        <v>32</v>
      </c>
      <c r="G1" s="76" t="s">
        <v>8</v>
      </c>
      <c r="H1" s="76" t="s">
        <v>38</v>
      </c>
      <c r="I1" s="76" t="s">
        <v>39</v>
      </c>
      <c r="J1" s="76" t="s">
        <v>40</v>
      </c>
      <c r="K1" s="76" t="s">
        <v>5</v>
      </c>
      <c r="L1" s="76" t="s">
        <v>45</v>
      </c>
      <c r="M1" s="76" t="s">
        <v>46</v>
      </c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>
      <c r="A2" s="78">
        <f>VLOOKUP(B2,'5.Calculation'!A:B,2,0)</f>
        <v>19</v>
      </c>
      <c r="B2" s="79">
        <v>45058.0</v>
      </c>
      <c r="C2" s="80">
        <v>600.0</v>
      </c>
      <c r="D2" s="80">
        <v>20.0</v>
      </c>
      <c r="E2" s="80">
        <v>10.0</v>
      </c>
      <c r="F2" s="80">
        <v>3126.0</v>
      </c>
      <c r="G2" s="80">
        <v>2107.0</v>
      </c>
      <c r="H2" s="80">
        <v>843.0</v>
      </c>
      <c r="I2" s="80">
        <v>67.0</v>
      </c>
      <c r="J2" s="80">
        <v>84.0</v>
      </c>
      <c r="K2" s="78">
        <f>G2*67</f>
        <v>141169</v>
      </c>
      <c r="L2" s="78">
        <v>20328.0</v>
      </c>
      <c r="M2" s="78">
        <v>6211.0</v>
      </c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78">
        <f>VLOOKUP(B3,'5.Calculation'!A:B,2,0)</f>
        <v>20</v>
      </c>
      <c r="B3" s="82">
        <v>45065.0</v>
      </c>
      <c r="C3" s="80">
        <v>612.0</v>
      </c>
      <c r="D3" s="80">
        <v>22.0</v>
      </c>
      <c r="E3" s="80">
        <v>15.0</v>
      </c>
      <c r="F3" s="80">
        <v>3311.0</v>
      </c>
      <c r="G3" s="80">
        <v>2149.0</v>
      </c>
      <c r="H3" s="80">
        <v>903.0</v>
      </c>
      <c r="I3" s="80">
        <v>72.0</v>
      </c>
      <c r="J3" s="80">
        <v>90.0</v>
      </c>
      <c r="K3" s="78">
        <f>G3*70</f>
        <v>150430</v>
      </c>
      <c r="L3" s="78">
        <v>19839.0</v>
      </c>
      <c r="M3" s="78">
        <v>6410.0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78">
        <f>VLOOKUP(B4,'5.Calculation'!A:B,2,0)</f>
        <v>21</v>
      </c>
      <c r="B4" s="82">
        <v>45072.0</v>
      </c>
      <c r="C4" s="80">
        <v>624.0</v>
      </c>
      <c r="D4" s="80">
        <v>24.0</v>
      </c>
      <c r="E4" s="80">
        <v>16.0</v>
      </c>
      <c r="F4" s="80">
        <v>3084.0</v>
      </c>
      <c r="G4" s="80">
        <v>2132.0</v>
      </c>
      <c r="H4" s="80">
        <v>938.0</v>
      </c>
      <c r="I4" s="80">
        <v>75.0</v>
      </c>
      <c r="J4" s="80">
        <v>94.0</v>
      </c>
      <c r="K4" s="78">
        <f>G4*86</f>
        <v>183352</v>
      </c>
      <c r="L4" s="78">
        <v>22254.0</v>
      </c>
      <c r="M4" s="78">
        <v>5291.0</v>
      </c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78">
        <f>VLOOKUP(B5,'5.Calculation'!A:B,2,0)</f>
        <v>22</v>
      </c>
      <c r="B5" s="82">
        <v>45079.0</v>
      </c>
      <c r="C5" s="80">
        <v>637.0</v>
      </c>
      <c r="D5" s="80">
        <v>27.0</v>
      </c>
      <c r="E5" s="80">
        <v>20.0</v>
      </c>
      <c r="F5" s="80">
        <v>3279.0</v>
      </c>
      <c r="G5" s="80">
        <v>2604.0</v>
      </c>
      <c r="H5" s="80">
        <v>1302.0</v>
      </c>
      <c r="I5" s="80">
        <v>104.0</v>
      </c>
      <c r="J5" s="80">
        <v>130.0</v>
      </c>
      <c r="K5" s="78">
        <f>G5*54</f>
        <v>140616</v>
      </c>
      <c r="L5" s="78">
        <v>25690.0</v>
      </c>
      <c r="M5" s="78">
        <v>13114.0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>
      <c r="A6" s="78">
        <f>VLOOKUP(B6,'5.Calculation'!A:B,2,0)</f>
        <v>23</v>
      </c>
      <c r="B6" s="82">
        <v>45086.0</v>
      </c>
      <c r="C6" s="80">
        <v>649.0</v>
      </c>
      <c r="D6" s="80">
        <v>29.0</v>
      </c>
      <c r="E6" s="80">
        <v>14.0</v>
      </c>
      <c r="F6" s="80">
        <v>3397.0</v>
      </c>
      <c r="G6" s="80">
        <v>2488.0</v>
      </c>
      <c r="H6" s="80">
        <v>821.0</v>
      </c>
      <c r="I6" s="80">
        <v>66.0</v>
      </c>
      <c r="J6" s="80">
        <v>82.0</v>
      </c>
      <c r="K6" s="78">
        <f>G6*33</f>
        <v>82104</v>
      </c>
      <c r="L6" s="78">
        <v>27942.0</v>
      </c>
      <c r="M6" s="78">
        <v>12613.0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78">
        <f>VLOOKUP(B7,'5.Calculation'!A:B,2,0)</f>
        <v>24</v>
      </c>
      <c r="B7" s="82">
        <v>45093.0</v>
      </c>
      <c r="C7" s="80">
        <v>662.0</v>
      </c>
      <c r="D7" s="80">
        <v>32.0</v>
      </c>
      <c r="E7" s="80">
        <v>13.0</v>
      </c>
      <c r="F7" s="80">
        <v>3551.0</v>
      </c>
      <c r="G7" s="80">
        <v>2148.0</v>
      </c>
      <c r="H7" s="80">
        <v>911.0</v>
      </c>
      <c r="I7" s="80">
        <v>73.0</v>
      </c>
      <c r="J7" s="80">
        <v>91.0</v>
      </c>
      <c r="K7" s="78">
        <f>G7*55</f>
        <v>118140</v>
      </c>
      <c r="L7" s="78">
        <v>24919.0</v>
      </c>
      <c r="M7" s="78">
        <v>1890.0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78">
        <f>VLOOKUP(B8,'5.Calculation'!A:B,2,0)</f>
        <v>25</v>
      </c>
      <c r="B8" s="82">
        <v>45100.0</v>
      </c>
      <c r="C8" s="80">
        <v>676.0</v>
      </c>
      <c r="D8" s="80">
        <v>35.0</v>
      </c>
      <c r="E8" s="80">
        <v>16.0</v>
      </c>
      <c r="F8" s="80">
        <v>3764.0</v>
      </c>
      <c r="G8" s="80">
        <v>2553.0</v>
      </c>
      <c r="H8" s="80">
        <v>1021.0</v>
      </c>
      <c r="I8" s="80">
        <v>82.0</v>
      </c>
      <c r="J8" s="80">
        <v>102.0</v>
      </c>
      <c r="K8" s="78">
        <f>G8*44</f>
        <v>112332</v>
      </c>
      <c r="L8" s="78">
        <v>30358.0</v>
      </c>
      <c r="M8" s="78">
        <v>29730.0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>
      <c r="A9" s="78">
        <f>VLOOKUP(B9,'5.Calculation'!A:B,2,0)</f>
        <v>26</v>
      </c>
      <c r="B9" s="82">
        <v>45107.0</v>
      </c>
      <c r="C9" s="80">
        <v>689.0</v>
      </c>
      <c r="D9" s="80">
        <v>39.0</v>
      </c>
      <c r="E9" s="80">
        <v>13.0</v>
      </c>
      <c r="F9" s="80">
        <v>3991.0</v>
      </c>
      <c r="G9" s="80">
        <v>2812.0</v>
      </c>
      <c r="H9" s="80">
        <v>1405.0</v>
      </c>
      <c r="I9" s="80">
        <v>112.0</v>
      </c>
      <c r="J9" s="80">
        <v>141.0</v>
      </c>
      <c r="K9" s="78">
        <f>G9*96</f>
        <v>269952</v>
      </c>
      <c r="L9" s="78">
        <v>32002.0</v>
      </c>
      <c r="M9" s="78">
        <v>14554.0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>
      <c r="A10" s="78">
        <f>VLOOKUP(B10,'5.Calculation'!A:B,2,0)</f>
        <v>27</v>
      </c>
      <c r="B10" s="82">
        <v>45114.0</v>
      </c>
      <c r="C10" s="80">
        <v>492.0</v>
      </c>
      <c r="D10" s="80">
        <v>28.0</v>
      </c>
      <c r="E10" s="80">
        <v>9.0</v>
      </c>
      <c r="F10" s="80">
        <v>2851.0</v>
      </c>
      <c r="G10" s="80">
        <v>2109.0</v>
      </c>
      <c r="H10" s="80">
        <v>1004.0</v>
      </c>
      <c r="I10" s="80">
        <v>80.0</v>
      </c>
      <c r="J10" s="80">
        <v>100.0</v>
      </c>
      <c r="K10" s="78">
        <f t="shared" ref="K10:K11" si="1">G10*67</f>
        <v>141303</v>
      </c>
      <c r="L10" s="78">
        <v>24350.0</v>
      </c>
      <c r="M10" s="78">
        <v>6581.0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>
      <c r="A11" s="80">
        <v>28.0</v>
      </c>
      <c r="B11" s="79">
        <v>45121.0</v>
      </c>
      <c r="C11" s="80">
        <v>500.0</v>
      </c>
      <c r="D11" s="80">
        <v>30.0</v>
      </c>
      <c r="E11" s="80">
        <v>12.0</v>
      </c>
      <c r="F11" s="80">
        <v>2800.0</v>
      </c>
      <c r="G11" s="80">
        <v>2400.0</v>
      </c>
      <c r="H11" s="80">
        <v>1204.0</v>
      </c>
      <c r="I11" s="80">
        <v>89.0</v>
      </c>
      <c r="J11" s="80">
        <v>96.0</v>
      </c>
      <c r="K11" s="78">
        <f t="shared" si="1"/>
        <v>160800</v>
      </c>
      <c r="L11" s="78">
        <v>24350.0</v>
      </c>
      <c r="M11" s="78">
        <v>6581.0</v>
      </c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>
      <c r="A12" s="80">
        <v>29.0</v>
      </c>
      <c r="B12" s="79">
        <v>45122.0</v>
      </c>
      <c r="C12" s="80">
        <v>600.0</v>
      </c>
      <c r="D12" s="80">
        <v>24.0</v>
      </c>
      <c r="E12" s="80">
        <v>10.0</v>
      </c>
      <c r="F12" s="80">
        <v>3100.0</v>
      </c>
      <c r="G12" s="80">
        <v>2300.0</v>
      </c>
      <c r="H12" s="80">
        <v>1100.0</v>
      </c>
      <c r="I12" s="80">
        <v>88.0</v>
      </c>
      <c r="J12" s="80">
        <v>95.0</v>
      </c>
      <c r="K12" s="78">
        <v>180450.0</v>
      </c>
      <c r="L12" s="78">
        <v>24600.0</v>
      </c>
      <c r="M12" s="80" t="s">
        <v>53</v>
      </c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6.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>
      <c r="A19" s="83"/>
      <c r="B19" s="83"/>
      <c r="C19" s="84"/>
      <c r="D19" s="84"/>
      <c r="E19" s="84"/>
      <c r="F19" s="84"/>
      <c r="G19" s="85"/>
      <c r="H19" s="84"/>
      <c r="I19" s="84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>
      <c r="A20" s="83"/>
      <c r="B20" s="83"/>
      <c r="C20" s="84"/>
      <c r="D20" s="84"/>
      <c r="E20" s="84"/>
      <c r="F20" s="84"/>
      <c r="G20" s="85"/>
      <c r="H20" s="84"/>
      <c r="I20" s="84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A21" s="83"/>
      <c r="B21" s="83"/>
      <c r="C21" s="84"/>
      <c r="D21" s="84"/>
      <c r="E21" s="84"/>
      <c r="F21" s="84"/>
      <c r="G21" s="85"/>
      <c r="H21" s="84"/>
      <c r="I21" s="84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>
      <c r="A22" s="83"/>
      <c r="B22" s="83"/>
      <c r="C22" s="84"/>
      <c r="D22" s="84"/>
      <c r="E22" s="84"/>
      <c r="F22" s="84"/>
      <c r="G22" s="85"/>
      <c r="H22" s="84"/>
      <c r="I22" s="84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>
      <c r="A23" s="83"/>
      <c r="B23" s="83"/>
      <c r="C23" s="84"/>
      <c r="D23" s="84"/>
      <c r="E23" s="84"/>
      <c r="F23" s="84"/>
      <c r="G23" s="85"/>
      <c r="H23" s="84"/>
      <c r="I23" s="84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>
      <c r="A24" s="86"/>
      <c r="B24" s="86"/>
      <c r="C24" s="84"/>
      <c r="D24" s="84"/>
      <c r="E24" s="84"/>
      <c r="F24" s="84"/>
      <c r="G24" s="85"/>
      <c r="H24" s="84"/>
      <c r="I24" s="84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>
      <c r="A25" s="86"/>
      <c r="B25" s="86"/>
      <c r="C25" s="84"/>
      <c r="D25" s="84"/>
      <c r="E25" s="84"/>
      <c r="F25" s="84"/>
      <c r="G25" s="85"/>
      <c r="H25" s="84"/>
      <c r="I25" s="84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>
      <c r="A26" s="86"/>
      <c r="B26" s="86"/>
      <c r="C26" s="84"/>
      <c r="D26" s="84"/>
      <c r="E26" s="84"/>
      <c r="F26" s="84"/>
      <c r="G26" s="85"/>
      <c r="H26" s="84"/>
      <c r="I26" s="84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>
      <c r="A27" s="86"/>
      <c r="B27" s="86"/>
      <c r="C27" s="84"/>
      <c r="D27" s="84"/>
      <c r="E27" s="84"/>
      <c r="F27" s="84"/>
      <c r="G27" s="85"/>
      <c r="H27" s="84"/>
      <c r="I27" s="84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>
      <c r="A28" s="86"/>
      <c r="B28" s="86"/>
      <c r="C28" s="84"/>
      <c r="D28" s="84"/>
      <c r="E28" s="84"/>
      <c r="F28" s="84"/>
      <c r="G28" s="85"/>
      <c r="H28" s="84"/>
      <c r="I28" s="84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>
      <c r="A29" s="86"/>
      <c r="B29" s="86"/>
      <c r="C29" s="84"/>
      <c r="D29" s="84"/>
      <c r="E29" s="84"/>
      <c r="F29" s="84"/>
      <c r="G29" s="85"/>
      <c r="H29" s="84"/>
      <c r="I29" s="84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>
      <c r="A30" s="86"/>
      <c r="B30" s="86"/>
      <c r="C30" s="84"/>
      <c r="D30" s="84"/>
      <c r="E30" s="84"/>
      <c r="F30" s="84"/>
      <c r="G30" s="85"/>
      <c r="H30" s="84"/>
      <c r="I30" s="84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3.89"/>
    <col customWidth="1" min="2" max="2" width="12.11"/>
  </cols>
  <sheetData>
    <row r="1">
      <c r="A1" s="50" t="s">
        <v>20</v>
      </c>
      <c r="B1" s="50" t="s">
        <v>54</v>
      </c>
      <c r="C1" s="50" t="s">
        <v>55</v>
      </c>
    </row>
    <row r="2">
      <c r="A2" s="79">
        <v>45058.0</v>
      </c>
      <c r="B2" s="87">
        <f t="array" ref="B2:B19">WEEKNUM(A2:A19)</f>
        <v>19</v>
      </c>
      <c r="C2" s="48" t="str">
        <f t="shared" ref="C2:C19" si="1">TEXT(A2,"mmmyyyy")</f>
        <v>may2023</v>
      </c>
    </row>
    <row r="3">
      <c r="A3" s="82">
        <v>45065.0</v>
      </c>
      <c r="B3" s="48">
        <v>20.0</v>
      </c>
      <c r="C3" s="48" t="str">
        <f t="shared" si="1"/>
        <v>may2023</v>
      </c>
    </row>
    <row r="4">
      <c r="A4" s="82">
        <v>45072.0</v>
      </c>
      <c r="B4" s="48">
        <v>21.0</v>
      </c>
      <c r="C4" s="48" t="str">
        <f t="shared" si="1"/>
        <v>may2023</v>
      </c>
    </row>
    <row r="5">
      <c r="A5" s="82">
        <v>45079.0</v>
      </c>
      <c r="B5" s="48">
        <v>22.0</v>
      </c>
      <c r="C5" s="48" t="str">
        <f t="shared" si="1"/>
        <v>jun2023</v>
      </c>
    </row>
    <row r="6">
      <c r="A6" s="82">
        <v>45086.0</v>
      </c>
      <c r="B6" s="48">
        <v>23.0</v>
      </c>
      <c r="C6" s="48" t="str">
        <f t="shared" si="1"/>
        <v>jun2023</v>
      </c>
    </row>
    <row r="7">
      <c r="A7" s="82">
        <v>45093.0</v>
      </c>
      <c r="B7" s="48">
        <v>24.0</v>
      </c>
      <c r="C7" s="48" t="str">
        <f t="shared" si="1"/>
        <v>jun2023</v>
      </c>
    </row>
    <row r="8">
      <c r="A8" s="82">
        <v>45100.0</v>
      </c>
      <c r="B8" s="48">
        <v>25.0</v>
      </c>
      <c r="C8" s="48" t="str">
        <f t="shared" si="1"/>
        <v>jun2023</v>
      </c>
    </row>
    <row r="9">
      <c r="A9" s="82">
        <v>45107.0</v>
      </c>
      <c r="B9" s="48">
        <v>26.0</v>
      </c>
      <c r="C9" s="48" t="str">
        <f t="shared" si="1"/>
        <v>jun2023</v>
      </c>
    </row>
    <row r="10">
      <c r="A10" s="82">
        <v>45114.0</v>
      </c>
      <c r="B10" s="48">
        <v>27.0</v>
      </c>
      <c r="C10" s="48" t="str">
        <f t="shared" si="1"/>
        <v>jul2023</v>
      </c>
    </row>
    <row r="11">
      <c r="A11" s="79">
        <v>45121.0</v>
      </c>
      <c r="B11" s="48">
        <v>28.0</v>
      </c>
      <c r="C11" s="48" t="str">
        <f t="shared" si="1"/>
        <v>jul2023</v>
      </c>
    </row>
    <row r="12">
      <c r="A12" s="79">
        <v>45128.0</v>
      </c>
      <c r="B12" s="48">
        <v>29.0</v>
      </c>
      <c r="C12" s="48" t="str">
        <f t="shared" si="1"/>
        <v>jul2023</v>
      </c>
    </row>
    <row r="13">
      <c r="A13" s="79">
        <v>45135.0</v>
      </c>
      <c r="B13" s="48">
        <v>30.0</v>
      </c>
      <c r="C13" s="48" t="str">
        <f t="shared" si="1"/>
        <v>jul2023</v>
      </c>
    </row>
    <row r="14">
      <c r="A14" s="79">
        <v>45142.0</v>
      </c>
      <c r="B14" s="48">
        <v>31.0</v>
      </c>
      <c r="C14" s="48" t="str">
        <f t="shared" si="1"/>
        <v>ago2023</v>
      </c>
    </row>
    <row r="15">
      <c r="A15" s="79">
        <v>45149.0</v>
      </c>
      <c r="B15" s="48">
        <v>32.0</v>
      </c>
      <c r="C15" s="48" t="str">
        <f t="shared" si="1"/>
        <v>ago2023</v>
      </c>
    </row>
    <row r="16">
      <c r="A16" s="79">
        <v>45156.0</v>
      </c>
      <c r="B16" s="48">
        <v>33.0</v>
      </c>
      <c r="C16" s="48" t="str">
        <f t="shared" si="1"/>
        <v>ago2023</v>
      </c>
    </row>
    <row r="17">
      <c r="A17" s="79">
        <v>45163.0</v>
      </c>
      <c r="B17" s="48">
        <v>34.0</v>
      </c>
      <c r="C17" s="48" t="str">
        <f t="shared" si="1"/>
        <v>ago2023</v>
      </c>
    </row>
    <row r="18">
      <c r="A18" s="79">
        <v>45170.0</v>
      </c>
      <c r="B18" s="48">
        <v>35.0</v>
      </c>
      <c r="C18" s="48" t="str">
        <f t="shared" si="1"/>
        <v>sept2023</v>
      </c>
    </row>
    <row r="19">
      <c r="A19" s="79">
        <v>45177.0</v>
      </c>
      <c r="B19" s="48">
        <v>36.0</v>
      </c>
      <c r="C19" s="48" t="str">
        <f t="shared" si="1"/>
        <v>sept2023</v>
      </c>
    </row>
    <row r="20">
      <c r="A20" s="79"/>
    </row>
    <row r="21">
      <c r="A21" s="79"/>
    </row>
  </sheetData>
  <drawing r:id="rId1"/>
</worksheet>
</file>