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queryTables/queryTable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queryTables/queryTable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3.xml" ContentType="application/vnd.openxmlformats-officedocument.drawing+xml"/>
  <Override PartName="/xl/queryTables/queryTable10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.xml" ContentType="application/vnd.openxmlformats-officedocument.spreadsheetml.pivotTable+xml"/>
  <Override PartName="/xl/drawings/drawing2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2.xml" ContentType="application/vnd.openxmlformats-officedocument.spreadsheetml.pivotTable+xml"/>
  <Override PartName="/xl/drawings/drawing2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3.xml" ContentType="application/vnd.openxmlformats-officedocument.spreadsheetml.pivotTable+xml"/>
  <Override PartName="/xl/drawings/drawing2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571"/>
  </bookViews>
  <sheets>
    <sheet name="Creating Charts (graphs)" sheetId="7" r:id="rId1"/>
    <sheet name="GapMinder.org" sheetId="28" r:id="rId2"/>
    <sheet name="Aaron Koblin" sheetId="61" r:id="rId3"/>
    <sheet name="Pie" sheetId="18" r:id="rId4"/>
    <sheet name="Line" sheetId="19" r:id="rId5"/>
    <sheet name="Column - Month" sheetId="21" r:id="rId6"/>
    <sheet name="Stacked Column - Month" sheetId="31" r:id="rId7"/>
    <sheet name="Stacked Column - City" sheetId="33" r:id="rId8"/>
    <sheet name="Stacked Bar - City" sheetId="38" r:id="rId9"/>
    <sheet name="Column - Location" sheetId="34" r:id="rId10"/>
    <sheet name="Pie Comparison" sheetId="35" r:id="rId11"/>
    <sheet name="Doughnut" sheetId="36" r:id="rId12"/>
    <sheet name="Scatter" sheetId="46" r:id="rId13"/>
    <sheet name="Scatter - Year" sheetId="39" r:id="rId14"/>
    <sheet name="Line - Year" sheetId="43" r:id="rId15"/>
    <sheet name="Scatter - Trendline" sheetId="47" r:id="rId16"/>
    <sheet name="$ Life Exepectancy" sheetId="44" r:id="rId17"/>
    <sheet name="Life Exepectancy $" sheetId="45" r:id="rId18"/>
    <sheet name="Creating Life Expectancy $" sheetId="58" r:id="rId19"/>
    <sheet name="Scatter 2" sheetId="59" r:id="rId20"/>
    <sheet name="Area Stacked" sheetId="25" r:id="rId21"/>
    <sheet name="Combo" sheetId="49" r:id="rId22"/>
    <sheet name="Combo 99" sheetId="26" r:id="rId23"/>
    <sheet name="Combo 99 (2)" sheetId="51" r:id="rId24"/>
    <sheet name="Employee Data" sheetId="29" r:id="rId25"/>
    <sheet name="TrendLine" sheetId="30" r:id="rId26"/>
    <sheet name="Pivotchart 1" sheetId="52" r:id="rId27"/>
    <sheet name="Pivotchart 2" sheetId="53" r:id="rId28"/>
    <sheet name="Pivotchart 3" sheetId="57" r:id="rId29"/>
    <sheet name="P&amp;L Statement Sparklines" sheetId="14" r:id="rId30"/>
    <sheet name="Your Business" sheetId="8" r:id="rId31"/>
    <sheet name="Templates" sheetId="60" r:id="rId32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'P&amp;L Statement Sparklines'!$AC$2</definedName>
    <definedName name="FYStartYear">'P&amp;L Statement Sparklines'!$AD$2</definedName>
    <definedName name="participation_by_year" localSheetId="22">'Combo 99'!$B$2:$D$36</definedName>
    <definedName name="participation_by_year" localSheetId="23">'Combo 99 (2)'!#REF!</definedName>
    <definedName name="participation_by_year" localSheetId="14">'Line - Year'!$A$1:$B$137</definedName>
    <definedName name="participation_by_year" localSheetId="12">Scatter!$B$2:$C$36</definedName>
    <definedName name="participation_by_year" localSheetId="15">'Scatter - Trendline'!$A$1:$B$137</definedName>
    <definedName name="participation_by_year" localSheetId="13">'Scatter - Year'!$A$1:$B$137</definedName>
    <definedName name="participation_by_year_1" localSheetId="22">'Combo 99'!#REF!</definedName>
    <definedName name="participation_by_year_1" localSheetId="23">'Combo 99 (2)'!#REF!</definedName>
    <definedName name="participation_by_year_1" localSheetId="12">Scatter!$L$2:$M$36</definedName>
    <definedName name="participation_by_year_2" localSheetId="22">'Combo 99'!$J$2:$L$36</definedName>
    <definedName name="participation_by_year_2" localSheetId="23">'Combo 99 (2)'!#REF!</definedName>
    <definedName name="participation_by_year_2" localSheetId="12">Scatter!$V$2:$W$36</definedName>
    <definedName name="participation_by_year_3" localSheetId="22">'Combo 99'!$R$2:$T$36</definedName>
    <definedName name="participation_by_year_3" localSheetId="23">'Combo 99 (2)'!$B$2:$D$36</definedName>
  </definedNames>
  <calcPr calcId="162913"/>
  <pivotCaches>
    <pivotCache cacheId="0" r:id="rId3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9" l="1"/>
  <c r="C7" i="59"/>
  <c r="C6" i="59"/>
  <c r="C5" i="59"/>
  <c r="C9" i="59"/>
  <c r="C10" i="59"/>
  <c r="C11" i="59"/>
  <c r="C4" i="59"/>
  <c r="D36" i="51" l="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T36" i="26"/>
  <c r="T35" i="26"/>
  <c r="T34" i="26"/>
  <c r="T33" i="26"/>
  <c r="T32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5" i="26"/>
  <c r="T4" i="26"/>
  <c r="T3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B4" i="25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Y48" i="14" l="1"/>
  <c r="Q48" i="14"/>
  <c r="O48" i="14"/>
  <c r="N48" i="14"/>
  <c r="M48" i="14"/>
  <c r="L48" i="14"/>
  <c r="K48" i="14"/>
  <c r="J48" i="14"/>
  <c r="I48" i="14"/>
  <c r="W45" i="14" s="1"/>
  <c r="H48" i="14"/>
  <c r="G48" i="14"/>
  <c r="F48" i="14"/>
  <c r="E48" i="14"/>
  <c r="D48" i="14"/>
  <c r="AC47" i="14"/>
  <c r="AB47" i="14"/>
  <c r="AA47" i="14"/>
  <c r="Z47" i="14"/>
  <c r="Y47" i="14"/>
  <c r="X47" i="14"/>
  <c r="V47" i="14"/>
  <c r="U47" i="14"/>
  <c r="T47" i="14"/>
  <c r="S47" i="14"/>
  <c r="R47" i="14"/>
  <c r="P47" i="14"/>
  <c r="AC46" i="14"/>
  <c r="AB46" i="14"/>
  <c r="AA46" i="14"/>
  <c r="Z46" i="14"/>
  <c r="Y46" i="14"/>
  <c r="X46" i="14"/>
  <c r="V46" i="14"/>
  <c r="U46" i="14"/>
  <c r="T46" i="14"/>
  <c r="S46" i="14"/>
  <c r="R46" i="14"/>
  <c r="P46" i="14"/>
  <c r="AD46" i="14" s="1"/>
  <c r="AC45" i="14"/>
  <c r="AB45" i="14"/>
  <c r="AA45" i="14"/>
  <c r="Z45" i="14"/>
  <c r="Y45" i="14"/>
  <c r="X45" i="14"/>
  <c r="V45" i="14"/>
  <c r="U45" i="14"/>
  <c r="T45" i="14"/>
  <c r="S45" i="14"/>
  <c r="R45" i="14"/>
  <c r="P45" i="14"/>
  <c r="AC44" i="14"/>
  <c r="AB44" i="14"/>
  <c r="AA44" i="14"/>
  <c r="Z44" i="14"/>
  <c r="Y44" i="14"/>
  <c r="X44" i="14"/>
  <c r="V44" i="14"/>
  <c r="U44" i="14"/>
  <c r="T44" i="14"/>
  <c r="S44" i="14"/>
  <c r="R44" i="14"/>
  <c r="P44" i="14"/>
  <c r="AC43" i="14"/>
  <c r="AB43" i="14"/>
  <c r="AA43" i="14"/>
  <c r="Z43" i="14"/>
  <c r="Y43" i="14"/>
  <c r="X43" i="14"/>
  <c r="V43" i="14"/>
  <c r="U43" i="14"/>
  <c r="T43" i="14"/>
  <c r="S43" i="14"/>
  <c r="R43" i="14"/>
  <c r="P43" i="14"/>
  <c r="AC42" i="14"/>
  <c r="AB42" i="14"/>
  <c r="AA42" i="14"/>
  <c r="Z42" i="14"/>
  <c r="Y42" i="14"/>
  <c r="X42" i="14"/>
  <c r="V42" i="14"/>
  <c r="U42" i="14"/>
  <c r="T42" i="14"/>
  <c r="S42" i="14"/>
  <c r="R42" i="14"/>
  <c r="P42" i="14"/>
  <c r="AD42" i="14" s="1"/>
  <c r="AC41" i="14"/>
  <c r="AB41" i="14"/>
  <c r="AA41" i="14"/>
  <c r="Z41" i="14"/>
  <c r="Y41" i="14"/>
  <c r="X41" i="14"/>
  <c r="V41" i="14"/>
  <c r="U41" i="14"/>
  <c r="T41" i="14"/>
  <c r="S41" i="14"/>
  <c r="R41" i="14"/>
  <c r="P41" i="14"/>
  <c r="AC40" i="14"/>
  <c r="AB40" i="14"/>
  <c r="AA40" i="14"/>
  <c r="Z40" i="14"/>
  <c r="Y40" i="14"/>
  <c r="X40" i="14"/>
  <c r="V40" i="14"/>
  <c r="U40" i="14"/>
  <c r="T40" i="14"/>
  <c r="S40" i="14"/>
  <c r="R40" i="14"/>
  <c r="P40" i="14"/>
  <c r="AC39" i="14"/>
  <c r="AB39" i="14"/>
  <c r="AA39" i="14"/>
  <c r="Z39" i="14"/>
  <c r="Y39" i="14"/>
  <c r="X39" i="14"/>
  <c r="V39" i="14"/>
  <c r="U39" i="14"/>
  <c r="T39" i="14"/>
  <c r="S39" i="14"/>
  <c r="R39" i="14"/>
  <c r="P39" i="14"/>
  <c r="AC38" i="14"/>
  <c r="AB38" i="14"/>
  <c r="AA38" i="14"/>
  <c r="Z38" i="14"/>
  <c r="Y38" i="14"/>
  <c r="X38" i="14"/>
  <c r="V38" i="14"/>
  <c r="U38" i="14"/>
  <c r="T38" i="14"/>
  <c r="S38" i="14"/>
  <c r="R38" i="14"/>
  <c r="P38" i="14"/>
  <c r="AD38" i="14" s="1"/>
  <c r="AC37" i="14"/>
  <c r="AB37" i="14"/>
  <c r="AA37" i="14"/>
  <c r="Z37" i="14"/>
  <c r="Y37" i="14"/>
  <c r="X37" i="14"/>
  <c r="V37" i="14"/>
  <c r="U37" i="14"/>
  <c r="T37" i="14"/>
  <c r="S37" i="14"/>
  <c r="R37" i="14"/>
  <c r="P37" i="14"/>
  <c r="AC36" i="14"/>
  <c r="AB36" i="14"/>
  <c r="AA36" i="14"/>
  <c r="Z36" i="14"/>
  <c r="Y36" i="14"/>
  <c r="X36" i="14"/>
  <c r="V36" i="14"/>
  <c r="U36" i="14"/>
  <c r="T36" i="14"/>
  <c r="S36" i="14"/>
  <c r="R36" i="14"/>
  <c r="P36" i="14"/>
  <c r="AC35" i="14"/>
  <c r="AB35" i="14"/>
  <c r="AA35" i="14"/>
  <c r="Z35" i="14"/>
  <c r="Y35" i="14"/>
  <c r="X35" i="14"/>
  <c r="V35" i="14"/>
  <c r="U35" i="14"/>
  <c r="T35" i="14"/>
  <c r="S35" i="14"/>
  <c r="R35" i="14"/>
  <c r="P35" i="14"/>
  <c r="AC34" i="14"/>
  <c r="AB34" i="14"/>
  <c r="AA34" i="14"/>
  <c r="Z34" i="14"/>
  <c r="Y34" i="14"/>
  <c r="X34" i="14"/>
  <c r="V34" i="14"/>
  <c r="U34" i="14"/>
  <c r="T34" i="14"/>
  <c r="S34" i="14"/>
  <c r="R34" i="14"/>
  <c r="P34" i="14"/>
  <c r="AD34" i="14" s="1"/>
  <c r="AC33" i="14"/>
  <c r="AB33" i="14"/>
  <c r="AA33" i="14"/>
  <c r="Z33" i="14"/>
  <c r="Y33" i="14"/>
  <c r="X33" i="14"/>
  <c r="V33" i="14"/>
  <c r="U33" i="14"/>
  <c r="T33" i="14"/>
  <c r="S33" i="14"/>
  <c r="R33" i="14"/>
  <c r="P33" i="14"/>
  <c r="AC32" i="14"/>
  <c r="AB32" i="14"/>
  <c r="AA32" i="14"/>
  <c r="Z32" i="14"/>
  <c r="Y32" i="14"/>
  <c r="X32" i="14"/>
  <c r="V32" i="14"/>
  <c r="U32" i="14"/>
  <c r="T32" i="14"/>
  <c r="S32" i="14"/>
  <c r="R32" i="14"/>
  <c r="P32" i="14"/>
  <c r="AC31" i="14"/>
  <c r="AB31" i="14"/>
  <c r="AA31" i="14"/>
  <c r="Z31" i="14"/>
  <c r="Y31" i="14"/>
  <c r="X31" i="14"/>
  <c r="V31" i="14"/>
  <c r="U31" i="14"/>
  <c r="T31" i="14"/>
  <c r="S31" i="14"/>
  <c r="R31" i="14"/>
  <c r="P31" i="14"/>
  <c r="AC30" i="14"/>
  <c r="AB30" i="14"/>
  <c r="AA30" i="14"/>
  <c r="Z30" i="14"/>
  <c r="Y30" i="14"/>
  <c r="X30" i="14"/>
  <c r="V30" i="14"/>
  <c r="U30" i="14"/>
  <c r="T30" i="14"/>
  <c r="S30" i="14"/>
  <c r="R30" i="14"/>
  <c r="P30" i="14"/>
  <c r="AD30" i="14" s="1"/>
  <c r="AC29" i="14"/>
  <c r="AC48" i="14" s="1"/>
  <c r="AB29" i="14"/>
  <c r="AB48" i="14" s="1"/>
  <c r="AA29" i="14"/>
  <c r="AA48" i="14" s="1"/>
  <c r="Z29" i="14"/>
  <c r="Z48" i="14" s="1"/>
  <c r="Y29" i="14"/>
  <c r="X29" i="14"/>
  <c r="X48" i="14" s="1"/>
  <c r="V29" i="14"/>
  <c r="V48" i="14" s="1"/>
  <c r="U29" i="14"/>
  <c r="U48" i="14" s="1"/>
  <c r="T29" i="14"/>
  <c r="T48" i="14" s="1"/>
  <c r="S29" i="14"/>
  <c r="S48" i="14" s="1"/>
  <c r="R29" i="14"/>
  <c r="R48" i="14" s="1"/>
  <c r="P29" i="14"/>
  <c r="P48" i="14" s="1"/>
  <c r="X24" i="14"/>
  <c r="Q24" i="14"/>
  <c r="O24" i="14"/>
  <c r="N24" i="14"/>
  <c r="M24" i="14"/>
  <c r="L24" i="14"/>
  <c r="K24" i="14"/>
  <c r="J24" i="14"/>
  <c r="I24" i="14"/>
  <c r="H24" i="14"/>
  <c r="V21" i="14" s="1"/>
  <c r="G24" i="14"/>
  <c r="F24" i="14"/>
  <c r="E24" i="14"/>
  <c r="D24" i="14"/>
  <c r="AC23" i="14"/>
  <c r="AB23" i="14"/>
  <c r="AA23" i="14"/>
  <c r="Z23" i="14"/>
  <c r="Y23" i="14"/>
  <c r="X23" i="14"/>
  <c r="W23" i="14"/>
  <c r="U23" i="14"/>
  <c r="T23" i="14"/>
  <c r="S23" i="14"/>
  <c r="R23" i="14"/>
  <c r="P23" i="14"/>
  <c r="AC22" i="14"/>
  <c r="AB22" i="14"/>
  <c r="AA22" i="14"/>
  <c r="Z22" i="14"/>
  <c r="Y22" i="14"/>
  <c r="X22" i="14"/>
  <c r="W22" i="14"/>
  <c r="U22" i="14"/>
  <c r="T22" i="14"/>
  <c r="S22" i="14"/>
  <c r="R22" i="14"/>
  <c r="P22" i="14"/>
  <c r="AC21" i="14"/>
  <c r="AB21" i="14"/>
  <c r="AA21" i="14"/>
  <c r="Z21" i="14"/>
  <c r="Y21" i="14"/>
  <c r="X21" i="14"/>
  <c r="W21" i="14"/>
  <c r="U21" i="14"/>
  <c r="T21" i="14"/>
  <c r="S21" i="14"/>
  <c r="R21" i="14"/>
  <c r="P21" i="14"/>
  <c r="AC20" i="14"/>
  <c r="AB20" i="14"/>
  <c r="AA20" i="14"/>
  <c r="Z20" i="14"/>
  <c r="Y20" i="14"/>
  <c r="X20" i="14"/>
  <c r="W20" i="14"/>
  <c r="U20" i="14"/>
  <c r="T20" i="14"/>
  <c r="S20" i="14"/>
  <c r="R20" i="14"/>
  <c r="P20" i="14"/>
  <c r="AC19" i="14"/>
  <c r="AB19" i="14"/>
  <c r="AA19" i="14"/>
  <c r="Z19" i="14"/>
  <c r="Y19" i="14"/>
  <c r="X19" i="14"/>
  <c r="W19" i="14"/>
  <c r="U19" i="14"/>
  <c r="T19" i="14"/>
  <c r="S19" i="14"/>
  <c r="R19" i="14"/>
  <c r="P19" i="14"/>
  <c r="AC18" i="14"/>
  <c r="AB18" i="14"/>
  <c r="AA18" i="14"/>
  <c r="Z18" i="14"/>
  <c r="Y18" i="14"/>
  <c r="X18" i="14"/>
  <c r="W18" i="14"/>
  <c r="U18" i="14"/>
  <c r="T18" i="14"/>
  <c r="S18" i="14"/>
  <c r="R18" i="14"/>
  <c r="P18" i="14"/>
  <c r="AC17" i="14"/>
  <c r="AC24" i="14" s="1"/>
  <c r="AB17" i="14"/>
  <c r="AB24" i="14" s="1"/>
  <c r="AA17" i="14"/>
  <c r="AA24" i="14" s="1"/>
  <c r="Z17" i="14"/>
  <c r="Z24" i="14" s="1"/>
  <c r="Y17" i="14"/>
  <c r="Y24" i="14" s="1"/>
  <c r="X17" i="14"/>
  <c r="W17" i="14"/>
  <c r="W24" i="14" s="1"/>
  <c r="U17" i="14"/>
  <c r="U24" i="14" s="1"/>
  <c r="T17" i="14"/>
  <c r="T24" i="14" s="1"/>
  <c r="S17" i="14"/>
  <c r="S24" i="14" s="1"/>
  <c r="R17" i="14"/>
  <c r="R24" i="14" s="1"/>
  <c r="P17" i="14"/>
  <c r="AC14" i="14"/>
  <c r="U14" i="14"/>
  <c r="Q14" i="14"/>
  <c r="O14" i="14"/>
  <c r="O26" i="14" s="1"/>
  <c r="N14" i="14"/>
  <c r="N26" i="14" s="1"/>
  <c r="M14" i="14"/>
  <c r="AA11" i="14" s="1"/>
  <c r="L14" i="14"/>
  <c r="L26" i="14" s="1"/>
  <c r="K14" i="14"/>
  <c r="K26" i="14" s="1"/>
  <c r="J14" i="14"/>
  <c r="J26" i="14" s="1"/>
  <c r="I14" i="14"/>
  <c r="I26" i="14" s="1"/>
  <c r="H14" i="14"/>
  <c r="H26" i="14" s="1"/>
  <c r="G14" i="14"/>
  <c r="G26" i="14" s="1"/>
  <c r="F14" i="14"/>
  <c r="F26" i="14" s="1"/>
  <c r="E14" i="14"/>
  <c r="S11" i="14" s="1"/>
  <c r="D14" i="14"/>
  <c r="D26" i="14" s="1"/>
  <c r="AC13" i="14"/>
  <c r="AB13" i="14"/>
  <c r="Y13" i="14"/>
  <c r="X13" i="14"/>
  <c r="W13" i="14"/>
  <c r="V13" i="14"/>
  <c r="U13" i="14"/>
  <c r="T13" i="14"/>
  <c r="P13" i="14"/>
  <c r="AC12" i="14"/>
  <c r="AB12" i="14"/>
  <c r="Y12" i="14"/>
  <c r="X12" i="14"/>
  <c r="W12" i="14"/>
  <c r="V12" i="14"/>
  <c r="U12" i="14"/>
  <c r="T12" i="14"/>
  <c r="P12" i="14"/>
  <c r="AC11" i="14"/>
  <c r="AB11" i="14"/>
  <c r="Y11" i="14"/>
  <c r="X11" i="14"/>
  <c r="W11" i="14"/>
  <c r="V11" i="14"/>
  <c r="U11" i="14"/>
  <c r="T11" i="14"/>
  <c r="P11" i="14"/>
  <c r="AD11" i="14" s="1"/>
  <c r="AC10" i="14"/>
  <c r="AB10" i="14"/>
  <c r="Z10" i="14"/>
  <c r="Y10" i="14"/>
  <c r="X10" i="14"/>
  <c r="W10" i="14"/>
  <c r="V10" i="14"/>
  <c r="U10" i="14"/>
  <c r="T10" i="14"/>
  <c r="R10" i="14"/>
  <c r="P10" i="14"/>
  <c r="AC9" i="14"/>
  <c r="AB9" i="14"/>
  <c r="Y9" i="14"/>
  <c r="X9" i="14"/>
  <c r="W9" i="14"/>
  <c r="V9" i="14"/>
  <c r="U9" i="14"/>
  <c r="T9" i="14"/>
  <c r="P9" i="14"/>
  <c r="AD9" i="14" s="1"/>
  <c r="AC8" i="14"/>
  <c r="AB8" i="14"/>
  <c r="Y8" i="14"/>
  <c r="X8" i="14"/>
  <c r="W8" i="14"/>
  <c r="V8" i="14"/>
  <c r="U8" i="14"/>
  <c r="T8" i="14"/>
  <c r="P8" i="14"/>
  <c r="AC7" i="14"/>
  <c r="AB7" i="14"/>
  <c r="AB14" i="14" s="1"/>
  <c r="Y7" i="14"/>
  <c r="Y14" i="14" s="1"/>
  <c r="X7" i="14"/>
  <c r="X14" i="14" s="1"/>
  <c r="W7" i="14"/>
  <c r="W14" i="14" s="1"/>
  <c r="V7" i="14"/>
  <c r="V14" i="14" s="1"/>
  <c r="U7" i="14"/>
  <c r="T7" i="14"/>
  <c r="T14" i="14" s="1"/>
  <c r="P7" i="14"/>
  <c r="P14" i="14" s="1"/>
  <c r="O4" i="14"/>
  <c r="AC4" i="14" s="1"/>
  <c r="N4" i="14"/>
  <c r="AB4" i="14" s="1"/>
  <c r="M4" i="14"/>
  <c r="AA4" i="14" s="1"/>
  <c r="L4" i="14"/>
  <c r="Z4" i="14" s="1"/>
  <c r="K4" i="14"/>
  <c r="Y4" i="14" s="1"/>
  <c r="J4" i="14"/>
  <c r="X4" i="14" s="1"/>
  <c r="I4" i="14"/>
  <c r="W4" i="14" s="1"/>
  <c r="H4" i="14"/>
  <c r="V4" i="14" s="1"/>
  <c r="G4" i="14"/>
  <c r="U4" i="14" s="1"/>
  <c r="F4" i="14"/>
  <c r="T4" i="14" s="1"/>
  <c r="E4" i="14"/>
  <c r="S4" i="14" s="1"/>
  <c r="D4" i="14"/>
  <c r="R4" i="14" s="1"/>
  <c r="H9" i="8"/>
  <c r="H10" i="8" s="1"/>
  <c r="G9" i="8"/>
  <c r="G10" i="8" s="1"/>
  <c r="F9" i="8"/>
  <c r="F10" i="8" s="1"/>
  <c r="I8" i="8"/>
  <c r="I9" i="8" s="1"/>
  <c r="I10" i="8" s="1"/>
  <c r="I7" i="8"/>
  <c r="I6" i="8"/>
  <c r="N9" i="36"/>
  <c r="M9" i="36"/>
  <c r="L9" i="36"/>
  <c r="K9" i="36"/>
  <c r="J9" i="36"/>
  <c r="I9" i="36"/>
  <c r="H9" i="36"/>
  <c r="G9" i="36"/>
  <c r="F9" i="36"/>
  <c r="E9" i="36"/>
  <c r="D9" i="36"/>
  <c r="C9" i="36"/>
  <c r="O9" i="36" s="1"/>
  <c r="O8" i="36"/>
  <c r="O7" i="36"/>
  <c r="O6" i="36"/>
  <c r="O5" i="36"/>
  <c r="O4" i="36"/>
  <c r="O3" i="36"/>
  <c r="O2" i="36"/>
  <c r="N9" i="35"/>
  <c r="M9" i="35"/>
  <c r="L9" i="35"/>
  <c r="K9" i="35"/>
  <c r="J9" i="35"/>
  <c r="I9" i="35"/>
  <c r="H9" i="35"/>
  <c r="G9" i="35"/>
  <c r="F9" i="35"/>
  <c r="O9" i="35" s="1"/>
  <c r="E9" i="35"/>
  <c r="D9" i="35"/>
  <c r="C9" i="35"/>
  <c r="O8" i="35"/>
  <c r="O7" i="35"/>
  <c r="O6" i="35"/>
  <c r="O5" i="35"/>
  <c r="O4" i="35"/>
  <c r="O3" i="35"/>
  <c r="O2" i="35"/>
  <c r="N9" i="34"/>
  <c r="M9" i="34"/>
  <c r="L9" i="34"/>
  <c r="K9" i="34"/>
  <c r="J9" i="34"/>
  <c r="I9" i="34"/>
  <c r="H9" i="34"/>
  <c r="G9" i="34"/>
  <c r="F9" i="34"/>
  <c r="E9" i="34"/>
  <c r="D9" i="34"/>
  <c r="C9" i="34"/>
  <c r="O9" i="34" s="1"/>
  <c r="O8" i="34"/>
  <c r="O7" i="34"/>
  <c r="O6" i="34"/>
  <c r="O5" i="34"/>
  <c r="O4" i="34"/>
  <c r="O3" i="34"/>
  <c r="O2" i="34"/>
  <c r="N9" i="38"/>
  <c r="M9" i="38"/>
  <c r="L9" i="38"/>
  <c r="K9" i="38"/>
  <c r="J9" i="38"/>
  <c r="I9" i="38"/>
  <c r="H9" i="38"/>
  <c r="G9" i="38"/>
  <c r="F9" i="38"/>
  <c r="O9" i="38" s="1"/>
  <c r="E9" i="38"/>
  <c r="D9" i="38"/>
  <c r="C9" i="38"/>
  <c r="O8" i="38"/>
  <c r="O7" i="38"/>
  <c r="O6" i="38"/>
  <c r="O5" i="38"/>
  <c r="O4" i="38"/>
  <c r="O3" i="38"/>
  <c r="O2" i="38"/>
  <c r="N9" i="33"/>
  <c r="M9" i="33"/>
  <c r="L9" i="33"/>
  <c r="K9" i="33"/>
  <c r="J9" i="33"/>
  <c r="I9" i="33"/>
  <c r="H9" i="33"/>
  <c r="G9" i="33"/>
  <c r="F9" i="33"/>
  <c r="E9" i="33"/>
  <c r="D9" i="33"/>
  <c r="C9" i="33"/>
  <c r="O9" i="33" s="1"/>
  <c r="O8" i="33"/>
  <c r="O7" i="33"/>
  <c r="O6" i="33"/>
  <c r="O5" i="33"/>
  <c r="O4" i="33"/>
  <c r="O3" i="33"/>
  <c r="O2" i="33"/>
  <c r="N9" i="31"/>
  <c r="M9" i="31"/>
  <c r="L9" i="31"/>
  <c r="K9" i="31"/>
  <c r="J9" i="31"/>
  <c r="I9" i="31"/>
  <c r="H9" i="31"/>
  <c r="G9" i="31"/>
  <c r="F9" i="31"/>
  <c r="O9" i="31" s="1"/>
  <c r="E9" i="31"/>
  <c r="D9" i="31"/>
  <c r="C9" i="31"/>
  <c r="O8" i="31"/>
  <c r="O7" i="31"/>
  <c r="O6" i="31"/>
  <c r="O5" i="31"/>
  <c r="O4" i="31"/>
  <c r="O3" i="31"/>
  <c r="O2" i="31"/>
  <c r="N9" i="21"/>
  <c r="M9" i="21"/>
  <c r="L9" i="21"/>
  <c r="K9" i="21"/>
  <c r="J9" i="21"/>
  <c r="I9" i="21"/>
  <c r="H9" i="21"/>
  <c r="G9" i="21"/>
  <c r="F9" i="21"/>
  <c r="E9" i="21"/>
  <c r="D9" i="21"/>
  <c r="C9" i="21"/>
  <c r="O9" i="21" s="1"/>
  <c r="O8" i="21"/>
  <c r="O7" i="21"/>
  <c r="O6" i="21"/>
  <c r="O5" i="21"/>
  <c r="O4" i="21"/>
  <c r="O3" i="21"/>
  <c r="O2" i="2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" i="30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O50" i="14" l="1"/>
  <c r="G50" i="14"/>
  <c r="H50" i="14"/>
  <c r="J50" i="14"/>
  <c r="I50" i="14"/>
  <c r="AD12" i="14"/>
  <c r="AD8" i="14"/>
  <c r="AD13" i="14"/>
  <c r="K50" i="14"/>
  <c r="D50" i="14"/>
  <c r="L50" i="14"/>
  <c r="AD44" i="14"/>
  <c r="AD40" i="14"/>
  <c r="AD36" i="14"/>
  <c r="AD32" i="14"/>
  <c r="AD31" i="14"/>
  <c r="AD33" i="14"/>
  <c r="AD35" i="14"/>
  <c r="AD37" i="14"/>
  <c r="AD39" i="14"/>
  <c r="AD41" i="14"/>
  <c r="AD43" i="14"/>
  <c r="AD45" i="14"/>
  <c r="AD47" i="14"/>
  <c r="AD10" i="14"/>
  <c r="F50" i="14"/>
  <c r="N50" i="14"/>
  <c r="P24" i="14"/>
  <c r="AD22" i="14" s="1"/>
  <c r="E26" i="14"/>
  <c r="M26" i="14"/>
  <c r="S10" i="14"/>
  <c r="AA10" i="14"/>
  <c r="V20" i="14"/>
  <c r="W32" i="14"/>
  <c r="W36" i="14"/>
  <c r="W40" i="14"/>
  <c r="W44" i="14"/>
  <c r="AD7" i="14"/>
  <c r="R9" i="14"/>
  <c r="Z9" i="14"/>
  <c r="R13" i="14"/>
  <c r="Z13" i="14"/>
  <c r="S9" i="14"/>
  <c r="AA9" i="14"/>
  <c r="S13" i="14"/>
  <c r="AA13" i="14"/>
  <c r="V19" i="14"/>
  <c r="V23" i="14"/>
  <c r="W31" i="14"/>
  <c r="W35" i="14"/>
  <c r="W39" i="14"/>
  <c r="W43" i="14"/>
  <c r="W47" i="14"/>
  <c r="R8" i="14"/>
  <c r="Z8" i="14"/>
  <c r="R12" i="14"/>
  <c r="Z12" i="14"/>
  <c r="S8" i="14"/>
  <c r="AA8" i="14"/>
  <c r="S12" i="14"/>
  <c r="AA12" i="14"/>
  <c r="V18" i="14"/>
  <c r="V22" i="14"/>
  <c r="W30" i="14"/>
  <c r="W34" i="14"/>
  <c r="W38" i="14"/>
  <c r="W42" i="14"/>
  <c r="W46" i="14"/>
  <c r="R7" i="14"/>
  <c r="Z7" i="14"/>
  <c r="R11" i="14"/>
  <c r="Z11" i="14"/>
  <c r="AD29" i="14"/>
  <c r="S7" i="14"/>
  <c r="S14" i="14" s="1"/>
  <c r="AA7" i="14"/>
  <c r="V17" i="14"/>
  <c r="W29" i="14"/>
  <c r="W33" i="14"/>
  <c r="W37" i="14"/>
  <c r="W41" i="14"/>
  <c r="AD14" i="14" l="1"/>
  <c r="M50" i="14"/>
  <c r="R50" i="14"/>
  <c r="P50" i="14"/>
  <c r="AD50" i="14" s="1"/>
  <c r="P26" i="14"/>
  <c r="R14" i="14"/>
  <c r="E50" i="14"/>
  <c r="AD23" i="14"/>
  <c r="Z14" i="14"/>
  <c r="AD21" i="14"/>
  <c r="AD17" i="14"/>
  <c r="AD19" i="14"/>
  <c r="AD20" i="14"/>
  <c r="V24" i="14"/>
  <c r="AA14" i="14"/>
  <c r="AB50" i="14"/>
  <c r="AD18" i="14"/>
  <c r="Z50" i="14"/>
  <c r="Y50" i="14"/>
  <c r="W48" i="14"/>
  <c r="AD48" i="14"/>
  <c r="T50" i="14"/>
  <c r="AD26" i="14" l="1"/>
  <c r="AC26" i="14"/>
  <c r="V26" i="14"/>
  <c r="Z26" i="14"/>
  <c r="AB26" i="14"/>
  <c r="X26" i="14"/>
  <c r="Y26" i="14"/>
  <c r="T26" i="14"/>
  <c r="W26" i="14"/>
  <c r="U26" i="14"/>
  <c r="R26" i="14"/>
  <c r="AD24" i="14"/>
  <c r="AA26" i="14"/>
  <c r="AA50" i="14"/>
  <c r="AC50" i="14"/>
  <c r="S50" i="14"/>
  <c r="V50" i="14"/>
  <c r="S26" i="14"/>
  <c r="X50" i="14"/>
  <c r="W50" i="14"/>
  <c r="U50" i="14"/>
</calcChain>
</file>

<file path=xl/connections.xml><?xml version="1.0" encoding="utf-8"?>
<connections xmlns="http://schemas.openxmlformats.org/spreadsheetml/2006/main">
  <connection id="1" name="participation by year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rticipation by year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articipation by year1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articipation by year11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articipation by year112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articipation by year1122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articipation by year1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articipation by year12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articipation by year3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participation by year4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<sst xmlns="http://schemas.openxmlformats.org/spreadsheetml/2006/main" count="1117" uniqueCount="456">
  <si>
    <t>Salary</t>
  </si>
  <si>
    <t>COST OF SALES</t>
  </si>
  <si>
    <t>Week Beginning</t>
  </si>
  <si>
    <t>Total</t>
  </si>
  <si>
    <t>Totals</t>
  </si>
  <si>
    <t>Rent</t>
  </si>
  <si>
    <t>Advertising</t>
  </si>
  <si>
    <t>Telephone</t>
  </si>
  <si>
    <t>Insurance</t>
  </si>
  <si>
    <t>Interest</t>
  </si>
  <si>
    <t>Twelve Month</t>
  </si>
  <si>
    <t>Company Name</t>
  </si>
  <si>
    <t>PROFIT &amp; LOSS PROJECTION</t>
  </si>
  <si>
    <t>FISCAL YEAR BEGINS:</t>
  </si>
  <si>
    <t>JAN</t>
  </si>
  <si>
    <t>YEARLY</t>
  </si>
  <si>
    <t>IND %</t>
  </si>
  <si>
    <t>YEAR %</t>
  </si>
  <si>
    <t>REVENUES (SALES)</t>
  </si>
  <si>
    <t>TREND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</si>
  <si>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</si>
  <si>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</si>
  <si>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</si>
  <si>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</si>
  <si>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</si>
  <si>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</si>
  <si>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</si>
  <si>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</si>
  <si>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</si>
  <si>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</si>
  <si>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</si>
  <si>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</si>
  <si>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Yearly</t>
  </si>
  <si>
    <t>Ind %</t>
  </si>
  <si>
    <t>% m1</t>
  </si>
  <si>
    <t>% m2</t>
  </si>
  <si>
    <t>% m3</t>
  </si>
  <si>
    <t>% m4</t>
  </si>
  <si>
    <t>% m5</t>
  </si>
  <si>
    <t>% m6</t>
  </si>
  <si>
    <t>% m7</t>
  </si>
  <si>
    <t>% m8</t>
  </si>
  <si>
    <t>% m9</t>
  </si>
  <si>
    <t>% m10</t>
  </si>
  <si>
    <t>% m11</t>
  </si>
  <si>
    <t>% m12</t>
  </si>
  <si>
    <t>% y</t>
  </si>
  <si>
    <t>Revenue 1</t>
  </si>
  <si>
    <t>Revenue 2</t>
  </si>
  <si>
    <t>Revenue 3</t>
  </si>
  <si>
    <t>Revenue 4</t>
  </si>
  <si>
    <t>Revenue 5</t>
  </si>
  <si>
    <t>Revenue 6</t>
  </si>
  <si>
    <t>Revenue 7</t>
  </si>
  <si>
    <t>TOTAL SALES</t>
  </si>
  <si>
    <t>Cost 1</t>
  </si>
  <si>
    <t>Cost 2</t>
  </si>
  <si>
    <t>Cost 3</t>
  </si>
  <si>
    <t>Cost 4</t>
  </si>
  <si>
    <t>Cost 5</t>
  </si>
  <si>
    <t>Cost 6</t>
  </si>
  <si>
    <t>Cost 7</t>
  </si>
  <si>
    <t>TOTAL COST OF SALES</t>
  </si>
  <si>
    <t>Gross Profit</t>
  </si>
  <si>
    <t>EXPENSES</t>
  </si>
  <si>
    <t xml:space="preserve">Salary expenses </t>
  </si>
  <si>
    <t xml:space="preserve"> </t>
  </si>
  <si>
    <t xml:space="preserve">Payroll expenses </t>
  </si>
  <si>
    <t>Outside services</t>
  </si>
  <si>
    <t>Supplies (office and operating)</t>
  </si>
  <si>
    <t>Repairs and maintenance</t>
  </si>
  <si>
    <t>Car, delivery and travel</t>
  </si>
  <si>
    <t>Accounting and legal</t>
  </si>
  <si>
    <t>Utilities</t>
  </si>
  <si>
    <t>Taxes (real estate, etc.)</t>
  </si>
  <si>
    <t>Depreciation</t>
  </si>
  <si>
    <t>Other expenses (specify)</t>
  </si>
  <si>
    <t>Misc. (unspecified)</t>
  </si>
  <si>
    <t>TOTAL EXPENSES</t>
  </si>
  <si>
    <t>Net Profit</t>
  </si>
  <si>
    <t>jan</t>
  </si>
  <si>
    <t>feb</t>
  </si>
  <si>
    <t>mar</t>
  </si>
  <si>
    <t>total</t>
  </si>
  <si>
    <t>store 1</t>
  </si>
  <si>
    <t>store 2</t>
  </si>
  <si>
    <t>store 3</t>
  </si>
  <si>
    <t>tax</t>
  </si>
  <si>
    <t>tax rate</t>
  </si>
  <si>
    <t>Creating Charts (Graphs)</t>
  </si>
  <si>
    <t>create a simple chart</t>
  </si>
  <si>
    <t>what are you trying to convey</t>
  </si>
  <si>
    <t>chart types</t>
  </si>
  <si>
    <t>Salesperson</t>
  </si>
  <si>
    <t>Order Amount</t>
  </si>
  <si>
    <t>Full Name</t>
  </si>
  <si>
    <t>Hire Date</t>
  </si>
  <si>
    <t>Bonus</t>
  </si>
  <si>
    <t>Overtime</t>
  </si>
  <si>
    <t>Department</t>
  </si>
  <si>
    <t>Sick Days</t>
  </si>
  <si>
    <t>Performance Score</t>
  </si>
  <si>
    <t>Rose Moreno</t>
  </si>
  <si>
    <t>Finance</t>
  </si>
  <si>
    <t>Richard  Garza</t>
  </si>
  <si>
    <t>Administration</t>
  </si>
  <si>
    <t>Christopher Battah</t>
  </si>
  <si>
    <t>Human Resources</t>
  </si>
  <si>
    <t>Margaret Pavlovich</t>
  </si>
  <si>
    <t>Johnathan A Wilhite</t>
  </si>
  <si>
    <t>Marketing</t>
  </si>
  <si>
    <t>Saif Perrine</t>
  </si>
  <si>
    <t>Janalee Eggleston</t>
  </si>
  <si>
    <t>R&amp;D</t>
  </si>
  <si>
    <t>Eric W. Kilbride</t>
  </si>
  <si>
    <t>Matthew Tait</t>
  </si>
  <si>
    <t>Customer Support</t>
  </si>
  <si>
    <t>Shireen Battah</t>
  </si>
  <si>
    <t>Accounting</t>
  </si>
  <si>
    <t>Joshua Daniel</t>
  </si>
  <si>
    <t>Roshan Coon</t>
  </si>
  <si>
    <t>Joeanne Melendez</t>
  </si>
  <si>
    <t>Ricardo Bergman</t>
  </si>
  <si>
    <t>Willow Nevandro</t>
  </si>
  <si>
    <t>Donna K. Bulgar</t>
  </si>
  <si>
    <t>IT</t>
  </si>
  <si>
    <t>Kelley Reneau</t>
  </si>
  <si>
    <t>Sara Webb</t>
  </si>
  <si>
    <t>Genevieve   Knapp</t>
  </si>
  <si>
    <t>Sales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</si>
  <si>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</si>
  <si>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</si>
  <si>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</si>
  <si>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</si>
  <si>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</si>
  <si>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</si>
  <si>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</si>
  <si>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</si>
  <si>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</si>
  <si>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</si>
  <si>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</si>
  <si>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</si>
  <si>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</si>
  <si>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</si>
  <si>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</si>
  <si>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</si>
  <si>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</si>
  <si>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</si>
  <si>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</si>
  <si>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</si>
  <si>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</si>
  <si>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</si>
  <si>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</si>
  <si>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</si>
  <si>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</si>
  <si>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</si>
  <si>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</si>
  <si>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</si>
  <si>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</si>
  <si>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</si>
  <si>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</si>
  <si>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</si>
  <si>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</si>
  <si>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</si>
  <si>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</si>
  <si>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</si>
  <si>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</si>
  <si>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</si>
  <si>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</si>
  <si>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</si>
  <si>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</si>
  <si>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</si>
  <si>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</si>
  <si>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</si>
  <si>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</si>
  <si>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</si>
  <si>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</si>
  <si>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</si>
  <si>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</si>
  <si>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</si>
  <si>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</si>
  <si>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</si>
  <si>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</si>
  <si>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</si>
  <si>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</si>
  <si>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</si>
  <si>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</si>
  <si>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</si>
  <si>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</si>
  <si>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</si>
  <si>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</si>
  <si>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</si>
  <si>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</si>
  <si>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</si>
  <si>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</si>
  <si>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</si>
  <si>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</si>
  <si>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</si>
  <si>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</si>
  <si>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</si>
  <si>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Jessica Rodriguez</t>
  </si>
  <si>
    <t>Joshua Johnson</t>
  </si>
  <si>
    <t>Tony Merrick</t>
  </si>
  <si>
    <t>Ernest Talia</t>
  </si>
  <si>
    <t>Moriel Caldwell</t>
  </si>
  <si>
    <t>Ryan  Mesko</t>
  </si>
  <si>
    <t>Brian Tomasevic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</si>
  <si>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</si>
  <si>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</si>
  <si>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</si>
  <si>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</si>
  <si>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</si>
  <si>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</si>
  <si>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</si>
  <si>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</si>
  <si>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</si>
  <si>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</si>
  <si>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</si>
  <si>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</si>
  <si>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</si>
  <si>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</si>
  <si>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</si>
  <si>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</si>
  <si>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</si>
  <si>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2011 Life expectancy at birth</t>
  </si>
  <si>
    <t>2011 GDP per capita (PPP) with projections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</si>
  <si>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</si>
  <si>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</si>
  <si>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</si>
  <si>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</si>
  <si>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</si>
  <si>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</si>
  <si>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</si>
  <si>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</si>
  <si>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</si>
  <si>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</si>
  <si>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</si>
  <si>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</si>
  <si>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</si>
  <si>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</si>
  <si>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</si>
  <si>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</si>
  <si>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</si>
  <si>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</si>
  <si>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</si>
  <si>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</si>
  <si>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</si>
  <si>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</si>
  <si>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</si>
  <si>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</si>
  <si>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</si>
  <si>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</si>
  <si>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</si>
  <si>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</si>
  <si>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</si>
  <si>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</si>
  <si>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</si>
  <si>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</si>
  <si>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</si>
  <si>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</si>
  <si>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</si>
  <si>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</si>
  <si>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</si>
  <si>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</si>
  <si>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</si>
  <si>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</si>
  <si>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</si>
  <si>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</si>
  <si>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</si>
  <si>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</si>
  <si>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</si>
  <si>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</si>
  <si>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</si>
  <si>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</si>
  <si>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</si>
  <si>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</si>
  <si>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</si>
  <si>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</si>
  <si>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</si>
  <si>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</si>
  <si>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</si>
  <si>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</si>
  <si>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</si>
  <si>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</si>
  <si>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</si>
  <si>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</si>
  <si>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</si>
  <si>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</si>
  <si>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</si>
  <si>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</si>
  <si>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</si>
  <si>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</si>
  <si>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</si>
  <si>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</si>
  <si>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</si>
  <si>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</si>
  <si>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</si>
  <si>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</si>
  <si>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</si>
  <si>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</si>
  <si>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</si>
  <si>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</si>
  <si>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</si>
  <si>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</si>
  <si>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</si>
  <si>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</si>
  <si>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</si>
  <si>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</si>
  <si>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</si>
  <si>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</si>
  <si>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</si>
  <si>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</si>
  <si>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</si>
  <si>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</si>
  <si>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</si>
  <si>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</si>
  <si>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</si>
  <si>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</si>
  <si>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</si>
  <si>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</si>
  <si>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</si>
  <si>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</si>
  <si>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</si>
  <si>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</si>
  <si>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</si>
  <si>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</si>
  <si>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</si>
  <si>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</si>
  <si>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</si>
  <si>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</si>
  <si>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</si>
  <si>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</si>
  <si>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</si>
  <si>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</si>
  <si>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</si>
  <si>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</si>
  <si>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</si>
  <si>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</si>
  <si>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</si>
  <si>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</si>
  <si>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Netherlands</t>
  </si>
  <si>
    <t>Netherlands Antilles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</si>
  <si>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</si>
  <si>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</si>
  <si>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</si>
  <si>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</si>
  <si>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</si>
  <si>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</si>
  <si>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</si>
  <si>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</si>
  <si>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</si>
  <si>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</si>
  <si>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</si>
  <si>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</si>
  <si>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</si>
  <si>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</si>
  <si>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</si>
  <si>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</si>
  <si>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</si>
  <si>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</si>
  <si>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</si>
  <si>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</si>
  <si>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</si>
  <si>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</si>
  <si>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</si>
  <si>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</si>
  <si>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</si>
  <si>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</si>
  <si>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</si>
  <si>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</si>
  <si>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</si>
  <si>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</si>
  <si>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</si>
  <si>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</si>
  <si>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</si>
  <si>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</si>
  <si>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</si>
  <si>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</si>
  <si>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</si>
  <si>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</si>
  <si>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</si>
  <si>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</si>
  <si>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</si>
  <si>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</si>
  <si>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</si>
  <si>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</si>
  <si>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</si>
  <si>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</si>
  <si>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</si>
  <si>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</si>
  <si>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</si>
  <si>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</si>
  <si>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</si>
  <si>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</si>
  <si>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</si>
  <si>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</si>
  <si>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</si>
  <si>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</si>
  <si>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</si>
  <si>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</si>
  <si>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</si>
  <si>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</si>
  <si>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</si>
  <si>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</si>
  <si>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total rainfall</t>
  </si>
  <si>
    <t>year</t>
  </si>
  <si>
    <t>Week</t>
  </si>
  <si>
    <t>Bob</t>
  </si>
  <si>
    <t>Jan</t>
  </si>
  <si>
    <t>Joe</t>
  </si>
  <si>
    <t>Jen</t>
  </si>
  <si>
    <t>Rick</t>
  </si>
  <si>
    <t>Robyn</t>
  </si>
  <si>
    <t>Don</t>
  </si>
  <si>
    <t>Deanna</t>
  </si>
  <si>
    <t>Tiffany</t>
  </si>
  <si>
    <t>Umbrella Sales</t>
  </si>
  <si>
    <t>Profits</t>
  </si>
  <si>
    <t>Step 1 - Graph SALES</t>
  </si>
  <si>
    <t>Step 3 - Change chart type to COMBO</t>
  </si>
  <si>
    <t>Whoops!</t>
  </si>
  <si>
    <t>Step 1 - Graph TOTAL RAINFALL</t>
  </si>
  <si>
    <t>Step 2 - Copy / Paste UMBRELLA SALES data onto chart</t>
  </si>
  <si>
    <t>Step 2 - Copy / Paste PROFITS data onto chart</t>
  </si>
  <si>
    <t>Step 5 - color coordinate axes and add legend</t>
  </si>
  <si>
    <t>Step 4 - Select SECONDARY AXIS</t>
  </si>
  <si>
    <t>(for comparison - before color coordinating axes and adding legend)</t>
  </si>
  <si>
    <t>Row Labels</t>
  </si>
  <si>
    <t>Grand Total</t>
  </si>
  <si>
    <t>Sum of Salary</t>
  </si>
  <si>
    <t>Sum of Sick Days</t>
  </si>
  <si>
    <t>Sum of Overtime</t>
  </si>
  <si>
    <t>combo charts</t>
  </si>
  <si>
    <t>pivot charts</t>
  </si>
  <si>
    <t>pie</t>
  </si>
  <si>
    <t>parts of a whole</t>
  </si>
  <si>
    <t>line</t>
  </si>
  <si>
    <t xml:space="preserve">column and bars </t>
  </si>
  <si>
    <t>compare categories (single data, stacked data)</t>
  </si>
  <si>
    <t xml:space="preserve">scatter </t>
  </si>
  <si>
    <t>relationships between two variables</t>
  </si>
  <si>
    <t>area chart</t>
  </si>
  <si>
    <t>emphasizes change over time</t>
  </si>
  <si>
    <t>over time</t>
  </si>
  <si>
    <t>play with what you're selecting</t>
  </si>
  <si>
    <t>selecting non-contiguous data</t>
  </si>
  <si>
    <t>Food Consumption</t>
  </si>
  <si>
    <t>Weeks</t>
  </si>
  <si>
    <t>Age</t>
  </si>
  <si>
    <t>Absences</t>
  </si>
  <si>
    <t>K Factor</t>
  </si>
  <si>
    <t>Weeks of Survial</t>
  </si>
  <si>
    <t>templates</t>
  </si>
  <si>
    <t>LINE CHART</t>
  </si>
  <si>
    <t>SCATTER CHART</t>
  </si>
  <si>
    <t>ctrl + clicking with your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</si>
</sst>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mmmm\ d\,\ yyyy"/>
    <numFmt numFmtId="166" formatCode="mm/dd/yy"/>
    <numFmt numFmtId="167" formatCode=";;;"/>
    <numFmt numFmtId="168" formatCode="_(&quot;$&quot;* #,##0_);_(&quot;$&quot;* \(#,##0\);_(&quot;$&quot;* &quot;-&quot;??_);_(@_)"/>
    <numFmt numFmtId="169" formatCode="0%;;&quot;-&quot;;"/>
    <numFmt numFmtId="170" formatCode="[$-409]d\-mmm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16"/>
      <color theme="7"/>
      <name val="Calibri Light"/>
      <family val="1"/>
      <scheme val="major"/>
    </font>
    <font>
      <b/>
      <i/>
      <sz val="22"/>
      <color theme="7"/>
      <name val="Calibri Light"/>
      <family val="1"/>
      <scheme val="major"/>
    </font>
    <font>
      <b/>
      <sz val="26"/>
      <color theme="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2"/>
      <color theme="8"/>
      <name val="Calibri Light"/>
      <family val="1"/>
      <scheme val="major"/>
    </font>
    <font>
      <sz val="10"/>
      <color theme="3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6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166" fontId="7" fillId="0" borderId="0" applyFont="0" applyFill="0" applyBorder="0" applyAlignment="0" applyProtection="0"/>
  </cellStyleXfs>
  <cellXfs count="17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6" fillId="0" borderId="0" xfId="0" applyFont="1"/>
    <xf numFmtId="0" fontId="8" fillId="2" borderId="2" xfId="0" applyFont="1" applyFill="1" applyBorder="1" applyAlignment="1" applyProtection="1">
      <alignment horizontal="center"/>
      <protection hidden="1"/>
    </xf>
    <xf numFmtId="0" fontId="9" fillId="2" borderId="3" xfId="0" applyFont="1" applyFill="1" applyBorder="1" applyAlignment="1" applyProtection="1">
      <alignment horizontal="centerContinuous" vertical="center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4" xfId="0" applyFont="1" applyFill="1" applyBorder="1" applyAlignment="1" applyProtection="1">
      <alignment horizontal="right"/>
      <protection hidden="1"/>
    </xf>
    <xf numFmtId="165" fontId="10" fillId="0" borderId="5" xfId="0" applyNumberFormat="1" applyFont="1" applyFill="1" applyBorder="1" applyAlignment="1" applyProtection="1">
      <alignment horizontal="left"/>
      <protection locked="0" hidden="1"/>
    </xf>
    <xf numFmtId="165" fontId="10" fillId="0" borderId="5" xfId="0" applyNumberFormat="1" applyFont="1" applyBorder="1" applyAlignment="1" applyProtection="1">
      <alignment horizontal="left"/>
      <protection hidden="1"/>
    </xf>
    <xf numFmtId="0" fontId="11" fillId="0" borderId="6" xfId="0" applyFont="1" applyBorder="1" applyProtection="1">
      <protection hidden="1"/>
    </xf>
    <xf numFmtId="0" fontId="0" fillId="0" borderId="0" xfId="0" applyNumberFormat="1"/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0" xfId="0" applyAlignment="1">
      <alignment horizontal="center"/>
    </xf>
    <xf numFmtId="0" fontId="2" fillId="0" borderId="0" xfId="3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/>
    <xf numFmtId="0" fontId="16" fillId="0" borderId="0" xfId="0" applyFont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0" xfId="0" applyFont="1" applyAlignment="1"/>
    <xf numFmtId="17" fontId="18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4" applyFill="1" applyAlignment="1">
      <alignment horizontal="right" indent="1"/>
    </xf>
    <xf numFmtId="0" fontId="3" fillId="0" borderId="1" xfId="4" applyFill="1" applyAlignment="1">
      <alignment horizontal="center"/>
    </xf>
    <xf numFmtId="167" fontId="19" fillId="0" borderId="0" xfId="0" applyNumberFormat="1" applyFont="1" applyFill="1" applyAlignment="1">
      <alignment horizontal="center"/>
    </xf>
    <xf numFmtId="167" fontId="19" fillId="0" borderId="0" xfId="0" applyNumberFormat="1" applyFont="1" applyFill="1" applyAlignment="1">
      <alignment horizontal="right"/>
    </xf>
    <xf numFmtId="0" fontId="20" fillId="0" borderId="0" xfId="0" applyFont="1" applyAlignment="1">
      <alignment horizontal="right" indent="1"/>
    </xf>
    <xf numFmtId="0" fontId="20" fillId="3" borderId="9" xfId="0" applyFont="1" applyFill="1" applyBorder="1" applyAlignment="1">
      <alignment horizontal="center"/>
    </xf>
    <xf numFmtId="42" fontId="20" fillId="0" borderId="0" xfId="1" applyNumberFormat="1" applyFont="1" applyFill="1"/>
    <xf numFmtId="168" fontId="20" fillId="3" borderId="9" xfId="1" applyNumberFormat="1" applyFont="1" applyFill="1" applyBorder="1" applyAlignment="1">
      <alignment horizontal="center"/>
    </xf>
    <xf numFmtId="9" fontId="20" fillId="0" borderId="0" xfId="2" applyFont="1" applyFill="1" applyAlignment="1">
      <alignment horizontal="right"/>
    </xf>
    <xf numFmtId="9" fontId="20" fillId="3" borderId="10" xfId="2" applyFont="1" applyFill="1" applyBorder="1" applyAlignment="1">
      <alignment horizontal="right"/>
    </xf>
    <xf numFmtId="9" fontId="20" fillId="3" borderId="11" xfId="2" applyFont="1" applyFill="1" applyBorder="1" applyAlignment="1">
      <alignment horizontal="right"/>
    </xf>
    <xf numFmtId="9" fontId="20" fillId="3" borderId="12" xfId="2" applyFont="1" applyFill="1" applyBorder="1" applyAlignment="1">
      <alignment horizontal="right" vertical="center"/>
    </xf>
    <xf numFmtId="0" fontId="20" fillId="0" borderId="0" xfId="0" applyFont="1"/>
    <xf numFmtId="42" fontId="20" fillId="0" borderId="0" xfId="0" applyNumberFormat="1" applyFont="1" applyFill="1"/>
    <xf numFmtId="168" fontId="20" fillId="0" borderId="0" xfId="0" applyNumberFormat="1" applyFont="1"/>
    <xf numFmtId="9" fontId="20" fillId="0" borderId="0" xfId="0" applyNumberFormat="1" applyFont="1" applyFill="1" applyAlignment="1">
      <alignment horizontal="right"/>
    </xf>
    <xf numFmtId="9" fontId="20" fillId="0" borderId="0" xfId="0" applyNumberFormat="1" applyFont="1" applyAlignment="1">
      <alignment horizontal="right" vertical="center"/>
    </xf>
    <xf numFmtId="0" fontId="3" fillId="0" borderId="0" xfId="4" applyFill="1" applyBorder="1" applyAlignment="1">
      <alignment horizontal="right" indent="1"/>
    </xf>
    <xf numFmtId="0" fontId="3" fillId="0" borderId="0" xfId="4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right" indent="1"/>
    </xf>
    <xf numFmtId="0" fontId="20" fillId="4" borderId="13" xfId="0" applyFont="1" applyFill="1" applyBorder="1"/>
    <xf numFmtId="42" fontId="20" fillId="0" borderId="0" xfId="1" applyNumberFormat="1" applyFont="1" applyFill="1" applyBorder="1"/>
    <xf numFmtId="168" fontId="20" fillId="4" borderId="13" xfId="1" applyNumberFormat="1" applyFont="1" applyFill="1" applyBorder="1"/>
    <xf numFmtId="9" fontId="20" fillId="0" borderId="0" xfId="0" applyNumberFormat="1" applyFont="1" applyFill="1" applyBorder="1" applyAlignment="1">
      <alignment horizontal="right"/>
    </xf>
    <xf numFmtId="9" fontId="20" fillId="4" borderId="14" xfId="2" applyFont="1" applyFill="1" applyBorder="1" applyAlignment="1">
      <alignment horizontal="right"/>
    </xf>
    <xf numFmtId="9" fontId="20" fillId="4" borderId="15" xfId="2" applyFont="1" applyFill="1" applyBorder="1" applyAlignment="1">
      <alignment horizontal="right"/>
    </xf>
    <xf numFmtId="9" fontId="20" fillId="4" borderId="16" xfId="2" applyFont="1" applyFill="1" applyBorder="1" applyAlignment="1">
      <alignment horizontal="right"/>
    </xf>
    <xf numFmtId="0" fontId="0" fillId="0" borderId="0" xfId="0" applyAlignment="1"/>
    <xf numFmtId="0" fontId="20" fillId="0" borderId="13" xfId="0" applyFont="1" applyBorder="1"/>
    <xf numFmtId="42" fontId="20" fillId="0" borderId="0" xfId="0" applyNumberFormat="1" applyFont="1" applyFill="1" applyBorder="1"/>
    <xf numFmtId="168" fontId="20" fillId="0" borderId="13" xfId="0" applyNumberFormat="1" applyFont="1" applyBorder="1"/>
    <xf numFmtId="169" fontId="20" fillId="0" borderId="0" xfId="0" applyNumberFormat="1" applyFont="1" applyFill="1" applyBorder="1" applyAlignment="1">
      <alignment horizontal="right"/>
    </xf>
    <xf numFmtId="9" fontId="20" fillId="0" borderId="13" xfId="0" applyNumberFormat="1" applyFont="1" applyBorder="1" applyAlignment="1">
      <alignment horizontal="right"/>
    </xf>
    <xf numFmtId="0" fontId="22" fillId="5" borderId="0" xfId="0" applyFont="1" applyFill="1" applyBorder="1" applyAlignment="1">
      <alignment horizontal="right" vertical="center" indent="1"/>
    </xf>
    <xf numFmtId="0" fontId="23" fillId="5" borderId="0" xfId="0" applyFont="1" applyFill="1" applyBorder="1" applyAlignment="1">
      <alignment vertical="center"/>
    </xf>
    <xf numFmtId="42" fontId="24" fillId="5" borderId="0" xfId="0" applyNumberFormat="1" applyFont="1" applyFill="1" applyBorder="1" applyAlignment="1">
      <alignment vertical="center"/>
    </xf>
    <xf numFmtId="0" fontId="25" fillId="5" borderId="0" xfId="0" applyFont="1" applyFill="1" applyBorder="1" applyAlignment="1">
      <alignment vertical="center"/>
    </xf>
    <xf numFmtId="9" fontId="24" fillId="5" borderId="0" xfId="2" applyNumberFormat="1" applyFont="1" applyFill="1" applyBorder="1" applyAlignment="1">
      <alignment horizontal="right" vertical="center"/>
    </xf>
    <xf numFmtId="167" fontId="26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 indent="1"/>
    </xf>
    <xf numFmtId="0" fontId="20" fillId="6" borderId="17" xfId="0" applyFont="1" applyFill="1" applyBorder="1" applyAlignment="1">
      <alignment horizontal="center"/>
    </xf>
    <xf numFmtId="42" fontId="20" fillId="6" borderId="17" xfId="1" applyNumberFormat="1" applyFont="1" applyFill="1" applyBorder="1"/>
    <xf numFmtId="9" fontId="20" fillId="6" borderId="14" xfId="2" applyNumberFormat="1" applyFont="1" applyFill="1" applyBorder="1" applyAlignment="1">
      <alignment horizontal="right"/>
    </xf>
    <xf numFmtId="9" fontId="20" fillId="6" borderId="15" xfId="2" applyFont="1" applyFill="1" applyBorder="1" applyAlignment="1">
      <alignment horizontal="right"/>
    </xf>
    <xf numFmtId="9" fontId="20" fillId="6" borderId="16" xfId="2" applyFont="1" applyFill="1" applyBorder="1" applyAlignment="1">
      <alignment horizontal="right"/>
    </xf>
    <xf numFmtId="9" fontId="20" fillId="6" borderId="15" xfId="2" applyNumberFormat="1" applyFont="1" applyFill="1" applyBorder="1" applyAlignment="1">
      <alignment horizontal="right"/>
    </xf>
    <xf numFmtId="9" fontId="20" fillId="6" borderId="16" xfId="2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0" applyFont="1" applyFill="1" applyBorder="1" applyAlignment="1">
      <alignment horizontal="center"/>
    </xf>
    <xf numFmtId="9" fontId="27" fillId="0" borderId="0" xfId="0" applyNumberFormat="1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7" borderId="26" xfId="0" applyFont="1" applyFill="1" applyBorder="1"/>
    <xf numFmtId="0" fontId="0" fillId="7" borderId="27" xfId="0" applyFill="1" applyBorder="1"/>
    <xf numFmtId="0" fontId="0" fillId="7" borderId="28" xfId="0" applyFill="1" applyBorder="1"/>
    <xf numFmtId="9" fontId="0" fillId="7" borderId="28" xfId="2" applyNumberFormat="1" applyFont="1" applyFill="1" applyBorder="1"/>
    <xf numFmtId="0" fontId="3" fillId="0" borderId="1" xfId="4" applyFont="1" applyFill="1" applyBorder="1" applyAlignment="1">
      <alignment horizontal="right" indent="1"/>
    </xf>
    <xf numFmtId="0" fontId="3" fillId="0" borderId="1" xfId="4" applyFont="1" applyFill="1" applyBorder="1" applyAlignment="1">
      <alignment horizontal="center"/>
    </xf>
    <xf numFmtId="0" fontId="20" fillId="0" borderId="29" xfId="0" applyFont="1" applyBorder="1" applyAlignment="1">
      <alignment horizontal="right" indent="1"/>
    </xf>
    <xf numFmtId="42" fontId="20" fillId="0" borderId="30" xfId="1" applyNumberFormat="1" applyFont="1" applyBorder="1"/>
    <xf numFmtId="0" fontId="20" fillId="0" borderId="31" xfId="0" applyFont="1" applyBorder="1" applyAlignment="1">
      <alignment horizontal="right" indent="1"/>
    </xf>
    <xf numFmtId="42" fontId="20" fillId="0" borderId="32" xfId="1" applyNumberFormat="1" applyFont="1" applyBorder="1"/>
    <xf numFmtId="0" fontId="28" fillId="0" borderId="0" xfId="0" applyFont="1" applyFill="1" applyBorder="1" applyAlignment="1">
      <alignment horizontal="right" indent="1"/>
    </xf>
    <xf numFmtId="42" fontId="28" fillId="0" borderId="0" xfId="0" applyNumberFormat="1" applyFont="1" applyFill="1" applyBorder="1"/>
    <xf numFmtId="168" fontId="28" fillId="0" borderId="0" xfId="0" applyNumberFormat="1" applyFont="1" applyFill="1" applyBorder="1"/>
    <xf numFmtId="0" fontId="0" fillId="0" borderId="0" xfId="0" applyAlignment="1">
      <alignment horizontal="left" indent="4"/>
    </xf>
    <xf numFmtId="0" fontId="0" fillId="8" borderId="0" xfId="0" applyFill="1"/>
    <xf numFmtId="0" fontId="0" fillId="9" borderId="0" xfId="0" applyFill="1"/>
    <xf numFmtId="0" fontId="4" fillId="4" borderId="0" xfId="0" applyFont="1" applyFill="1" applyAlignment="1">
      <alignment wrapText="1"/>
    </xf>
    <xf numFmtId="14" fontId="4" fillId="4" borderId="0" xfId="0" applyNumberFormat="1" applyFont="1" applyFill="1" applyAlignment="1">
      <alignment horizontal="right" wrapText="1"/>
    </xf>
    <xf numFmtId="164" fontId="4" fillId="4" borderId="0" xfId="0" applyNumberFormat="1" applyFont="1" applyFill="1" applyAlignment="1">
      <alignment horizontal="right" wrapText="1"/>
    </xf>
    <xf numFmtId="0" fontId="4" fillId="4" borderId="0" xfId="0" applyNumberFormat="1" applyFont="1" applyFill="1" applyAlignment="1">
      <alignment horizontal="right" wrapText="1"/>
    </xf>
    <xf numFmtId="0" fontId="4" fillId="4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14" fontId="0" fillId="8" borderId="0" xfId="0" applyNumberFormat="1" applyFill="1"/>
    <xf numFmtId="164" fontId="0" fillId="8" borderId="0" xfId="0" applyNumberFormat="1" applyFill="1"/>
    <xf numFmtId="164" fontId="0" fillId="0" borderId="3" xfId="0" applyNumberFormat="1" applyBorder="1"/>
    <xf numFmtId="164" fontId="0" fillId="0" borderId="33" xfId="0" applyNumberFormat="1" applyBorder="1"/>
    <xf numFmtId="0" fontId="30" fillId="0" borderId="0" xfId="0" applyFont="1" applyAlignment="1">
      <alignment horizontal="center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3" fillId="0" borderId="0" xfId="0" applyFont="1"/>
    <xf numFmtId="1" fontId="34" fillId="0" borderId="0" xfId="0" applyNumberFormat="1" applyFont="1" applyAlignment="1">
      <alignment wrapText="1"/>
    </xf>
    <xf numFmtId="164" fontId="35" fillId="0" borderId="0" xfId="0" applyNumberFormat="1" applyFont="1"/>
    <xf numFmtId="1" fontId="34" fillId="0" borderId="0" xfId="0" applyNumberFormat="1" applyFont="1" applyAlignment="1">
      <alignment vertical="top" wrapText="1"/>
    </xf>
    <xf numFmtId="0" fontId="4" fillId="10" borderId="0" xfId="0" applyFont="1" applyFill="1"/>
    <xf numFmtId="0" fontId="0" fillId="10" borderId="0" xfId="0" applyFill="1"/>
    <xf numFmtId="0" fontId="4" fillId="0" borderId="0" xfId="0" applyFont="1" applyFill="1" applyBorder="1"/>
    <xf numFmtId="0" fontId="0" fillId="0" borderId="0" xfId="0" applyFill="1" applyBorder="1"/>
    <xf numFmtId="0" fontId="0" fillId="0" borderId="22" xfId="0" applyFill="1" applyBorder="1"/>
    <xf numFmtId="0" fontId="0" fillId="0" borderId="25" xfId="0" applyFill="1" applyBorder="1"/>
    <xf numFmtId="0" fontId="0" fillId="0" borderId="0" xfId="0" applyAlignment="1">
      <alignment wrapText="1"/>
    </xf>
    <xf numFmtId="0" fontId="36" fillId="0" borderId="18" xfId="0" applyFont="1" applyFill="1" applyBorder="1" applyAlignment="1">
      <alignment wrapText="1"/>
    </xf>
    <xf numFmtId="0" fontId="36" fillId="0" borderId="20" xfId="0" applyFont="1" applyFill="1" applyBorder="1" applyAlignment="1">
      <alignment wrapText="1"/>
    </xf>
    <xf numFmtId="0" fontId="36" fillId="7" borderId="18" xfId="0" applyFont="1" applyFill="1" applyBorder="1" applyAlignment="1">
      <alignment wrapText="1"/>
    </xf>
    <xf numFmtId="0" fontId="36" fillId="7" borderId="20" xfId="0" applyFont="1" applyFill="1" applyBorder="1" applyAlignment="1">
      <alignment wrapText="1"/>
    </xf>
    <xf numFmtId="0" fontId="36" fillId="11" borderId="18" xfId="0" applyFont="1" applyFill="1" applyBorder="1" applyAlignment="1">
      <alignment wrapText="1"/>
    </xf>
    <xf numFmtId="0" fontId="36" fillId="11" borderId="20" xfId="0" applyFont="1" applyFill="1" applyBorder="1" applyAlignment="1">
      <alignment wrapText="1"/>
    </xf>
    <xf numFmtId="0" fontId="4" fillId="7" borderId="21" xfId="0" applyFont="1" applyFill="1" applyBorder="1"/>
    <xf numFmtId="0" fontId="0" fillId="7" borderId="22" xfId="0" applyFill="1" applyBorder="1"/>
    <xf numFmtId="0" fontId="4" fillId="7" borderId="23" xfId="0" applyFont="1" applyFill="1" applyBorder="1"/>
    <xf numFmtId="0" fontId="0" fillId="7" borderId="25" xfId="0" applyFill="1" applyBorder="1"/>
    <xf numFmtId="0" fontId="4" fillId="12" borderId="21" xfId="0" applyFont="1" applyFill="1" applyBorder="1"/>
    <xf numFmtId="0" fontId="0" fillId="12" borderId="22" xfId="0" applyFill="1" applyBorder="1"/>
    <xf numFmtId="0" fontId="4" fillId="12" borderId="23" xfId="0" applyFont="1" applyFill="1" applyBorder="1"/>
    <xf numFmtId="0" fontId="0" fillId="12" borderId="25" xfId="0" applyFill="1" applyBorder="1"/>
    <xf numFmtId="0" fontId="36" fillId="12" borderId="20" xfId="0" applyFont="1" applyFill="1" applyBorder="1" applyAlignment="1">
      <alignment wrapText="1"/>
    </xf>
    <xf numFmtId="0" fontId="4" fillId="11" borderId="21" xfId="0" applyFont="1" applyFill="1" applyBorder="1"/>
    <xf numFmtId="0" fontId="0" fillId="11" borderId="22" xfId="0" applyFill="1" applyBorder="1"/>
    <xf numFmtId="0" fontId="4" fillId="11" borderId="23" xfId="0" applyFont="1" applyFill="1" applyBorder="1"/>
    <xf numFmtId="0" fontId="0" fillId="11" borderId="25" xfId="0" applyFill="1" applyBorder="1"/>
    <xf numFmtId="0" fontId="0" fillId="0" borderId="20" xfId="0" applyBorder="1"/>
    <xf numFmtId="170" fontId="0" fillId="0" borderId="21" xfId="0" applyNumberFormat="1" applyBorder="1"/>
    <xf numFmtId="164" fontId="0" fillId="0" borderId="0" xfId="0" applyNumberFormat="1" applyBorder="1"/>
    <xf numFmtId="164" fontId="0" fillId="0" borderId="22" xfId="0" applyNumberFormat="1" applyBorder="1"/>
    <xf numFmtId="170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36" fillId="7" borderId="19" xfId="0" applyFont="1" applyFill="1" applyBorder="1" applyAlignment="1">
      <alignment wrapText="1"/>
    </xf>
    <xf numFmtId="0" fontId="0" fillId="7" borderId="0" xfId="0" applyFill="1" applyBorder="1"/>
    <xf numFmtId="0" fontId="0" fillId="7" borderId="24" xfId="0" applyFill="1" applyBorder="1"/>
    <xf numFmtId="0" fontId="36" fillId="0" borderId="0" xfId="0" applyFont="1"/>
    <xf numFmtId="0" fontId="36" fillId="7" borderId="0" xfId="0" applyFont="1" applyFill="1" applyBorder="1" applyAlignment="1">
      <alignment wrapText="1"/>
    </xf>
    <xf numFmtId="0" fontId="3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9" fillId="0" borderId="0" xfId="0" applyFont="1" applyAlignment="1">
      <alignment horizontal="left" indent="3"/>
    </xf>
    <xf numFmtId="0" fontId="38" fillId="0" borderId="0" xfId="0" applyFont="1"/>
    <xf numFmtId="0" fontId="36" fillId="12" borderId="18" xfId="0" applyFont="1" applyFill="1" applyBorder="1" applyAlignment="1">
      <alignment wrapText="1"/>
    </xf>
    <xf numFmtId="9" fontId="0" fillId="0" borderId="0" xfId="2" applyFont="1"/>
    <xf numFmtId="0" fontId="5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13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39" fillId="0" borderId="0" xfId="0" applyFont="1" applyFill="1"/>
    <xf numFmtId="0" fontId="39" fillId="0" borderId="0" xfId="0" applyFont="1"/>
    <xf numFmtId="164" fontId="39" fillId="0" borderId="0" xfId="0" applyNumberFormat="1" applyFont="1"/>
    <xf numFmtId="0" fontId="39" fillId="8" borderId="0" xfId="0" applyFont="1" applyFill="1"/>
    <xf numFmtId="164" fontId="39" fillId="8" borderId="0" xfId="0" applyNumberFormat="1" applyFont="1" applyFill="1"/>
  </cellXfs>
  <cellStyles count="6">
    <cellStyle name="Currency" xfId="1" builtinId="4"/>
    <cellStyle name="Date_simple" xfId="5"/>
    <cellStyle name="Heading 1" xfId="4" builtinId="16"/>
    <cellStyle name="Normal" xfId="0" builtinId="0"/>
    <cellStyle name="Percent" xfId="2" builtinId="5"/>
    <cellStyle name="Title" xfId="3" builtinId="15"/>
  </cellStyles>
  <dxfs count="19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>
        <left style="thin">
          <color theme="0" tint="-4.9989318521683403E-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  <border>
        <right style="thin">
          <color theme="0" tint="-4.9989318521683403E-2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%;;&quot;-&quot;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8" formatCode="_(&quot;$&quot;* #,##0_);_(&quot;$&quot;* \(#,##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numFmt numFmtId="167" formatCode=";;;"/>
      <fill>
        <patternFill patternType="none">
          <fgColor theme="6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98"/>
      <tableStyleElement type="headerRow" dxfId="197"/>
      <tableStyleElement type="totalRow" dxfId="196"/>
      <tableStyleElement type="firstRowStripe" dxfId="195"/>
      <tableStyleElement type="secondRowStripe" dxfId="194"/>
    </tableStyle>
    <tableStyle name="Profit &amp; Loss Revenue" pivot="0" count="5">
      <tableStyleElement type="wholeTable" dxfId="193"/>
      <tableStyleElement type="headerRow" dxfId="192"/>
      <tableStyleElement type="totalRow" dxfId="191"/>
      <tableStyleElement type="firstRowStripe" dxfId="190"/>
      <tableStyleElement type="secondRowStripe" dxfId="189"/>
    </tableStyle>
    <tableStyle name="Profit &amp; Loss Sales" pivot="0" count="5">
      <tableStyleElement type="wholeTable" dxfId="188"/>
      <tableStyleElement type="headerRow" dxfId="187"/>
      <tableStyleElement type="totalRow" dxfId="186"/>
      <tableStyleElement type="firstRowStripe" dxfId="185"/>
      <tableStyleElement type="secondRowStripe" dxfId="1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5-43E3-8645-48DE257BC4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5-43E3-8645-48DE257BC4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5-43E3-8645-48DE257BC4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5-43E3-8645-48DE257BC4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5-43E3-8645-48DE257BC4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A5-43E3-8645-48DE257BC4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A5-43E3-8645-48DE257BC4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A5-43E3-8645-48DE257BC40C}"/>
              </c:ext>
            </c:extLst>
          </c:dPt>
          <c:cat>
            <c:strRef>
              <c:f>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A5-43E3-8645-48DE257B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7-4C55-A102-0341D0086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7-4C55-A102-0341D0086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7-4C55-A102-0341D0086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7-4C55-A102-0341D0086E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7-4C55-A102-0341D0086E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67-4C55-A102-0341D0086E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67-4C55-A102-0341D0086E83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D67-4C55-A102-0341D0086E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D67-4C55-A102-0341D0086E8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D67-4C55-A102-0341D0086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Doughnut!$O$2:$O$8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67-4C55-A102-0341D0086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Scatter!$B$2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Scatter!$B$3:$B$36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A-4DB6-B99E-EBD8409A0B37}"/>
            </c:ext>
          </c:extLst>
        </c:ser>
        <c:ser>
          <c:idx val="1"/>
          <c:order val="1"/>
          <c:tx>
            <c:strRef>
              <c:f>Scatter!$C$2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Scatter!$C$3:$C$36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A-4DB6-B99E-EBD8409A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98880"/>
        <c:axId val="242199272"/>
      </c:lineChart>
      <c:catAx>
        <c:axId val="2421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9272"/>
        <c:crosses val="autoZero"/>
        <c:auto val="1"/>
        <c:lblAlgn val="ctr"/>
        <c:lblOffset val="100"/>
        <c:noMultiLvlLbl val="0"/>
      </c:catAx>
      <c:valAx>
        <c:axId val="2421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Scatter!$M$2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Scatter!$L$3:$L$36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Scatter!$M$3:$M$36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6-43FD-9B66-68961180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00056"/>
        <c:axId val="299707448"/>
      </c:lineChart>
      <c:catAx>
        <c:axId val="2422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7448"/>
        <c:crosses val="autoZero"/>
        <c:auto val="1"/>
        <c:lblAlgn val="ctr"/>
        <c:lblOffset val="100"/>
        <c:noMultiLvlLbl val="0"/>
      </c:catAx>
      <c:valAx>
        <c:axId val="2997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Scatter!$W$2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Scatter!$V$3:$V$36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Scatter!$W$3:$W$36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BDC-B510-6173DA62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08232"/>
        <c:axId val="299708624"/>
      </c:scatterChart>
      <c:valAx>
        <c:axId val="29970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8624"/>
        <c:crosses val="autoZero"/>
        <c:crossBetween val="midCat"/>
      </c:valAx>
      <c:valAx>
        <c:axId val="299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- Year'!$B$1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- Year'!$A$2:$A$136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xVal>
          <c:yVal>
            <c:numRef>
              <c:f>'Scatter - Year'!$B$2:$B$136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F04-96DA-785C8113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09800"/>
        <c:axId val="299710192"/>
      </c:scatterChart>
      <c:valAx>
        <c:axId val="29970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0192"/>
        <c:crosses val="autoZero"/>
        <c:crossBetween val="midCat"/>
      </c:valAx>
      <c:valAx>
        <c:axId val="299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- Year'!$B$1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'Line - Year'!$A$2:$A$136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cat>
          <c:val>
            <c:numRef>
              <c:f>'Line - Year'!$B$2:$B$136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7CA-95C7-4571773E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19760"/>
        <c:axId val="322120152"/>
      </c:lineChart>
      <c:catAx>
        <c:axId val="3221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0152"/>
        <c:crosses val="autoZero"/>
        <c:auto val="1"/>
        <c:lblAlgn val="ctr"/>
        <c:lblOffset val="100"/>
        <c:noMultiLvlLbl val="0"/>
      </c:catAx>
      <c:valAx>
        <c:axId val="3221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- Trendline'!$B$1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- Trendline'!$A$2:$A$136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xVal>
          <c:yVal>
            <c:numRef>
              <c:f>'Scatter - Trendline'!$B$2:$B$136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6-4730-AB69-4585475F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1328"/>
        <c:axId val="322121720"/>
      </c:scatterChart>
      <c:valAx>
        <c:axId val="3221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1720"/>
        <c:crosses val="autoZero"/>
        <c:crossBetween val="midCat"/>
      </c:valAx>
      <c:valAx>
        <c:axId val="3221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'$ Life Exepectancy'!$C$1</c:f>
              <c:strCache>
                <c:ptCount val="1"/>
                <c:pt idx="0">
                  <c:v>2011 GDP per capita (PPP) with projections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'$ Life Exepectancy'!$B$2:$B$179</c:f>
              <c:numCache>
                <c:formatCode>0</c:formatCode>
                <c:ptCount val="178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  <c:pt idx="25">
                  <c:v>50.411000000000001</c:v>
                </c:pt>
                <c:pt idx="26">
                  <c:v>63.125</c:v>
                </c:pt>
                <c:pt idx="27">
                  <c:v>51.61</c:v>
                </c:pt>
                <c:pt idx="28">
                  <c:v>81.012</c:v>
                </c:pt>
                <c:pt idx="29">
                  <c:v>74.156000000000006</c:v>
                </c:pt>
                <c:pt idx="30">
                  <c:v>48.398000000000003</c:v>
                </c:pt>
                <c:pt idx="31">
                  <c:v>49.552999999999997</c:v>
                </c:pt>
                <c:pt idx="32">
                  <c:v>79.12</c:v>
                </c:pt>
                <c:pt idx="33">
                  <c:v>73.456000000000003</c:v>
                </c:pt>
                <c:pt idx="34">
                  <c:v>73.703000000000003</c:v>
                </c:pt>
                <c:pt idx="35">
                  <c:v>61.061</c:v>
                </c:pt>
                <c:pt idx="36">
                  <c:v>48.396999999999998</c:v>
                </c:pt>
                <c:pt idx="37">
                  <c:v>57.378999999999998</c:v>
                </c:pt>
                <c:pt idx="38">
                  <c:v>79.311000000000007</c:v>
                </c:pt>
                <c:pt idx="39">
                  <c:v>55.377000000000002</c:v>
                </c:pt>
                <c:pt idx="40">
                  <c:v>76.64</c:v>
                </c:pt>
                <c:pt idx="41">
                  <c:v>79.143000000000001</c:v>
                </c:pt>
                <c:pt idx="42">
                  <c:v>79.590999999999994</c:v>
                </c:pt>
                <c:pt idx="43">
                  <c:v>77.685000000000002</c:v>
                </c:pt>
                <c:pt idx="44">
                  <c:v>78.825999999999993</c:v>
                </c:pt>
                <c:pt idx="45">
                  <c:v>57.936999999999998</c:v>
                </c:pt>
                <c:pt idx="46">
                  <c:v>73.396000000000001</c:v>
                </c:pt>
                <c:pt idx="47">
                  <c:v>75.632000000000005</c:v>
                </c:pt>
                <c:pt idx="48">
                  <c:v>73.234999999999999</c:v>
                </c:pt>
                <c:pt idx="49">
                  <c:v>72.195999999999998</c:v>
                </c:pt>
                <c:pt idx="50">
                  <c:v>51.088000000000001</c:v>
                </c:pt>
                <c:pt idx="51">
                  <c:v>61.597000000000001</c:v>
                </c:pt>
                <c:pt idx="52">
                  <c:v>74.825000000000003</c:v>
                </c:pt>
                <c:pt idx="53">
                  <c:v>59.274000000000001</c:v>
                </c:pt>
                <c:pt idx="54">
                  <c:v>69.245000000000005</c:v>
                </c:pt>
                <c:pt idx="55">
                  <c:v>79.977000000000004</c:v>
                </c:pt>
                <c:pt idx="56">
                  <c:v>81.539000000000001</c:v>
                </c:pt>
                <c:pt idx="57">
                  <c:v>62.703000000000003</c:v>
                </c:pt>
                <c:pt idx="58">
                  <c:v>58.491</c:v>
                </c:pt>
                <c:pt idx="59">
                  <c:v>73.736999999999995</c:v>
                </c:pt>
                <c:pt idx="60">
                  <c:v>80.414000000000001</c:v>
                </c:pt>
                <c:pt idx="61">
                  <c:v>64.227999999999994</c:v>
                </c:pt>
                <c:pt idx="62">
                  <c:v>79.915000000000006</c:v>
                </c:pt>
                <c:pt idx="63">
                  <c:v>75.956000000000003</c:v>
                </c:pt>
                <c:pt idx="64">
                  <c:v>71.171999999999997</c:v>
                </c:pt>
                <c:pt idx="65">
                  <c:v>54.097000000000001</c:v>
                </c:pt>
                <c:pt idx="66">
                  <c:v>48.131999999999998</c:v>
                </c:pt>
                <c:pt idx="67">
                  <c:v>69.927000000000007</c:v>
                </c:pt>
                <c:pt idx="68">
                  <c:v>62.094999999999999</c:v>
                </c:pt>
                <c:pt idx="69">
                  <c:v>73.126000000000005</c:v>
                </c:pt>
                <c:pt idx="70">
                  <c:v>82.759</c:v>
                </c:pt>
                <c:pt idx="71">
                  <c:v>74.414000000000001</c:v>
                </c:pt>
                <c:pt idx="72">
                  <c:v>81.804000000000002</c:v>
                </c:pt>
                <c:pt idx="73">
                  <c:v>65.438000000000002</c:v>
                </c:pt>
                <c:pt idx="74">
                  <c:v>69.366</c:v>
                </c:pt>
                <c:pt idx="75">
                  <c:v>72.974000000000004</c:v>
                </c:pt>
                <c:pt idx="76">
                  <c:v>69.042000000000002</c:v>
                </c:pt>
                <c:pt idx="77">
                  <c:v>80.557000000000002</c:v>
                </c:pt>
                <c:pt idx="78">
                  <c:v>81.617999999999995</c:v>
                </c:pt>
                <c:pt idx="79">
                  <c:v>81.855000000000004</c:v>
                </c:pt>
                <c:pt idx="80">
                  <c:v>73.126999999999995</c:v>
                </c:pt>
                <c:pt idx="81">
                  <c:v>83.394000000000005</c:v>
                </c:pt>
                <c:pt idx="82">
                  <c:v>73.403000000000006</c:v>
                </c:pt>
                <c:pt idx="83">
                  <c:v>67.016999999999996</c:v>
                </c:pt>
                <c:pt idx="84">
                  <c:v>57.134</c:v>
                </c:pt>
                <c:pt idx="85">
                  <c:v>68.846000000000004</c:v>
                </c:pt>
                <c:pt idx="86">
                  <c:v>80.641999999999996</c:v>
                </c:pt>
                <c:pt idx="87">
                  <c:v>74.575999999999993</c:v>
                </c:pt>
                <c:pt idx="88">
                  <c:v>67.713999999999999</c:v>
                </c:pt>
                <c:pt idx="89">
                  <c:v>67.483999999999995</c:v>
                </c:pt>
                <c:pt idx="90">
                  <c:v>73.338999999999999</c:v>
                </c:pt>
                <c:pt idx="91">
                  <c:v>72.64</c:v>
                </c:pt>
                <c:pt idx="92">
                  <c:v>48.195999999999998</c:v>
                </c:pt>
                <c:pt idx="93">
                  <c:v>56.786000000000001</c:v>
                </c:pt>
                <c:pt idx="94">
                  <c:v>74.787999999999997</c:v>
                </c:pt>
                <c:pt idx="95">
                  <c:v>72.230999999999995</c:v>
                </c:pt>
                <c:pt idx="96">
                  <c:v>79.962999999999994</c:v>
                </c:pt>
                <c:pt idx="97">
                  <c:v>80.933999999999997</c:v>
                </c:pt>
                <c:pt idx="98">
                  <c:v>74.846999999999994</c:v>
                </c:pt>
                <c:pt idx="99">
                  <c:v>66.718000000000004</c:v>
                </c:pt>
                <c:pt idx="100">
                  <c:v>54.21</c:v>
                </c:pt>
                <c:pt idx="101">
                  <c:v>74.221000000000004</c:v>
                </c:pt>
                <c:pt idx="102">
                  <c:v>76.847999999999999</c:v>
                </c:pt>
                <c:pt idx="103">
                  <c:v>51.444000000000003</c:v>
                </c:pt>
                <c:pt idx="104">
                  <c:v>79.634</c:v>
                </c:pt>
                <c:pt idx="105">
                  <c:v>58.582000000000001</c:v>
                </c:pt>
                <c:pt idx="106">
                  <c:v>73.373000000000005</c:v>
                </c:pt>
                <c:pt idx="107">
                  <c:v>76.953999999999994</c:v>
                </c:pt>
                <c:pt idx="108">
                  <c:v>69.316999999999993</c:v>
                </c:pt>
                <c:pt idx="109">
                  <c:v>68.498000000000005</c:v>
                </c:pt>
                <c:pt idx="110">
                  <c:v>74.572999999999993</c:v>
                </c:pt>
                <c:pt idx="111">
                  <c:v>72.150000000000006</c:v>
                </c:pt>
                <c:pt idx="112">
                  <c:v>50.238999999999997</c:v>
                </c:pt>
                <c:pt idx="113">
                  <c:v>65.192999999999998</c:v>
                </c:pt>
                <c:pt idx="114">
                  <c:v>80.733999999999995</c:v>
                </c:pt>
                <c:pt idx="115">
                  <c:v>76.652000000000001</c:v>
                </c:pt>
                <c:pt idx="116">
                  <c:v>74.043999999999997</c:v>
                </c:pt>
                <c:pt idx="117">
                  <c:v>54.674999999999997</c:v>
                </c:pt>
                <c:pt idx="118">
                  <c:v>51.878999999999998</c:v>
                </c:pt>
                <c:pt idx="119">
                  <c:v>81.096999999999994</c:v>
                </c:pt>
                <c:pt idx="120">
                  <c:v>72.974000000000004</c:v>
                </c:pt>
                <c:pt idx="121">
                  <c:v>65.436999999999998</c:v>
                </c:pt>
                <c:pt idx="122">
                  <c:v>76.128</c:v>
                </c:pt>
                <c:pt idx="123">
                  <c:v>62.790999999999997</c:v>
                </c:pt>
                <c:pt idx="124">
                  <c:v>72.477000000000004</c:v>
                </c:pt>
                <c:pt idx="125">
                  <c:v>73.989999999999995</c:v>
                </c:pt>
                <c:pt idx="126">
                  <c:v>68.748999999999995</c:v>
                </c:pt>
                <c:pt idx="127">
                  <c:v>76.126000000000005</c:v>
                </c:pt>
                <c:pt idx="128">
                  <c:v>79.498999999999995</c:v>
                </c:pt>
                <c:pt idx="129">
                  <c:v>78.370999999999995</c:v>
                </c:pt>
                <c:pt idx="130">
                  <c:v>73.978999999999999</c:v>
                </c:pt>
                <c:pt idx="131">
                  <c:v>68.822999999999993</c:v>
                </c:pt>
                <c:pt idx="132">
                  <c:v>55.442</c:v>
                </c:pt>
                <c:pt idx="133">
                  <c:v>74.641000000000005</c:v>
                </c:pt>
                <c:pt idx="134">
                  <c:v>72.283000000000001</c:v>
                </c:pt>
                <c:pt idx="135">
                  <c:v>72.444000000000003</c:v>
                </c:pt>
                <c:pt idx="136">
                  <c:v>64.665999999999997</c:v>
                </c:pt>
                <c:pt idx="137">
                  <c:v>73.911000000000001</c:v>
                </c:pt>
                <c:pt idx="138">
                  <c:v>59.317999999999998</c:v>
                </c:pt>
                <c:pt idx="139">
                  <c:v>74.522000000000006</c:v>
                </c:pt>
                <c:pt idx="140">
                  <c:v>47.793999999999997</c:v>
                </c:pt>
                <c:pt idx="141">
                  <c:v>81.126000000000005</c:v>
                </c:pt>
                <c:pt idx="142">
                  <c:v>75.445999999999998</c:v>
                </c:pt>
                <c:pt idx="143">
                  <c:v>79.340999999999994</c:v>
                </c:pt>
                <c:pt idx="144">
                  <c:v>67.852000000000004</c:v>
                </c:pt>
                <c:pt idx="145">
                  <c:v>51.219000000000001</c:v>
                </c:pt>
                <c:pt idx="146">
                  <c:v>52.796999999999997</c:v>
                </c:pt>
                <c:pt idx="147">
                  <c:v>81.403999999999996</c:v>
                </c:pt>
                <c:pt idx="148">
                  <c:v>74.941000000000003</c:v>
                </c:pt>
                <c:pt idx="149">
                  <c:v>61.451999999999998</c:v>
                </c:pt>
                <c:pt idx="150">
                  <c:v>70.563000000000002</c:v>
                </c:pt>
                <c:pt idx="151">
                  <c:v>48.718000000000004</c:v>
                </c:pt>
                <c:pt idx="152">
                  <c:v>81.438999999999993</c:v>
                </c:pt>
                <c:pt idx="153">
                  <c:v>82.337999999999994</c:v>
                </c:pt>
                <c:pt idx="154">
                  <c:v>75.849999999999994</c:v>
                </c:pt>
                <c:pt idx="155">
                  <c:v>67.528999999999996</c:v>
                </c:pt>
                <c:pt idx="156">
                  <c:v>58.198999999999998</c:v>
                </c:pt>
                <c:pt idx="157">
                  <c:v>74.126000000000005</c:v>
                </c:pt>
                <c:pt idx="158">
                  <c:v>62.475000000000001</c:v>
                </c:pt>
                <c:pt idx="159">
                  <c:v>57.061999999999998</c:v>
                </c:pt>
                <c:pt idx="160">
                  <c:v>72.316999999999993</c:v>
                </c:pt>
                <c:pt idx="161">
                  <c:v>70.123999999999995</c:v>
                </c:pt>
                <c:pt idx="162">
                  <c:v>74.515000000000001</c:v>
                </c:pt>
                <c:pt idx="163">
                  <c:v>73.978999999999999</c:v>
                </c:pt>
                <c:pt idx="164">
                  <c:v>64.986000000000004</c:v>
                </c:pt>
                <c:pt idx="165">
                  <c:v>54.116</c:v>
                </c:pt>
                <c:pt idx="166">
                  <c:v>68.494</c:v>
                </c:pt>
                <c:pt idx="167">
                  <c:v>76.546000000000006</c:v>
                </c:pt>
                <c:pt idx="168">
                  <c:v>80.17</c:v>
                </c:pt>
                <c:pt idx="169">
                  <c:v>78.531000000000006</c:v>
                </c:pt>
                <c:pt idx="170">
                  <c:v>77.004999999999995</c:v>
                </c:pt>
                <c:pt idx="171">
                  <c:v>68.287000000000006</c:v>
                </c:pt>
                <c:pt idx="172">
                  <c:v>71.016999999999996</c:v>
                </c:pt>
                <c:pt idx="173">
                  <c:v>74.402000000000001</c:v>
                </c:pt>
                <c:pt idx="174">
                  <c:v>75.180999999999997</c:v>
                </c:pt>
                <c:pt idx="175">
                  <c:v>65.492999999999995</c:v>
                </c:pt>
                <c:pt idx="176">
                  <c:v>49.024999999999999</c:v>
                </c:pt>
                <c:pt idx="177">
                  <c:v>51.384</c:v>
                </c:pt>
              </c:numCache>
            </c:numRef>
          </c:xVal>
          <c:yVal>
            <c:numRef>
              <c:f>'$ Life Exepectancy'!$C$2:$C$179</c:f>
              <c:numCache>
                <c:formatCode>"$"#,##0</c:formatCode>
                <c:ptCount val="178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  <c:pt idx="25">
                  <c:v>484.14864408568502</c:v>
                </c:pt>
                <c:pt idx="26">
                  <c:v>1949.5895842054799</c:v>
                </c:pt>
                <c:pt idx="27">
                  <c:v>2033.23287630612</c:v>
                </c:pt>
                <c:pt idx="28">
                  <c:v>35689.571189325601</c:v>
                </c:pt>
                <c:pt idx="29">
                  <c:v>3787.64164023372</c:v>
                </c:pt>
                <c:pt idx="30">
                  <c:v>694.72166936236897</c:v>
                </c:pt>
                <c:pt idx="31">
                  <c:v>1745.674492437</c:v>
                </c:pt>
                <c:pt idx="32">
                  <c:v>14620.8725123289</c:v>
                </c:pt>
                <c:pt idx="33">
                  <c:v>8848.0922665782491</c:v>
                </c:pt>
                <c:pt idx="34">
                  <c:v>7767.6350646419996</c:v>
                </c:pt>
                <c:pt idx="35">
                  <c:v>1023.89860572626</c:v>
                </c:pt>
                <c:pt idx="36">
                  <c:v>387.22283772044</c:v>
                </c:pt>
                <c:pt idx="37">
                  <c:v>4110.5342829315796</c:v>
                </c:pt>
                <c:pt idx="38">
                  <c:v>10427.739355215899</c:v>
                </c:pt>
                <c:pt idx="39">
                  <c:v>1397.87733174905</c:v>
                </c:pt>
                <c:pt idx="40">
                  <c:v>13920.272901558301</c:v>
                </c:pt>
                <c:pt idx="41">
                  <c:v>9565.8850903696803</c:v>
                </c:pt>
                <c:pt idx="42">
                  <c:v>25405.825805238801</c:v>
                </c:pt>
                <c:pt idx="43">
                  <c:v>22859.954748841199</c:v>
                </c:pt>
                <c:pt idx="44">
                  <c:v>32868.961382910602</c:v>
                </c:pt>
                <c:pt idx="45">
                  <c:v>2241.5106588837298</c:v>
                </c:pt>
                <c:pt idx="46">
                  <c:v>6838.8589189469103</c:v>
                </c:pt>
                <c:pt idx="47">
                  <c:v>7681.5391645892196</c:v>
                </c:pt>
                <c:pt idx="48">
                  <c:v>6116.6137308977604</c:v>
                </c:pt>
                <c:pt idx="49">
                  <c:v>5644.1634173198199</c:v>
                </c:pt>
                <c:pt idx="50">
                  <c:v>15459.9933057085</c:v>
                </c:pt>
                <c:pt idx="51">
                  <c:v>591.46168766818801</c:v>
                </c:pt>
                <c:pt idx="52">
                  <c:v>18016.324059697701</c:v>
                </c:pt>
                <c:pt idx="53">
                  <c:v>900.35069044776606</c:v>
                </c:pt>
                <c:pt idx="54">
                  <c:v>4122.4139823387404</c:v>
                </c:pt>
                <c:pt idx="55">
                  <c:v>31975.6054416712</c:v>
                </c:pt>
                <c:pt idx="56">
                  <c:v>30235.359941089599</c:v>
                </c:pt>
                <c:pt idx="57">
                  <c:v>13905.667632078999</c:v>
                </c:pt>
                <c:pt idx="58">
                  <c:v>798.55205284560702</c:v>
                </c:pt>
                <c:pt idx="59">
                  <c:v>4659.3832447998102</c:v>
                </c:pt>
                <c:pt idx="60">
                  <c:v>33734.808961206698</c:v>
                </c:pt>
                <c:pt idx="61">
                  <c:v>1641.30111721504</c:v>
                </c:pt>
                <c:pt idx="62">
                  <c:v>23605.618704504599</c:v>
                </c:pt>
                <c:pt idx="63">
                  <c:v>8766.1265965275707</c:v>
                </c:pt>
                <c:pt idx="64">
                  <c:v>5241.3399701983299</c:v>
                </c:pt>
                <c:pt idx="65">
                  <c:v>949.01823768103804</c:v>
                </c:pt>
                <c:pt idx="66">
                  <c:v>608.15570604341599</c:v>
                </c:pt>
                <c:pt idx="67">
                  <c:v>4082.5669752869799</c:v>
                </c:pt>
                <c:pt idx="68">
                  <c:v>1193.86547227648</c:v>
                </c:pt>
                <c:pt idx="69">
                  <c:v>3517.3177711097601</c:v>
                </c:pt>
                <c:pt idx="70">
                  <c:v>43928.426158980001</c:v>
                </c:pt>
                <c:pt idx="71">
                  <c:v>17329.595452535799</c:v>
                </c:pt>
                <c:pt idx="72">
                  <c:v>33948.124697364401</c:v>
                </c:pt>
                <c:pt idx="73">
                  <c:v>3162.6105770108102</c:v>
                </c:pt>
                <c:pt idx="74">
                  <c:v>4179.3469061666101</c:v>
                </c:pt>
                <c:pt idx="75">
                  <c:v>12474.9937581591</c:v>
                </c:pt>
                <c:pt idx="76">
                  <c:v>3707.7328456278401</c:v>
                </c:pt>
                <c:pt idx="77">
                  <c:v>34420.465983702801</c:v>
                </c:pt>
                <c:pt idx="78">
                  <c:v>26957.718655523</c:v>
                </c:pt>
                <c:pt idx="79">
                  <c:v>26559.135593817799</c:v>
                </c:pt>
                <c:pt idx="80">
                  <c:v>6969.5636108753197</c:v>
                </c:pt>
                <c:pt idx="81">
                  <c:v>30487.9385074249</c:v>
                </c:pt>
                <c:pt idx="82">
                  <c:v>5210.2742591594097</c:v>
                </c:pt>
                <c:pt idx="83">
                  <c:v>11523.6711006026</c:v>
                </c:pt>
                <c:pt idx="84">
                  <c:v>1496.46727985339</c:v>
                </c:pt>
                <c:pt idx="85">
                  <c:v>1548.61423344845</c:v>
                </c:pt>
                <c:pt idx="86">
                  <c:v>26206.2504808999</c:v>
                </c:pt>
                <c:pt idx="87">
                  <c:v>44729.861034886002</c:v>
                </c:pt>
                <c:pt idx="88">
                  <c:v>2111.7187025957501</c:v>
                </c:pt>
                <c:pt idx="89">
                  <c:v>2578.5014771174701</c:v>
                </c:pt>
                <c:pt idx="90">
                  <c:v>13854.8234314195</c:v>
                </c:pt>
                <c:pt idx="91">
                  <c:v>13488.8902835598</c:v>
                </c:pt>
                <c:pt idx="92">
                  <c:v>1874.8470074844299</c:v>
                </c:pt>
                <c:pt idx="93">
                  <c:v>425.36369883703401</c:v>
                </c:pt>
                <c:pt idx="94">
                  <c:v>4768.4099734245601</c:v>
                </c:pt>
                <c:pt idx="95">
                  <c:v>16400.332538932598</c:v>
                </c:pt>
                <c:pt idx="96">
                  <c:v>70061.729727083904</c:v>
                </c:pt>
                <c:pt idx="97">
                  <c:v>88084.114014654595</c:v>
                </c:pt>
                <c:pt idx="98">
                  <c:v>8896.0872692486791</c:v>
                </c:pt>
                <c:pt idx="99">
                  <c:v>976.32002623467997</c:v>
                </c:pt>
                <c:pt idx="100">
                  <c:v>865.54531568237201</c:v>
                </c:pt>
                <c:pt idx="101">
                  <c:v>13836.955920927299</c:v>
                </c:pt>
                <c:pt idx="102">
                  <c:v>5818.9235158420697</c:v>
                </c:pt>
                <c:pt idx="103">
                  <c:v>1116.70899961344</c:v>
                </c:pt>
                <c:pt idx="104">
                  <c:v>22116.147896123399</c:v>
                </c:pt>
                <c:pt idx="105">
                  <c:v>1838.7935405063099</c:v>
                </c:pt>
                <c:pt idx="106">
                  <c:v>12771.755287649001</c:v>
                </c:pt>
                <c:pt idx="107">
                  <c:v>11684.303449843601</c:v>
                </c:pt>
                <c:pt idx="108">
                  <c:v>2964.1351094085899</c:v>
                </c:pt>
                <c:pt idx="109">
                  <c:v>3865.3708787394398</c:v>
                </c:pt>
                <c:pt idx="110">
                  <c:v>10022.8256032384</c:v>
                </c:pt>
                <c:pt idx="111">
                  <c:v>4409.3795045962797</c:v>
                </c:pt>
                <c:pt idx="112">
                  <c:v>999.71134765831505</c:v>
                </c:pt>
                <c:pt idx="113">
                  <c:v>1590.14816435698</c:v>
                </c:pt>
                <c:pt idx="114">
                  <c:v>1306.7064642620901</c:v>
                </c:pt>
                <c:pt idx="115">
                  <c:v>36895.836566232298</c:v>
                </c:pt>
                <c:pt idx="116">
                  <c:v>2887.9629908007801</c:v>
                </c:pt>
                <c:pt idx="117">
                  <c:v>668.027215260758</c:v>
                </c:pt>
                <c:pt idx="118">
                  <c:v>2396.6197150437802</c:v>
                </c:pt>
                <c:pt idx="119">
                  <c:v>46882.052300299903</c:v>
                </c:pt>
                <c:pt idx="120">
                  <c:v>24334.004909283001</c:v>
                </c:pt>
                <c:pt idx="121">
                  <c:v>2640.2577997726899</c:v>
                </c:pt>
                <c:pt idx="122">
                  <c:v>12502.2532596371</c:v>
                </c:pt>
                <c:pt idx="123">
                  <c:v>2203.5997444906602</c:v>
                </c:pt>
                <c:pt idx="124">
                  <c:v>4687.6917655677698</c:v>
                </c:pt>
                <c:pt idx="125">
                  <c:v>8864.5802885610192</c:v>
                </c:pt>
                <c:pt idx="126">
                  <c:v>3441.4235950975899</c:v>
                </c:pt>
                <c:pt idx="127">
                  <c:v>17928.334170276699</c:v>
                </c:pt>
                <c:pt idx="128">
                  <c:v>19905.954788494</c:v>
                </c:pt>
                <c:pt idx="129">
                  <c:v>93818.238644163197</c:v>
                </c:pt>
                <c:pt idx="130">
                  <c:v>10964.4165597028</c:v>
                </c:pt>
                <c:pt idx="131">
                  <c:v>14737.633597472601</c:v>
                </c:pt>
                <c:pt idx="132">
                  <c:v>1123.54932921931</c:v>
                </c:pt>
                <c:pt idx="133">
                  <c:v>10598.284527166799</c:v>
                </c:pt>
                <c:pt idx="134">
                  <c:v>6919.0351866216297</c:v>
                </c:pt>
                <c:pt idx="135">
                  <c:v>4998.46060951032</c:v>
                </c:pt>
                <c:pt idx="136">
                  <c:v>1890.42761423612</c:v>
                </c:pt>
                <c:pt idx="137">
                  <c:v>21364.373679256401</c:v>
                </c:pt>
                <c:pt idx="138">
                  <c:v>1766.99899116757</c:v>
                </c:pt>
                <c:pt idx="139">
                  <c:v>9719.4334675106402</c:v>
                </c:pt>
                <c:pt idx="140">
                  <c:v>924.40833036860499</c:v>
                </c:pt>
                <c:pt idx="141">
                  <c:v>49683.2670995027</c:v>
                </c:pt>
                <c:pt idx="142">
                  <c:v>20364.907992967499</c:v>
                </c:pt>
                <c:pt idx="143">
                  <c:v>24873.731920551501</c:v>
                </c:pt>
                <c:pt idx="144">
                  <c:v>2011.50036406906</c:v>
                </c:pt>
                <c:pt idx="145">
                  <c:v>943.03545346007297</c:v>
                </c:pt>
                <c:pt idx="146">
                  <c:v>9482.0906633483501</c:v>
                </c:pt>
                <c:pt idx="147">
                  <c:v>26766.861768965398</c:v>
                </c:pt>
                <c:pt idx="148">
                  <c:v>4901.3384293941399</c:v>
                </c:pt>
                <c:pt idx="149">
                  <c:v>3181.9258911778002</c:v>
                </c:pt>
                <c:pt idx="150">
                  <c:v>8706.3139714571407</c:v>
                </c:pt>
                <c:pt idx="151">
                  <c:v>4728.5938167762497</c:v>
                </c:pt>
                <c:pt idx="152">
                  <c:v>34395.314132985201</c:v>
                </c:pt>
                <c:pt idx="153">
                  <c:v>37942.468433511203</c:v>
                </c:pt>
                <c:pt idx="154">
                  <c:v>4520</c:v>
                </c:pt>
                <c:pt idx="155">
                  <c:v>1842.56944444444</c:v>
                </c:pt>
                <c:pt idx="156">
                  <c:v>1348.36497915782</c:v>
                </c:pt>
                <c:pt idx="157">
                  <c:v>7982.6111904023901</c:v>
                </c:pt>
                <c:pt idx="158">
                  <c:v>3228.4111568130202</c:v>
                </c:pt>
                <c:pt idx="159">
                  <c:v>933.18012832357499</c:v>
                </c:pt>
                <c:pt idx="160">
                  <c:v>4885.70866717441</c:v>
                </c:pt>
                <c:pt idx="161">
                  <c:v>17459.849752842201</c:v>
                </c:pt>
                <c:pt idx="162">
                  <c:v>7520.8255283302296</c:v>
                </c:pt>
                <c:pt idx="163">
                  <c:v>9148.3311483060697</c:v>
                </c:pt>
                <c:pt idx="164">
                  <c:v>7256.5522475846601</c:v>
                </c:pt>
                <c:pt idx="165">
                  <c:v>1277.80560024325</c:v>
                </c:pt>
                <c:pt idx="166">
                  <c:v>6379.5811237656399</c:v>
                </c:pt>
                <c:pt idx="167">
                  <c:v>31984.851148594498</c:v>
                </c:pt>
                <c:pt idx="168">
                  <c:v>31330.4772417653</c:v>
                </c:pt>
                <c:pt idx="169">
                  <c:v>41728.140891156698</c:v>
                </c:pt>
                <c:pt idx="170">
                  <c:v>12741.7920245887</c:v>
                </c:pt>
                <c:pt idx="171">
                  <c:v>2947.2040023746699</c:v>
                </c:pt>
                <c:pt idx="172">
                  <c:v>4028.2320552086398</c:v>
                </c:pt>
                <c:pt idx="173">
                  <c:v>10958.0483576565</c:v>
                </c:pt>
                <c:pt idx="174">
                  <c:v>2961.8346049001502</c:v>
                </c:pt>
                <c:pt idx="175">
                  <c:v>2102.2164613979098</c:v>
                </c:pt>
                <c:pt idx="176">
                  <c:v>1476.9348293190501</c:v>
                </c:pt>
                <c:pt idx="177">
                  <c:v>511.25840754995198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469D-A4DE-70BD4E2E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2504"/>
        <c:axId val="322122896"/>
      </c:scatterChart>
      <c:valAx>
        <c:axId val="3221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2896"/>
        <c:crosses val="autoZero"/>
        <c:crossBetween val="midCat"/>
      </c:valAx>
      <c:valAx>
        <c:axId val="3221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'Life Exepectancy $'!$C$1</c:f>
              <c:strCache>
                <c:ptCount val="1"/>
                <c:pt idx="0">
                  <c:v>2011 Life expectancy at birth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'Life Exepectancy $'!$B$2:$B$179</c:f>
              <c:numCache>
                <c:formatCode>"$"#,##0</c:formatCode>
                <c:ptCount val="178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  <c:pt idx="25">
                  <c:v>484.14864408568502</c:v>
                </c:pt>
                <c:pt idx="26">
                  <c:v>1949.5895842054799</c:v>
                </c:pt>
                <c:pt idx="27">
                  <c:v>2033.23287630612</c:v>
                </c:pt>
                <c:pt idx="28">
                  <c:v>35689.571189325601</c:v>
                </c:pt>
                <c:pt idx="29">
                  <c:v>3787.64164023372</c:v>
                </c:pt>
                <c:pt idx="30">
                  <c:v>694.72166936236897</c:v>
                </c:pt>
                <c:pt idx="31">
                  <c:v>1745.674492437</c:v>
                </c:pt>
                <c:pt idx="32">
                  <c:v>14620.8725123289</c:v>
                </c:pt>
                <c:pt idx="33">
                  <c:v>8848.0922665782491</c:v>
                </c:pt>
                <c:pt idx="34">
                  <c:v>7767.6350646419996</c:v>
                </c:pt>
                <c:pt idx="35">
                  <c:v>1023.89860572626</c:v>
                </c:pt>
                <c:pt idx="36">
                  <c:v>387.22283772044</c:v>
                </c:pt>
                <c:pt idx="37">
                  <c:v>4110.5342829315796</c:v>
                </c:pt>
                <c:pt idx="38">
                  <c:v>10427.739355215899</c:v>
                </c:pt>
                <c:pt idx="39">
                  <c:v>1397.87733174905</c:v>
                </c:pt>
                <c:pt idx="40">
                  <c:v>13920.272901558301</c:v>
                </c:pt>
                <c:pt idx="41">
                  <c:v>9565.8850903696803</c:v>
                </c:pt>
                <c:pt idx="42">
                  <c:v>25405.825805238801</c:v>
                </c:pt>
                <c:pt idx="43">
                  <c:v>22859.954748841199</c:v>
                </c:pt>
                <c:pt idx="44">
                  <c:v>32868.961382910602</c:v>
                </c:pt>
                <c:pt idx="45">
                  <c:v>2241.5106588837298</c:v>
                </c:pt>
                <c:pt idx="46">
                  <c:v>6838.8589189469103</c:v>
                </c:pt>
                <c:pt idx="47">
                  <c:v>7681.5391645892196</c:v>
                </c:pt>
                <c:pt idx="48">
                  <c:v>6116.6137308977604</c:v>
                </c:pt>
                <c:pt idx="49">
                  <c:v>5644.1634173198199</c:v>
                </c:pt>
                <c:pt idx="50">
                  <c:v>15459.9933057085</c:v>
                </c:pt>
                <c:pt idx="51">
                  <c:v>591.46168766818801</c:v>
                </c:pt>
                <c:pt idx="52">
                  <c:v>18016.324059697701</c:v>
                </c:pt>
                <c:pt idx="53">
                  <c:v>900.35069044776606</c:v>
                </c:pt>
                <c:pt idx="54">
                  <c:v>4122.4139823387404</c:v>
                </c:pt>
                <c:pt idx="55">
                  <c:v>31975.6054416712</c:v>
                </c:pt>
                <c:pt idx="56">
                  <c:v>30235.359941089599</c:v>
                </c:pt>
                <c:pt idx="57">
                  <c:v>13905.667632078999</c:v>
                </c:pt>
                <c:pt idx="58">
                  <c:v>798.55205284560702</c:v>
                </c:pt>
                <c:pt idx="59">
                  <c:v>4659.3832447998102</c:v>
                </c:pt>
                <c:pt idx="60">
                  <c:v>33734.808961206698</c:v>
                </c:pt>
                <c:pt idx="61">
                  <c:v>1641.30111721504</c:v>
                </c:pt>
                <c:pt idx="62">
                  <c:v>23605.618704504599</c:v>
                </c:pt>
                <c:pt idx="63">
                  <c:v>8766.1265965275707</c:v>
                </c:pt>
                <c:pt idx="64">
                  <c:v>5241.3399701983299</c:v>
                </c:pt>
                <c:pt idx="65">
                  <c:v>949.01823768103804</c:v>
                </c:pt>
                <c:pt idx="66">
                  <c:v>608.15570604341599</c:v>
                </c:pt>
                <c:pt idx="67">
                  <c:v>4082.5669752869799</c:v>
                </c:pt>
                <c:pt idx="68">
                  <c:v>1193.86547227648</c:v>
                </c:pt>
                <c:pt idx="69">
                  <c:v>3517.3177711097601</c:v>
                </c:pt>
                <c:pt idx="70">
                  <c:v>43928.426158980001</c:v>
                </c:pt>
                <c:pt idx="71">
                  <c:v>17329.595452535799</c:v>
                </c:pt>
                <c:pt idx="72">
                  <c:v>33948.124697364401</c:v>
                </c:pt>
                <c:pt idx="73">
                  <c:v>3162.6105770108102</c:v>
                </c:pt>
                <c:pt idx="74">
                  <c:v>4179.3469061666101</c:v>
                </c:pt>
                <c:pt idx="75">
                  <c:v>12474.9937581591</c:v>
                </c:pt>
                <c:pt idx="76">
                  <c:v>3707.7328456278401</c:v>
                </c:pt>
                <c:pt idx="77">
                  <c:v>34420.465983702801</c:v>
                </c:pt>
                <c:pt idx="78">
                  <c:v>26957.718655523</c:v>
                </c:pt>
                <c:pt idx="79">
                  <c:v>26559.135593817799</c:v>
                </c:pt>
                <c:pt idx="80">
                  <c:v>6969.5636108753197</c:v>
                </c:pt>
                <c:pt idx="81">
                  <c:v>30487.9385074249</c:v>
                </c:pt>
                <c:pt idx="82">
                  <c:v>5210.2742591594097</c:v>
                </c:pt>
                <c:pt idx="83">
                  <c:v>11523.6711006026</c:v>
                </c:pt>
                <c:pt idx="84">
                  <c:v>1496.46727985339</c:v>
                </c:pt>
                <c:pt idx="85">
                  <c:v>1548.61423344845</c:v>
                </c:pt>
                <c:pt idx="86">
                  <c:v>26206.2504808999</c:v>
                </c:pt>
                <c:pt idx="87">
                  <c:v>44729.861034886002</c:v>
                </c:pt>
                <c:pt idx="88">
                  <c:v>2111.7187025957501</c:v>
                </c:pt>
                <c:pt idx="89">
                  <c:v>2578.5014771174701</c:v>
                </c:pt>
                <c:pt idx="90">
                  <c:v>13854.8234314195</c:v>
                </c:pt>
                <c:pt idx="91">
                  <c:v>13488.8902835598</c:v>
                </c:pt>
                <c:pt idx="92">
                  <c:v>1874.8470074844299</c:v>
                </c:pt>
                <c:pt idx="93">
                  <c:v>425.36369883703401</c:v>
                </c:pt>
                <c:pt idx="94">
                  <c:v>4768.4099734245601</c:v>
                </c:pt>
                <c:pt idx="95">
                  <c:v>16400.332538932598</c:v>
                </c:pt>
                <c:pt idx="96">
                  <c:v>70061.729727083904</c:v>
                </c:pt>
                <c:pt idx="97">
                  <c:v>88084.114014654595</c:v>
                </c:pt>
                <c:pt idx="98">
                  <c:v>8896.0872692486791</c:v>
                </c:pt>
                <c:pt idx="99">
                  <c:v>976.32002623467997</c:v>
                </c:pt>
                <c:pt idx="100">
                  <c:v>865.54531568237201</c:v>
                </c:pt>
                <c:pt idx="101">
                  <c:v>13836.955920927299</c:v>
                </c:pt>
                <c:pt idx="102">
                  <c:v>5818.9235158420697</c:v>
                </c:pt>
                <c:pt idx="103">
                  <c:v>1116.70899961344</c:v>
                </c:pt>
                <c:pt idx="104">
                  <c:v>22116.147896123399</c:v>
                </c:pt>
                <c:pt idx="105">
                  <c:v>1838.7935405063099</c:v>
                </c:pt>
                <c:pt idx="106">
                  <c:v>12771.755287649001</c:v>
                </c:pt>
                <c:pt idx="107">
                  <c:v>11684.303449843601</c:v>
                </c:pt>
                <c:pt idx="108">
                  <c:v>2964.1351094085899</c:v>
                </c:pt>
                <c:pt idx="109">
                  <c:v>3865.3708787394398</c:v>
                </c:pt>
                <c:pt idx="110">
                  <c:v>10022.8256032384</c:v>
                </c:pt>
                <c:pt idx="111">
                  <c:v>4409.3795045962797</c:v>
                </c:pt>
                <c:pt idx="112">
                  <c:v>999.71134765831505</c:v>
                </c:pt>
                <c:pt idx="113">
                  <c:v>1590.14816435698</c:v>
                </c:pt>
                <c:pt idx="114">
                  <c:v>1306.7064642620901</c:v>
                </c:pt>
                <c:pt idx="115">
                  <c:v>36895.836566232298</c:v>
                </c:pt>
                <c:pt idx="116">
                  <c:v>2887.9629908007801</c:v>
                </c:pt>
                <c:pt idx="117">
                  <c:v>668.027215260758</c:v>
                </c:pt>
                <c:pt idx="118">
                  <c:v>2396.6197150437802</c:v>
                </c:pt>
                <c:pt idx="119">
                  <c:v>46882.052300299903</c:v>
                </c:pt>
                <c:pt idx="120">
                  <c:v>24334.004909283001</c:v>
                </c:pt>
                <c:pt idx="121">
                  <c:v>2640.2577997726899</c:v>
                </c:pt>
                <c:pt idx="122">
                  <c:v>12502.2532596371</c:v>
                </c:pt>
                <c:pt idx="123">
                  <c:v>2203.5997444906602</c:v>
                </c:pt>
                <c:pt idx="124">
                  <c:v>4687.6917655677698</c:v>
                </c:pt>
                <c:pt idx="125">
                  <c:v>8864.5802885610192</c:v>
                </c:pt>
                <c:pt idx="126">
                  <c:v>3441.4235950975899</c:v>
                </c:pt>
                <c:pt idx="127">
                  <c:v>17928.334170276699</c:v>
                </c:pt>
                <c:pt idx="128">
                  <c:v>19905.954788494</c:v>
                </c:pt>
                <c:pt idx="129">
                  <c:v>93818.238644163197</c:v>
                </c:pt>
                <c:pt idx="130">
                  <c:v>10964.4165597028</c:v>
                </c:pt>
                <c:pt idx="131">
                  <c:v>14737.633597472601</c:v>
                </c:pt>
                <c:pt idx="132">
                  <c:v>1123.54932921931</c:v>
                </c:pt>
                <c:pt idx="133">
                  <c:v>10598.284527166799</c:v>
                </c:pt>
                <c:pt idx="134">
                  <c:v>6919.0351866216297</c:v>
                </c:pt>
                <c:pt idx="135">
                  <c:v>4998.46060951032</c:v>
                </c:pt>
                <c:pt idx="136">
                  <c:v>1890.42761423612</c:v>
                </c:pt>
                <c:pt idx="137">
                  <c:v>21364.373679256401</c:v>
                </c:pt>
                <c:pt idx="138">
                  <c:v>1766.99899116757</c:v>
                </c:pt>
                <c:pt idx="139">
                  <c:v>9719.4334675106402</c:v>
                </c:pt>
                <c:pt idx="140">
                  <c:v>924.40833036860499</c:v>
                </c:pt>
                <c:pt idx="141">
                  <c:v>49683.2670995027</c:v>
                </c:pt>
                <c:pt idx="142">
                  <c:v>20364.907992967499</c:v>
                </c:pt>
                <c:pt idx="143">
                  <c:v>24873.731920551501</c:v>
                </c:pt>
                <c:pt idx="144">
                  <c:v>2011.50036406906</c:v>
                </c:pt>
                <c:pt idx="145">
                  <c:v>943.03545346007297</c:v>
                </c:pt>
                <c:pt idx="146">
                  <c:v>9482.0906633483501</c:v>
                </c:pt>
                <c:pt idx="147">
                  <c:v>26766.861768965398</c:v>
                </c:pt>
                <c:pt idx="148">
                  <c:v>4901.3384293941399</c:v>
                </c:pt>
                <c:pt idx="149">
                  <c:v>3181.9258911778002</c:v>
                </c:pt>
                <c:pt idx="150">
                  <c:v>8706.3139714571407</c:v>
                </c:pt>
                <c:pt idx="151">
                  <c:v>4728.5938167762497</c:v>
                </c:pt>
                <c:pt idx="152">
                  <c:v>34395.314132985201</c:v>
                </c:pt>
                <c:pt idx="153">
                  <c:v>37942.468433511203</c:v>
                </c:pt>
                <c:pt idx="154">
                  <c:v>4520</c:v>
                </c:pt>
                <c:pt idx="155">
                  <c:v>1842.56944444444</c:v>
                </c:pt>
                <c:pt idx="156">
                  <c:v>1348.36497915782</c:v>
                </c:pt>
                <c:pt idx="157">
                  <c:v>7982.6111904023901</c:v>
                </c:pt>
                <c:pt idx="158">
                  <c:v>3228.4111568130202</c:v>
                </c:pt>
                <c:pt idx="159">
                  <c:v>933.18012832357499</c:v>
                </c:pt>
                <c:pt idx="160">
                  <c:v>4885.70866717441</c:v>
                </c:pt>
                <c:pt idx="161">
                  <c:v>17459.849752842201</c:v>
                </c:pt>
                <c:pt idx="162">
                  <c:v>7520.8255283302296</c:v>
                </c:pt>
                <c:pt idx="163">
                  <c:v>9148.3311483060697</c:v>
                </c:pt>
                <c:pt idx="164">
                  <c:v>7256.5522475846601</c:v>
                </c:pt>
                <c:pt idx="165">
                  <c:v>1277.80560024325</c:v>
                </c:pt>
                <c:pt idx="166">
                  <c:v>6379.5811237656399</c:v>
                </c:pt>
                <c:pt idx="167">
                  <c:v>31984.851148594498</c:v>
                </c:pt>
                <c:pt idx="168">
                  <c:v>31330.4772417653</c:v>
                </c:pt>
                <c:pt idx="169">
                  <c:v>41728.140891156698</c:v>
                </c:pt>
                <c:pt idx="170">
                  <c:v>12741.7920245887</c:v>
                </c:pt>
                <c:pt idx="171">
                  <c:v>2947.2040023746699</c:v>
                </c:pt>
                <c:pt idx="172">
                  <c:v>4028.2320552086398</c:v>
                </c:pt>
                <c:pt idx="173">
                  <c:v>10958.0483576565</c:v>
                </c:pt>
                <c:pt idx="174">
                  <c:v>2961.8346049001502</c:v>
                </c:pt>
                <c:pt idx="175">
                  <c:v>2102.2164613979098</c:v>
                </c:pt>
                <c:pt idx="176">
                  <c:v>1476.9348293190501</c:v>
                </c:pt>
                <c:pt idx="177">
                  <c:v>511.25840754995198</c:v>
                </c:pt>
              </c:numCache>
            </c:numRef>
          </c:xVal>
          <c:yVal>
            <c:numRef>
              <c:f>'Life Exepectancy $'!$C$2:$C$179</c:f>
              <c:numCache>
                <c:formatCode>0</c:formatCode>
                <c:ptCount val="178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  <c:pt idx="25">
                  <c:v>50.411000000000001</c:v>
                </c:pt>
                <c:pt idx="26">
                  <c:v>63.125</c:v>
                </c:pt>
                <c:pt idx="27">
                  <c:v>51.61</c:v>
                </c:pt>
                <c:pt idx="28">
                  <c:v>81.012</c:v>
                </c:pt>
                <c:pt idx="29">
                  <c:v>74.156000000000006</c:v>
                </c:pt>
                <c:pt idx="30">
                  <c:v>48.398000000000003</c:v>
                </c:pt>
                <c:pt idx="31">
                  <c:v>49.552999999999997</c:v>
                </c:pt>
                <c:pt idx="32">
                  <c:v>79.12</c:v>
                </c:pt>
                <c:pt idx="33">
                  <c:v>73.456000000000003</c:v>
                </c:pt>
                <c:pt idx="34">
                  <c:v>73.703000000000003</c:v>
                </c:pt>
                <c:pt idx="35">
                  <c:v>61.061</c:v>
                </c:pt>
                <c:pt idx="36">
                  <c:v>48.396999999999998</c:v>
                </c:pt>
                <c:pt idx="37">
                  <c:v>57.378999999999998</c:v>
                </c:pt>
                <c:pt idx="38">
                  <c:v>79.311000000000007</c:v>
                </c:pt>
                <c:pt idx="39">
                  <c:v>55.377000000000002</c:v>
                </c:pt>
                <c:pt idx="40">
                  <c:v>76.64</c:v>
                </c:pt>
                <c:pt idx="41">
                  <c:v>79.143000000000001</c:v>
                </c:pt>
                <c:pt idx="42">
                  <c:v>79.590999999999994</c:v>
                </c:pt>
                <c:pt idx="43">
                  <c:v>77.685000000000002</c:v>
                </c:pt>
                <c:pt idx="44">
                  <c:v>78.825999999999993</c:v>
                </c:pt>
                <c:pt idx="45">
                  <c:v>57.936999999999998</c:v>
                </c:pt>
                <c:pt idx="46">
                  <c:v>73.396000000000001</c:v>
                </c:pt>
                <c:pt idx="47">
                  <c:v>75.632000000000005</c:v>
                </c:pt>
                <c:pt idx="48">
                  <c:v>73.234999999999999</c:v>
                </c:pt>
                <c:pt idx="49">
                  <c:v>72.195999999999998</c:v>
                </c:pt>
                <c:pt idx="50">
                  <c:v>51.088000000000001</c:v>
                </c:pt>
                <c:pt idx="51">
                  <c:v>61.597000000000001</c:v>
                </c:pt>
                <c:pt idx="52">
                  <c:v>74.825000000000003</c:v>
                </c:pt>
                <c:pt idx="53">
                  <c:v>59.274000000000001</c:v>
                </c:pt>
                <c:pt idx="54">
                  <c:v>69.245000000000005</c:v>
                </c:pt>
                <c:pt idx="55">
                  <c:v>79.977000000000004</c:v>
                </c:pt>
                <c:pt idx="56">
                  <c:v>81.539000000000001</c:v>
                </c:pt>
                <c:pt idx="57">
                  <c:v>62.703000000000003</c:v>
                </c:pt>
                <c:pt idx="58">
                  <c:v>58.491</c:v>
                </c:pt>
                <c:pt idx="59">
                  <c:v>73.736999999999995</c:v>
                </c:pt>
                <c:pt idx="60">
                  <c:v>80.414000000000001</c:v>
                </c:pt>
                <c:pt idx="61">
                  <c:v>64.227999999999994</c:v>
                </c:pt>
                <c:pt idx="62">
                  <c:v>79.915000000000006</c:v>
                </c:pt>
                <c:pt idx="63">
                  <c:v>75.956000000000003</c:v>
                </c:pt>
                <c:pt idx="64">
                  <c:v>71.171999999999997</c:v>
                </c:pt>
                <c:pt idx="65">
                  <c:v>54.097000000000001</c:v>
                </c:pt>
                <c:pt idx="66">
                  <c:v>48.131999999999998</c:v>
                </c:pt>
                <c:pt idx="67">
                  <c:v>69.927000000000007</c:v>
                </c:pt>
                <c:pt idx="68">
                  <c:v>62.094999999999999</c:v>
                </c:pt>
                <c:pt idx="69">
                  <c:v>73.126000000000005</c:v>
                </c:pt>
                <c:pt idx="70">
                  <c:v>82.759</c:v>
                </c:pt>
                <c:pt idx="71">
                  <c:v>74.414000000000001</c:v>
                </c:pt>
                <c:pt idx="72">
                  <c:v>81.804000000000002</c:v>
                </c:pt>
                <c:pt idx="73">
                  <c:v>65.438000000000002</c:v>
                </c:pt>
                <c:pt idx="74">
                  <c:v>69.366</c:v>
                </c:pt>
                <c:pt idx="75">
                  <c:v>72.974000000000004</c:v>
                </c:pt>
                <c:pt idx="76">
                  <c:v>69.042000000000002</c:v>
                </c:pt>
                <c:pt idx="77">
                  <c:v>80.557000000000002</c:v>
                </c:pt>
                <c:pt idx="78">
                  <c:v>81.617999999999995</c:v>
                </c:pt>
                <c:pt idx="79">
                  <c:v>81.855000000000004</c:v>
                </c:pt>
                <c:pt idx="80">
                  <c:v>73.126999999999995</c:v>
                </c:pt>
                <c:pt idx="81">
                  <c:v>83.394000000000005</c:v>
                </c:pt>
                <c:pt idx="82">
                  <c:v>73.403000000000006</c:v>
                </c:pt>
                <c:pt idx="83">
                  <c:v>67.016999999999996</c:v>
                </c:pt>
                <c:pt idx="84">
                  <c:v>57.134</c:v>
                </c:pt>
                <c:pt idx="85">
                  <c:v>68.846000000000004</c:v>
                </c:pt>
                <c:pt idx="86">
                  <c:v>80.641999999999996</c:v>
                </c:pt>
                <c:pt idx="87">
                  <c:v>74.575999999999993</c:v>
                </c:pt>
                <c:pt idx="88">
                  <c:v>67.713999999999999</c:v>
                </c:pt>
                <c:pt idx="89">
                  <c:v>67.483999999999995</c:v>
                </c:pt>
                <c:pt idx="90">
                  <c:v>73.338999999999999</c:v>
                </c:pt>
                <c:pt idx="91">
                  <c:v>72.64</c:v>
                </c:pt>
                <c:pt idx="92">
                  <c:v>48.195999999999998</c:v>
                </c:pt>
                <c:pt idx="93">
                  <c:v>56.786000000000001</c:v>
                </c:pt>
                <c:pt idx="94">
                  <c:v>74.787999999999997</c:v>
                </c:pt>
                <c:pt idx="95">
                  <c:v>72.230999999999995</c:v>
                </c:pt>
                <c:pt idx="96">
                  <c:v>79.962999999999994</c:v>
                </c:pt>
                <c:pt idx="97">
                  <c:v>80.933999999999997</c:v>
                </c:pt>
                <c:pt idx="98">
                  <c:v>74.846999999999994</c:v>
                </c:pt>
                <c:pt idx="99">
                  <c:v>66.718000000000004</c:v>
                </c:pt>
                <c:pt idx="100">
                  <c:v>54.21</c:v>
                </c:pt>
                <c:pt idx="101">
                  <c:v>74.221000000000004</c:v>
                </c:pt>
                <c:pt idx="102">
                  <c:v>76.847999999999999</c:v>
                </c:pt>
                <c:pt idx="103">
                  <c:v>51.444000000000003</c:v>
                </c:pt>
                <c:pt idx="104">
                  <c:v>79.634</c:v>
                </c:pt>
                <c:pt idx="105">
                  <c:v>58.582000000000001</c:v>
                </c:pt>
                <c:pt idx="106">
                  <c:v>73.373000000000005</c:v>
                </c:pt>
                <c:pt idx="107">
                  <c:v>76.953999999999994</c:v>
                </c:pt>
                <c:pt idx="108">
                  <c:v>69.316999999999993</c:v>
                </c:pt>
                <c:pt idx="109">
                  <c:v>68.498000000000005</c:v>
                </c:pt>
                <c:pt idx="110">
                  <c:v>74.572999999999993</c:v>
                </c:pt>
                <c:pt idx="111">
                  <c:v>72.150000000000006</c:v>
                </c:pt>
                <c:pt idx="112">
                  <c:v>50.238999999999997</c:v>
                </c:pt>
                <c:pt idx="113">
                  <c:v>65.192999999999998</c:v>
                </c:pt>
                <c:pt idx="114">
                  <c:v>80.733999999999995</c:v>
                </c:pt>
                <c:pt idx="115">
                  <c:v>76.652000000000001</c:v>
                </c:pt>
                <c:pt idx="116">
                  <c:v>74.043999999999997</c:v>
                </c:pt>
                <c:pt idx="117">
                  <c:v>54.674999999999997</c:v>
                </c:pt>
                <c:pt idx="118">
                  <c:v>51.878999999999998</c:v>
                </c:pt>
                <c:pt idx="119">
                  <c:v>81.096999999999994</c:v>
                </c:pt>
                <c:pt idx="120">
                  <c:v>72.974000000000004</c:v>
                </c:pt>
                <c:pt idx="121">
                  <c:v>65.436999999999998</c:v>
                </c:pt>
                <c:pt idx="122">
                  <c:v>76.128</c:v>
                </c:pt>
                <c:pt idx="123">
                  <c:v>62.790999999999997</c:v>
                </c:pt>
                <c:pt idx="124">
                  <c:v>72.477000000000004</c:v>
                </c:pt>
                <c:pt idx="125">
                  <c:v>73.989999999999995</c:v>
                </c:pt>
                <c:pt idx="126">
                  <c:v>68.748999999999995</c:v>
                </c:pt>
                <c:pt idx="127">
                  <c:v>76.126000000000005</c:v>
                </c:pt>
                <c:pt idx="128">
                  <c:v>79.498999999999995</c:v>
                </c:pt>
                <c:pt idx="129">
                  <c:v>78.370999999999995</c:v>
                </c:pt>
                <c:pt idx="130">
                  <c:v>73.978999999999999</c:v>
                </c:pt>
                <c:pt idx="131">
                  <c:v>68.822999999999993</c:v>
                </c:pt>
                <c:pt idx="132">
                  <c:v>55.442</c:v>
                </c:pt>
                <c:pt idx="133">
                  <c:v>74.641000000000005</c:v>
                </c:pt>
                <c:pt idx="134">
                  <c:v>72.283000000000001</c:v>
                </c:pt>
                <c:pt idx="135">
                  <c:v>72.444000000000003</c:v>
                </c:pt>
                <c:pt idx="136">
                  <c:v>64.665999999999997</c:v>
                </c:pt>
                <c:pt idx="137">
                  <c:v>73.911000000000001</c:v>
                </c:pt>
                <c:pt idx="138">
                  <c:v>59.317999999999998</c:v>
                </c:pt>
                <c:pt idx="139">
                  <c:v>74.522000000000006</c:v>
                </c:pt>
                <c:pt idx="140">
                  <c:v>47.793999999999997</c:v>
                </c:pt>
                <c:pt idx="141">
                  <c:v>81.126000000000005</c:v>
                </c:pt>
                <c:pt idx="142">
                  <c:v>75.445999999999998</c:v>
                </c:pt>
                <c:pt idx="143">
                  <c:v>79.340999999999994</c:v>
                </c:pt>
                <c:pt idx="144">
                  <c:v>67.852000000000004</c:v>
                </c:pt>
                <c:pt idx="145">
                  <c:v>51.219000000000001</c:v>
                </c:pt>
                <c:pt idx="146">
                  <c:v>52.796999999999997</c:v>
                </c:pt>
                <c:pt idx="147">
                  <c:v>81.403999999999996</c:v>
                </c:pt>
                <c:pt idx="148">
                  <c:v>74.941000000000003</c:v>
                </c:pt>
                <c:pt idx="149">
                  <c:v>61.451999999999998</c:v>
                </c:pt>
                <c:pt idx="150">
                  <c:v>70.563000000000002</c:v>
                </c:pt>
                <c:pt idx="151">
                  <c:v>48.718000000000004</c:v>
                </c:pt>
                <c:pt idx="152">
                  <c:v>81.438999999999993</c:v>
                </c:pt>
                <c:pt idx="153">
                  <c:v>82.337999999999994</c:v>
                </c:pt>
                <c:pt idx="154">
                  <c:v>75.849999999999994</c:v>
                </c:pt>
                <c:pt idx="155">
                  <c:v>67.528999999999996</c:v>
                </c:pt>
                <c:pt idx="156">
                  <c:v>58.198999999999998</c:v>
                </c:pt>
                <c:pt idx="157">
                  <c:v>74.126000000000005</c:v>
                </c:pt>
                <c:pt idx="158">
                  <c:v>62.475000000000001</c:v>
                </c:pt>
                <c:pt idx="159">
                  <c:v>57.061999999999998</c:v>
                </c:pt>
                <c:pt idx="160">
                  <c:v>72.316999999999993</c:v>
                </c:pt>
                <c:pt idx="161">
                  <c:v>70.123999999999995</c:v>
                </c:pt>
                <c:pt idx="162">
                  <c:v>74.515000000000001</c:v>
                </c:pt>
                <c:pt idx="163">
                  <c:v>73.978999999999999</c:v>
                </c:pt>
                <c:pt idx="164">
                  <c:v>64.986000000000004</c:v>
                </c:pt>
                <c:pt idx="165">
                  <c:v>54.116</c:v>
                </c:pt>
                <c:pt idx="166">
                  <c:v>68.494</c:v>
                </c:pt>
                <c:pt idx="167">
                  <c:v>76.546000000000006</c:v>
                </c:pt>
                <c:pt idx="168">
                  <c:v>80.17</c:v>
                </c:pt>
                <c:pt idx="169">
                  <c:v>78.531000000000006</c:v>
                </c:pt>
                <c:pt idx="170">
                  <c:v>77.004999999999995</c:v>
                </c:pt>
                <c:pt idx="171">
                  <c:v>68.287000000000006</c:v>
                </c:pt>
                <c:pt idx="172">
                  <c:v>71.016999999999996</c:v>
                </c:pt>
                <c:pt idx="173">
                  <c:v>74.402000000000001</c:v>
                </c:pt>
                <c:pt idx="174">
                  <c:v>75.180999999999997</c:v>
                </c:pt>
                <c:pt idx="175">
                  <c:v>65.492999999999995</c:v>
                </c:pt>
                <c:pt idx="176">
                  <c:v>49.024999999999999</c:v>
                </c:pt>
                <c:pt idx="177">
                  <c:v>51.384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ABC-BC94-125680D7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17360"/>
        <c:axId val="244517752"/>
      </c:scatterChart>
      <c:valAx>
        <c:axId val="2445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7752"/>
        <c:crosses val="autoZero"/>
        <c:crossBetween val="midCat"/>
      </c:valAx>
      <c:valAx>
        <c:axId val="2445177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'Creating Life Expectancy $'!$C$1</c:f>
              <c:strCache>
                <c:ptCount val="1"/>
                <c:pt idx="0">
                  <c:v>2011 GDP per capita (PPP) with projections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'Creating Life Expectancy $'!$B$2:$B$26</c:f>
              <c:numCache>
                <c:formatCode>0</c:formatCode>
                <c:ptCount val="25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</c:numCache>
            </c:numRef>
          </c:xVal>
          <c:yVal>
            <c:numRef>
              <c:f>'Creating Life Expectancy $'!$C$2:$C$26</c:f>
              <c:numCache>
                <c:formatCode>"$"#,##0</c:formatCode>
                <c:ptCount val="25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F-464D-BA79-1039A0AF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18536"/>
        <c:axId val="244518928"/>
      </c:scatterChart>
      <c:valAx>
        <c:axId val="24451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8928"/>
        <c:crosses val="autoZero"/>
        <c:crossBetween val="midCat"/>
      </c:valAx>
      <c:valAx>
        <c:axId val="244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B-44C8-8EA2-2E96CF3D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54352"/>
        <c:axId val="323156704"/>
      </c:lineChart>
      <c:dateAx>
        <c:axId val="323154352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6704"/>
        <c:crosses val="autoZero"/>
        <c:auto val="1"/>
        <c:lblOffset val="100"/>
        <c:baseTimeUnit val="days"/>
      </c:dateAx>
      <c:valAx>
        <c:axId val="3231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'Creating Life Expectancy $'!$O$1</c:f>
              <c:strCache>
                <c:ptCount val="1"/>
                <c:pt idx="0">
                  <c:v>2011 Life expectancy at birth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'Creating Life Expectancy $'!$N$2:$N$26</c:f>
              <c:numCache>
                <c:formatCode>"$"#,##0</c:formatCode>
                <c:ptCount val="25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</c:numCache>
            </c:numRef>
          </c:xVal>
          <c:yVal>
            <c:numRef>
              <c:f>'Creating Life Expectancy $'!$O$2:$O$26</c:f>
              <c:numCache>
                <c:formatCode>0</c:formatCode>
                <c:ptCount val="25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EB0-9881-D8D82811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19712"/>
        <c:axId val="244520104"/>
      </c:scatterChart>
      <c:valAx>
        <c:axId val="244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0104"/>
        <c:crosses val="autoZero"/>
        <c:crossBetween val="midCat"/>
      </c:valAx>
      <c:valAx>
        <c:axId val="2445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2'!$C$3</c:f>
              <c:strCache>
                <c:ptCount val="1"/>
                <c:pt idx="0">
                  <c:v>Food Consumption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'Scatter 2'!$B$4:$B$11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</c:numCache>
            </c:numRef>
          </c:xVal>
          <c:yVal>
            <c:numRef>
              <c:f>'Scatter 2'!$C$4:$C$11</c:f>
              <c:numCache>
                <c:formatCode>General</c:formatCode>
                <c:ptCount val="8"/>
                <c:pt idx="0">
                  <c:v>19</c:v>
                </c:pt>
                <c:pt idx="1">
                  <c:v>40</c:v>
                </c:pt>
                <c:pt idx="2">
                  <c:v>25</c:v>
                </c:pt>
                <c:pt idx="3">
                  <c:v>23</c:v>
                </c:pt>
                <c:pt idx="4">
                  <c:v>56</c:v>
                </c:pt>
                <c:pt idx="5">
                  <c:v>41</c:v>
                </c:pt>
                <c:pt idx="6">
                  <c:v>22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9-4912-B7F6-FCF66254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20888"/>
        <c:axId val="244713512"/>
      </c:scatterChart>
      <c:valAx>
        <c:axId val="24452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3512"/>
        <c:crosses val="autoZero"/>
        <c:crossBetween val="midCat"/>
      </c:valAx>
      <c:valAx>
        <c:axId val="2447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2'!$K$3</c:f>
              <c:strCache>
                <c:ptCount val="1"/>
                <c:pt idx="0">
                  <c:v>Absences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2'!$J$4:$J$19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35</c:v>
                </c:pt>
                <c:pt idx="6">
                  <c:v>41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53</c:v>
                </c:pt>
                <c:pt idx="11">
                  <c:v>55</c:v>
                </c:pt>
                <c:pt idx="12">
                  <c:v>62</c:v>
                </c:pt>
                <c:pt idx="13">
                  <c:v>64</c:v>
                </c:pt>
                <c:pt idx="14">
                  <c:v>65</c:v>
                </c:pt>
                <c:pt idx="15">
                  <c:v>67</c:v>
                </c:pt>
              </c:numCache>
            </c:numRef>
          </c:xVal>
          <c:yVal>
            <c:numRef>
              <c:f>'Scatter 2'!$K$4:$K$19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D-4705-A741-640071C7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4296"/>
        <c:axId val="244714688"/>
      </c:scatterChart>
      <c:valAx>
        <c:axId val="2447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4688"/>
        <c:crosses val="autoZero"/>
        <c:crossBetween val="midCat"/>
      </c:valAx>
      <c:valAx>
        <c:axId val="2447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2'!$U$3</c:f>
              <c:strCache>
                <c:ptCount val="1"/>
                <c:pt idx="0">
                  <c:v>Weeks of Survial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'Scatter 2'!$T$4:$T$24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'Scatter 2'!$U$4:$U$24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7-4757-AC0D-18A91382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5472"/>
        <c:axId val="244715864"/>
      </c:scatterChart>
      <c:valAx>
        <c:axId val="2447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5864"/>
        <c:crosses val="autoZero"/>
        <c:crossBetween val="midCat"/>
      </c:valAx>
      <c:valAx>
        <c:axId val="2447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'Area Stacked'!$C$2</c:f>
              <c:strCache>
                <c:ptCount val="1"/>
                <c:pt idx="0">
                  <c:v>Bob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Stacked'!$C$3:$C$54</c:f>
              <c:numCache>
                <c:formatCode>"$"#,##0</c:formatCode>
                <c:ptCount val="52"/>
                <c:pt idx="0">
                  <c:v>25000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30000</c:v>
                </c:pt>
                <c:pt idx="6">
                  <c:v>25000</c:v>
                </c:pt>
                <c:pt idx="7">
                  <c:v>15000</c:v>
                </c:pt>
                <c:pt idx="8">
                  <c:v>10000</c:v>
                </c:pt>
                <c:pt idx="9">
                  <c:v>40000</c:v>
                </c:pt>
                <c:pt idx="10">
                  <c:v>25000</c:v>
                </c:pt>
                <c:pt idx="11">
                  <c:v>30000</c:v>
                </c:pt>
                <c:pt idx="12">
                  <c:v>50000</c:v>
                </c:pt>
                <c:pt idx="13">
                  <c:v>60000</c:v>
                </c:pt>
                <c:pt idx="14">
                  <c:v>30000</c:v>
                </c:pt>
                <c:pt idx="15">
                  <c:v>25000</c:v>
                </c:pt>
                <c:pt idx="16">
                  <c:v>15000</c:v>
                </c:pt>
                <c:pt idx="17">
                  <c:v>10000</c:v>
                </c:pt>
                <c:pt idx="18">
                  <c:v>40000</c:v>
                </c:pt>
                <c:pt idx="19">
                  <c:v>15000</c:v>
                </c:pt>
                <c:pt idx="20">
                  <c:v>10000</c:v>
                </c:pt>
                <c:pt idx="21">
                  <c:v>40000</c:v>
                </c:pt>
                <c:pt idx="22">
                  <c:v>25000</c:v>
                </c:pt>
                <c:pt idx="23">
                  <c:v>30000</c:v>
                </c:pt>
                <c:pt idx="24">
                  <c:v>50000</c:v>
                </c:pt>
                <c:pt idx="25">
                  <c:v>60000</c:v>
                </c:pt>
                <c:pt idx="26">
                  <c:v>30000</c:v>
                </c:pt>
                <c:pt idx="27">
                  <c:v>25000</c:v>
                </c:pt>
                <c:pt idx="28">
                  <c:v>15000</c:v>
                </c:pt>
                <c:pt idx="29">
                  <c:v>10000</c:v>
                </c:pt>
                <c:pt idx="30">
                  <c:v>40000</c:v>
                </c:pt>
                <c:pt idx="31">
                  <c:v>40000</c:v>
                </c:pt>
                <c:pt idx="32">
                  <c:v>15000</c:v>
                </c:pt>
                <c:pt idx="33">
                  <c:v>10000</c:v>
                </c:pt>
                <c:pt idx="34">
                  <c:v>40000</c:v>
                </c:pt>
                <c:pt idx="35">
                  <c:v>25000</c:v>
                </c:pt>
                <c:pt idx="36">
                  <c:v>30000</c:v>
                </c:pt>
                <c:pt idx="37">
                  <c:v>50000</c:v>
                </c:pt>
                <c:pt idx="38">
                  <c:v>60000</c:v>
                </c:pt>
                <c:pt idx="39">
                  <c:v>30000</c:v>
                </c:pt>
                <c:pt idx="40">
                  <c:v>30000</c:v>
                </c:pt>
                <c:pt idx="41">
                  <c:v>25000</c:v>
                </c:pt>
                <c:pt idx="42">
                  <c:v>15000</c:v>
                </c:pt>
                <c:pt idx="43">
                  <c:v>10000</c:v>
                </c:pt>
                <c:pt idx="44">
                  <c:v>40000</c:v>
                </c:pt>
                <c:pt idx="45">
                  <c:v>40000</c:v>
                </c:pt>
                <c:pt idx="46">
                  <c:v>15000</c:v>
                </c:pt>
                <c:pt idx="47">
                  <c:v>10000</c:v>
                </c:pt>
                <c:pt idx="48">
                  <c:v>40000</c:v>
                </c:pt>
                <c:pt idx="49">
                  <c:v>15000</c:v>
                </c:pt>
                <c:pt idx="50">
                  <c:v>10000</c:v>
                </c:pt>
                <c:pt idx="5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A-4B1C-91E7-409DBD055529}"/>
            </c:ext>
          </c:extLst>
        </c:ser>
        <c:ser>
          <c:idx val="1"/>
          <c:order val="1"/>
          <c:tx>
            <c:strRef>
              <c:f>'Area Stacked'!$D$2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Stacked'!$D$3:$D$54</c:f>
              <c:numCache>
                <c:formatCode>"$"#,##0</c:formatCode>
                <c:ptCount val="52"/>
                <c:pt idx="0">
                  <c:v>20000</c:v>
                </c:pt>
                <c:pt idx="1">
                  <c:v>24000</c:v>
                </c:pt>
                <c:pt idx="2">
                  <c:v>32000</c:v>
                </c:pt>
                <c:pt idx="3">
                  <c:v>40000</c:v>
                </c:pt>
                <c:pt idx="4">
                  <c:v>48000</c:v>
                </c:pt>
                <c:pt idx="5">
                  <c:v>24000</c:v>
                </c:pt>
                <c:pt idx="6">
                  <c:v>20000</c:v>
                </c:pt>
                <c:pt idx="7">
                  <c:v>12000</c:v>
                </c:pt>
                <c:pt idx="8">
                  <c:v>8000</c:v>
                </c:pt>
                <c:pt idx="9">
                  <c:v>32000</c:v>
                </c:pt>
                <c:pt idx="10">
                  <c:v>20000</c:v>
                </c:pt>
                <c:pt idx="11">
                  <c:v>24000</c:v>
                </c:pt>
                <c:pt idx="12">
                  <c:v>40000</c:v>
                </c:pt>
                <c:pt idx="13">
                  <c:v>48000</c:v>
                </c:pt>
                <c:pt idx="14">
                  <c:v>24000</c:v>
                </c:pt>
                <c:pt idx="15">
                  <c:v>20000</c:v>
                </c:pt>
                <c:pt idx="16">
                  <c:v>12000</c:v>
                </c:pt>
                <c:pt idx="17">
                  <c:v>8000</c:v>
                </c:pt>
                <c:pt idx="18">
                  <c:v>32000</c:v>
                </c:pt>
                <c:pt idx="19">
                  <c:v>12000</c:v>
                </c:pt>
                <c:pt idx="20">
                  <c:v>8000</c:v>
                </c:pt>
                <c:pt idx="21">
                  <c:v>32000</c:v>
                </c:pt>
                <c:pt idx="22">
                  <c:v>20000</c:v>
                </c:pt>
                <c:pt idx="23">
                  <c:v>24000</c:v>
                </c:pt>
                <c:pt idx="24">
                  <c:v>40000</c:v>
                </c:pt>
                <c:pt idx="25">
                  <c:v>48000</c:v>
                </c:pt>
                <c:pt idx="26">
                  <c:v>24000</c:v>
                </c:pt>
                <c:pt idx="27">
                  <c:v>20000</c:v>
                </c:pt>
                <c:pt idx="28">
                  <c:v>12000</c:v>
                </c:pt>
                <c:pt idx="29">
                  <c:v>8000</c:v>
                </c:pt>
                <c:pt idx="30">
                  <c:v>32000</c:v>
                </c:pt>
                <c:pt idx="31">
                  <c:v>32000</c:v>
                </c:pt>
                <c:pt idx="32">
                  <c:v>12000</c:v>
                </c:pt>
                <c:pt idx="33">
                  <c:v>8000</c:v>
                </c:pt>
                <c:pt idx="34">
                  <c:v>32000</c:v>
                </c:pt>
                <c:pt idx="35">
                  <c:v>20000</c:v>
                </c:pt>
                <c:pt idx="36">
                  <c:v>24000</c:v>
                </c:pt>
                <c:pt idx="37">
                  <c:v>40000</c:v>
                </c:pt>
                <c:pt idx="38">
                  <c:v>48000</c:v>
                </c:pt>
                <c:pt idx="39">
                  <c:v>24000</c:v>
                </c:pt>
                <c:pt idx="40">
                  <c:v>24000</c:v>
                </c:pt>
                <c:pt idx="41">
                  <c:v>20000</c:v>
                </c:pt>
                <c:pt idx="42">
                  <c:v>12000</c:v>
                </c:pt>
                <c:pt idx="43">
                  <c:v>8000</c:v>
                </c:pt>
                <c:pt idx="44">
                  <c:v>32000</c:v>
                </c:pt>
                <c:pt idx="45">
                  <c:v>32000</c:v>
                </c:pt>
                <c:pt idx="46">
                  <c:v>12000</c:v>
                </c:pt>
                <c:pt idx="47">
                  <c:v>8000</c:v>
                </c:pt>
                <c:pt idx="48">
                  <c:v>32000</c:v>
                </c:pt>
                <c:pt idx="49">
                  <c:v>12000</c:v>
                </c:pt>
                <c:pt idx="50">
                  <c:v>8000</c:v>
                </c:pt>
                <c:pt idx="51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A-4B1C-91E7-409DBD055529}"/>
            </c:ext>
          </c:extLst>
        </c:ser>
        <c:ser>
          <c:idx val="2"/>
          <c:order val="2"/>
          <c:tx>
            <c:strRef>
              <c:f>'Area Stacked'!$E$2</c:f>
              <c:strCache>
                <c:ptCount val="1"/>
                <c:pt idx="0">
                  <c:v>Joe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Stacked'!$E$3:$E$54</c:f>
              <c:numCache>
                <c:formatCode>"$"#,##0</c:formatCode>
                <c:ptCount val="52"/>
                <c:pt idx="0">
                  <c:v>14000</c:v>
                </c:pt>
                <c:pt idx="1">
                  <c:v>16800</c:v>
                </c:pt>
                <c:pt idx="2">
                  <c:v>22400</c:v>
                </c:pt>
                <c:pt idx="3">
                  <c:v>28000</c:v>
                </c:pt>
                <c:pt idx="4">
                  <c:v>33600</c:v>
                </c:pt>
                <c:pt idx="5">
                  <c:v>16800</c:v>
                </c:pt>
                <c:pt idx="6">
                  <c:v>14000</c:v>
                </c:pt>
                <c:pt idx="7">
                  <c:v>8400</c:v>
                </c:pt>
                <c:pt idx="8">
                  <c:v>5600</c:v>
                </c:pt>
                <c:pt idx="9">
                  <c:v>22400</c:v>
                </c:pt>
                <c:pt idx="10">
                  <c:v>14000</c:v>
                </c:pt>
                <c:pt idx="11">
                  <c:v>16800</c:v>
                </c:pt>
                <c:pt idx="12">
                  <c:v>28000</c:v>
                </c:pt>
                <c:pt idx="13">
                  <c:v>33600</c:v>
                </c:pt>
                <c:pt idx="14">
                  <c:v>16800</c:v>
                </c:pt>
                <c:pt idx="15">
                  <c:v>14000</c:v>
                </c:pt>
                <c:pt idx="16">
                  <c:v>8400</c:v>
                </c:pt>
                <c:pt idx="17">
                  <c:v>5600</c:v>
                </c:pt>
                <c:pt idx="18">
                  <c:v>22400</c:v>
                </c:pt>
                <c:pt idx="19">
                  <c:v>8400</c:v>
                </c:pt>
                <c:pt idx="20">
                  <c:v>5600</c:v>
                </c:pt>
                <c:pt idx="21">
                  <c:v>22400</c:v>
                </c:pt>
                <c:pt idx="22">
                  <c:v>14000</c:v>
                </c:pt>
                <c:pt idx="23">
                  <c:v>16800</c:v>
                </c:pt>
                <c:pt idx="24">
                  <c:v>28000</c:v>
                </c:pt>
                <c:pt idx="25">
                  <c:v>33600</c:v>
                </c:pt>
                <c:pt idx="26">
                  <c:v>16800</c:v>
                </c:pt>
                <c:pt idx="27">
                  <c:v>14000</c:v>
                </c:pt>
                <c:pt idx="28">
                  <c:v>8400</c:v>
                </c:pt>
                <c:pt idx="29">
                  <c:v>5600</c:v>
                </c:pt>
                <c:pt idx="30">
                  <c:v>22400</c:v>
                </c:pt>
                <c:pt idx="31">
                  <c:v>22400</c:v>
                </c:pt>
                <c:pt idx="32">
                  <c:v>8400</c:v>
                </c:pt>
                <c:pt idx="33">
                  <c:v>5600</c:v>
                </c:pt>
                <c:pt idx="34">
                  <c:v>22400</c:v>
                </c:pt>
                <c:pt idx="35">
                  <c:v>14000</c:v>
                </c:pt>
                <c:pt idx="36">
                  <c:v>16800</c:v>
                </c:pt>
                <c:pt idx="37">
                  <c:v>28000</c:v>
                </c:pt>
                <c:pt idx="38">
                  <c:v>33600</c:v>
                </c:pt>
                <c:pt idx="39">
                  <c:v>16800</c:v>
                </c:pt>
                <c:pt idx="40">
                  <c:v>16800</c:v>
                </c:pt>
                <c:pt idx="41">
                  <c:v>14000</c:v>
                </c:pt>
                <c:pt idx="42">
                  <c:v>8400</c:v>
                </c:pt>
                <c:pt idx="43">
                  <c:v>5600</c:v>
                </c:pt>
                <c:pt idx="44">
                  <c:v>22400</c:v>
                </c:pt>
                <c:pt idx="45">
                  <c:v>22400</c:v>
                </c:pt>
                <c:pt idx="46">
                  <c:v>8400</c:v>
                </c:pt>
                <c:pt idx="47">
                  <c:v>5600</c:v>
                </c:pt>
                <c:pt idx="48">
                  <c:v>22400</c:v>
                </c:pt>
                <c:pt idx="49">
                  <c:v>8400</c:v>
                </c:pt>
                <c:pt idx="50">
                  <c:v>5600</c:v>
                </c:pt>
                <c:pt idx="51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A-4B1C-91E7-409DBD055529}"/>
            </c:ext>
          </c:extLst>
        </c:ser>
        <c:ser>
          <c:idx val="3"/>
          <c:order val="3"/>
          <c:tx>
            <c:strRef>
              <c:f>'Area Stacked'!$F$2</c:f>
              <c:strCache>
                <c:ptCount val="1"/>
                <c:pt idx="0">
                  <c:v>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Stacked'!$F$3:$F$54</c:f>
              <c:numCache>
                <c:formatCode>"$"#,##0</c:formatCode>
                <c:ptCount val="52"/>
                <c:pt idx="0">
                  <c:v>7000</c:v>
                </c:pt>
                <c:pt idx="1">
                  <c:v>8400</c:v>
                </c:pt>
                <c:pt idx="2">
                  <c:v>11200</c:v>
                </c:pt>
                <c:pt idx="3">
                  <c:v>14000</c:v>
                </c:pt>
                <c:pt idx="4">
                  <c:v>16800</c:v>
                </c:pt>
                <c:pt idx="5">
                  <c:v>8400</c:v>
                </c:pt>
                <c:pt idx="6">
                  <c:v>7000</c:v>
                </c:pt>
                <c:pt idx="7">
                  <c:v>4200</c:v>
                </c:pt>
                <c:pt idx="8">
                  <c:v>2800</c:v>
                </c:pt>
                <c:pt idx="9">
                  <c:v>11200</c:v>
                </c:pt>
                <c:pt idx="10">
                  <c:v>7000</c:v>
                </c:pt>
                <c:pt idx="11">
                  <c:v>8400</c:v>
                </c:pt>
                <c:pt idx="12">
                  <c:v>14000</c:v>
                </c:pt>
                <c:pt idx="13">
                  <c:v>16800</c:v>
                </c:pt>
                <c:pt idx="14">
                  <c:v>8400</c:v>
                </c:pt>
                <c:pt idx="15">
                  <c:v>7000</c:v>
                </c:pt>
                <c:pt idx="16">
                  <c:v>4200</c:v>
                </c:pt>
                <c:pt idx="17">
                  <c:v>2800</c:v>
                </c:pt>
                <c:pt idx="18">
                  <c:v>11200</c:v>
                </c:pt>
                <c:pt idx="19">
                  <c:v>4200</c:v>
                </c:pt>
                <c:pt idx="20">
                  <c:v>2800</c:v>
                </c:pt>
                <c:pt idx="21">
                  <c:v>11200</c:v>
                </c:pt>
                <c:pt idx="22">
                  <c:v>7000</c:v>
                </c:pt>
                <c:pt idx="23">
                  <c:v>8400</c:v>
                </c:pt>
                <c:pt idx="24">
                  <c:v>14000</c:v>
                </c:pt>
                <c:pt idx="25">
                  <c:v>16800</c:v>
                </c:pt>
                <c:pt idx="26">
                  <c:v>8400</c:v>
                </c:pt>
                <c:pt idx="27">
                  <c:v>7000</c:v>
                </c:pt>
                <c:pt idx="28">
                  <c:v>4200</c:v>
                </c:pt>
                <c:pt idx="29">
                  <c:v>2800</c:v>
                </c:pt>
                <c:pt idx="30">
                  <c:v>11200</c:v>
                </c:pt>
                <c:pt idx="31">
                  <c:v>11200</c:v>
                </c:pt>
                <c:pt idx="32">
                  <c:v>4200</c:v>
                </c:pt>
                <c:pt idx="33">
                  <c:v>2800</c:v>
                </c:pt>
                <c:pt idx="34">
                  <c:v>11200</c:v>
                </c:pt>
                <c:pt idx="35">
                  <c:v>7000</c:v>
                </c:pt>
                <c:pt idx="36">
                  <c:v>8400</c:v>
                </c:pt>
                <c:pt idx="37">
                  <c:v>14000</c:v>
                </c:pt>
                <c:pt idx="38">
                  <c:v>16800</c:v>
                </c:pt>
                <c:pt idx="39">
                  <c:v>8400</c:v>
                </c:pt>
                <c:pt idx="40">
                  <c:v>8400</c:v>
                </c:pt>
                <c:pt idx="41">
                  <c:v>7000</c:v>
                </c:pt>
                <c:pt idx="42">
                  <c:v>4200</c:v>
                </c:pt>
                <c:pt idx="43">
                  <c:v>2800</c:v>
                </c:pt>
                <c:pt idx="44">
                  <c:v>11200</c:v>
                </c:pt>
                <c:pt idx="45">
                  <c:v>11200</c:v>
                </c:pt>
                <c:pt idx="46">
                  <c:v>4200</c:v>
                </c:pt>
                <c:pt idx="47">
                  <c:v>2800</c:v>
                </c:pt>
                <c:pt idx="48">
                  <c:v>11200</c:v>
                </c:pt>
                <c:pt idx="49">
                  <c:v>4200</c:v>
                </c:pt>
                <c:pt idx="50">
                  <c:v>2800</c:v>
                </c:pt>
                <c:pt idx="51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3A-4B1C-91E7-409DBD055529}"/>
            </c:ext>
          </c:extLst>
        </c:ser>
        <c:ser>
          <c:idx val="4"/>
          <c:order val="4"/>
          <c:tx>
            <c:strRef>
              <c:f>'Area Stacked'!$G$2</c:f>
              <c:strCache>
                <c:ptCount val="1"/>
                <c:pt idx="0">
                  <c:v>Rick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Stacked'!$G$3:$G$54</c:f>
              <c:numCache>
                <c:formatCode>"$"#,##0</c:formatCode>
                <c:ptCount val="52"/>
                <c:pt idx="0">
                  <c:v>7700</c:v>
                </c:pt>
                <c:pt idx="1">
                  <c:v>9240</c:v>
                </c:pt>
                <c:pt idx="2">
                  <c:v>12320</c:v>
                </c:pt>
                <c:pt idx="3">
                  <c:v>15400</c:v>
                </c:pt>
                <c:pt idx="4">
                  <c:v>18480</c:v>
                </c:pt>
                <c:pt idx="5">
                  <c:v>9240</c:v>
                </c:pt>
                <c:pt idx="6">
                  <c:v>7700</c:v>
                </c:pt>
                <c:pt idx="7">
                  <c:v>4620</c:v>
                </c:pt>
                <c:pt idx="8">
                  <c:v>3080</c:v>
                </c:pt>
                <c:pt idx="9">
                  <c:v>12320</c:v>
                </c:pt>
                <c:pt idx="10">
                  <c:v>7700</c:v>
                </c:pt>
                <c:pt idx="11">
                  <c:v>9240</c:v>
                </c:pt>
                <c:pt idx="12">
                  <c:v>15400</c:v>
                </c:pt>
                <c:pt idx="13">
                  <c:v>18480</c:v>
                </c:pt>
                <c:pt idx="14">
                  <c:v>9240</c:v>
                </c:pt>
                <c:pt idx="15">
                  <c:v>7700</c:v>
                </c:pt>
                <c:pt idx="16">
                  <c:v>4620</c:v>
                </c:pt>
                <c:pt idx="17">
                  <c:v>3080</c:v>
                </c:pt>
                <c:pt idx="18">
                  <c:v>12320</c:v>
                </c:pt>
                <c:pt idx="19">
                  <c:v>4620</c:v>
                </c:pt>
                <c:pt idx="20">
                  <c:v>3080</c:v>
                </c:pt>
                <c:pt idx="21">
                  <c:v>12320</c:v>
                </c:pt>
                <c:pt idx="22">
                  <c:v>7700</c:v>
                </c:pt>
                <c:pt idx="23">
                  <c:v>9240</c:v>
                </c:pt>
                <c:pt idx="24">
                  <c:v>15400</c:v>
                </c:pt>
                <c:pt idx="25">
                  <c:v>18480</c:v>
                </c:pt>
                <c:pt idx="26">
                  <c:v>9240</c:v>
                </c:pt>
                <c:pt idx="27">
                  <c:v>7700</c:v>
                </c:pt>
                <c:pt idx="28">
                  <c:v>4620</c:v>
                </c:pt>
                <c:pt idx="29">
                  <c:v>3080</c:v>
                </c:pt>
                <c:pt idx="30">
                  <c:v>12320</c:v>
                </c:pt>
                <c:pt idx="31">
                  <c:v>12320</c:v>
                </c:pt>
                <c:pt idx="32">
                  <c:v>4620</c:v>
                </c:pt>
                <c:pt idx="33">
                  <c:v>3080</c:v>
                </c:pt>
                <c:pt idx="34">
                  <c:v>12320</c:v>
                </c:pt>
                <c:pt idx="35">
                  <c:v>7700</c:v>
                </c:pt>
                <c:pt idx="36">
                  <c:v>9240</c:v>
                </c:pt>
                <c:pt idx="37">
                  <c:v>15400</c:v>
                </c:pt>
                <c:pt idx="38">
                  <c:v>18480</c:v>
                </c:pt>
                <c:pt idx="39">
                  <c:v>9240</c:v>
                </c:pt>
                <c:pt idx="40">
                  <c:v>9240</c:v>
                </c:pt>
                <c:pt idx="41">
                  <c:v>7700</c:v>
                </c:pt>
                <c:pt idx="42">
                  <c:v>4620</c:v>
                </c:pt>
                <c:pt idx="43">
                  <c:v>3080</c:v>
                </c:pt>
                <c:pt idx="44">
                  <c:v>12320</c:v>
                </c:pt>
                <c:pt idx="45">
                  <c:v>12320</c:v>
                </c:pt>
                <c:pt idx="46">
                  <c:v>4620</c:v>
                </c:pt>
                <c:pt idx="47">
                  <c:v>3080</c:v>
                </c:pt>
                <c:pt idx="48">
                  <c:v>12320</c:v>
                </c:pt>
                <c:pt idx="49">
                  <c:v>4620</c:v>
                </c:pt>
                <c:pt idx="50">
                  <c:v>3080</c:v>
                </c:pt>
                <c:pt idx="51">
                  <c:v>12320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3A-4B1C-91E7-409DBD055529}"/>
            </c:ext>
          </c:extLst>
        </c:ser>
        <c:ser>
          <c:idx val="5"/>
          <c:order val="5"/>
          <c:tx>
            <c:strRef>
              <c:f>'Area Stacked'!$H$2</c:f>
              <c:strCache>
                <c:ptCount val="1"/>
                <c:pt idx="0">
                  <c:v>Robyn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Stacked'!$H$3:$H$54</c:f>
              <c:numCache>
                <c:formatCode>"$"#,##0</c:formatCode>
                <c:ptCount val="52"/>
                <c:pt idx="0">
                  <c:v>13090</c:v>
                </c:pt>
                <c:pt idx="1">
                  <c:v>15708</c:v>
                </c:pt>
                <c:pt idx="2">
                  <c:v>20944</c:v>
                </c:pt>
                <c:pt idx="3">
                  <c:v>26180</c:v>
                </c:pt>
                <c:pt idx="4">
                  <c:v>31416</c:v>
                </c:pt>
                <c:pt idx="5">
                  <c:v>15708</c:v>
                </c:pt>
                <c:pt idx="6">
                  <c:v>13090</c:v>
                </c:pt>
                <c:pt idx="7">
                  <c:v>7854</c:v>
                </c:pt>
                <c:pt idx="8">
                  <c:v>5236</c:v>
                </c:pt>
                <c:pt idx="9">
                  <c:v>20944</c:v>
                </c:pt>
                <c:pt idx="10">
                  <c:v>13090</c:v>
                </c:pt>
                <c:pt idx="11">
                  <c:v>15708</c:v>
                </c:pt>
                <c:pt idx="12">
                  <c:v>26180</c:v>
                </c:pt>
                <c:pt idx="13">
                  <c:v>31416</c:v>
                </c:pt>
                <c:pt idx="14">
                  <c:v>15708</c:v>
                </c:pt>
                <c:pt idx="15">
                  <c:v>13090</c:v>
                </c:pt>
                <c:pt idx="16">
                  <c:v>7854</c:v>
                </c:pt>
                <c:pt idx="17">
                  <c:v>5236</c:v>
                </c:pt>
                <c:pt idx="18">
                  <c:v>20944</c:v>
                </c:pt>
                <c:pt idx="19">
                  <c:v>7854</c:v>
                </c:pt>
                <c:pt idx="20">
                  <c:v>5236</c:v>
                </c:pt>
                <c:pt idx="21">
                  <c:v>20944</c:v>
                </c:pt>
                <c:pt idx="22">
                  <c:v>13090</c:v>
                </c:pt>
                <c:pt idx="23">
                  <c:v>15708</c:v>
                </c:pt>
                <c:pt idx="24">
                  <c:v>26180</c:v>
                </c:pt>
                <c:pt idx="25">
                  <c:v>31416</c:v>
                </c:pt>
                <c:pt idx="26">
                  <c:v>15708</c:v>
                </c:pt>
                <c:pt idx="27">
                  <c:v>13090</c:v>
                </c:pt>
                <c:pt idx="28">
                  <c:v>7854</c:v>
                </c:pt>
                <c:pt idx="29">
                  <c:v>5236</c:v>
                </c:pt>
                <c:pt idx="30">
                  <c:v>20944</c:v>
                </c:pt>
                <c:pt idx="31">
                  <c:v>20944</c:v>
                </c:pt>
                <c:pt idx="32">
                  <c:v>7854</c:v>
                </c:pt>
                <c:pt idx="33">
                  <c:v>5236</c:v>
                </c:pt>
                <c:pt idx="34">
                  <c:v>20944</c:v>
                </c:pt>
                <c:pt idx="35">
                  <c:v>13090</c:v>
                </c:pt>
                <c:pt idx="36">
                  <c:v>15708</c:v>
                </c:pt>
                <c:pt idx="37">
                  <c:v>26180</c:v>
                </c:pt>
                <c:pt idx="38">
                  <c:v>31416</c:v>
                </c:pt>
                <c:pt idx="39">
                  <c:v>15708</c:v>
                </c:pt>
                <c:pt idx="40">
                  <c:v>15708</c:v>
                </c:pt>
                <c:pt idx="41">
                  <c:v>13090</c:v>
                </c:pt>
                <c:pt idx="42">
                  <c:v>7854</c:v>
                </c:pt>
                <c:pt idx="43">
                  <c:v>5236</c:v>
                </c:pt>
                <c:pt idx="44">
                  <c:v>20944</c:v>
                </c:pt>
                <c:pt idx="45">
                  <c:v>20944</c:v>
                </c:pt>
                <c:pt idx="46">
                  <c:v>7854</c:v>
                </c:pt>
                <c:pt idx="47">
                  <c:v>5236</c:v>
                </c:pt>
                <c:pt idx="48">
                  <c:v>20944</c:v>
                </c:pt>
                <c:pt idx="49">
                  <c:v>7854</c:v>
                </c:pt>
                <c:pt idx="50">
                  <c:v>5236</c:v>
                </c:pt>
                <c:pt idx="51">
                  <c:v>20944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3A-4B1C-91E7-409DBD055529}"/>
            </c:ext>
          </c:extLst>
        </c:ser>
        <c:ser>
          <c:idx val="6"/>
          <c:order val="6"/>
          <c:tx>
            <c:strRef>
              <c:f>'Area Stacked'!$I$2</c:f>
              <c:strCache>
                <c:ptCount val="1"/>
                <c:pt idx="0">
                  <c:v>Don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Stacked'!$I$3:$I$54</c:f>
              <c:numCache>
                <c:formatCode>"$"#,##0</c:formatCode>
                <c:ptCount val="52"/>
                <c:pt idx="0">
                  <c:v>15353.333333333299</c:v>
                </c:pt>
                <c:pt idx="1">
                  <c:v>18424</c:v>
                </c:pt>
                <c:pt idx="2">
                  <c:v>24565.333333333299</c:v>
                </c:pt>
                <c:pt idx="3">
                  <c:v>30706.666666666701</c:v>
                </c:pt>
                <c:pt idx="4">
                  <c:v>36848</c:v>
                </c:pt>
                <c:pt idx="5">
                  <c:v>18424</c:v>
                </c:pt>
                <c:pt idx="6">
                  <c:v>15353.333333333299</c:v>
                </c:pt>
                <c:pt idx="7">
                  <c:v>9212</c:v>
                </c:pt>
                <c:pt idx="8">
                  <c:v>6141.3333333333303</c:v>
                </c:pt>
                <c:pt idx="9">
                  <c:v>24565.333333333299</c:v>
                </c:pt>
                <c:pt idx="10">
                  <c:v>15353.333333333299</c:v>
                </c:pt>
                <c:pt idx="11">
                  <c:v>18424</c:v>
                </c:pt>
                <c:pt idx="12">
                  <c:v>30706.666666666701</c:v>
                </c:pt>
                <c:pt idx="13">
                  <c:v>36848</c:v>
                </c:pt>
                <c:pt idx="14">
                  <c:v>18424</c:v>
                </c:pt>
                <c:pt idx="15">
                  <c:v>15353.333333333299</c:v>
                </c:pt>
                <c:pt idx="16">
                  <c:v>9212</c:v>
                </c:pt>
                <c:pt idx="17">
                  <c:v>6141.3333333333303</c:v>
                </c:pt>
                <c:pt idx="18">
                  <c:v>24565.333333333299</c:v>
                </c:pt>
                <c:pt idx="19">
                  <c:v>9212</c:v>
                </c:pt>
                <c:pt idx="20">
                  <c:v>6141.3333333333303</c:v>
                </c:pt>
                <c:pt idx="21">
                  <c:v>24565.333333333299</c:v>
                </c:pt>
                <c:pt idx="22">
                  <c:v>15353.333333333299</c:v>
                </c:pt>
                <c:pt idx="23">
                  <c:v>18424</c:v>
                </c:pt>
                <c:pt idx="24">
                  <c:v>30706.666666666701</c:v>
                </c:pt>
                <c:pt idx="25">
                  <c:v>36848</c:v>
                </c:pt>
                <c:pt idx="26">
                  <c:v>18424</c:v>
                </c:pt>
                <c:pt idx="27">
                  <c:v>15353.333333333299</c:v>
                </c:pt>
                <c:pt idx="28">
                  <c:v>9212</c:v>
                </c:pt>
                <c:pt idx="29">
                  <c:v>6141.3333333333303</c:v>
                </c:pt>
                <c:pt idx="30">
                  <c:v>24565.333333333299</c:v>
                </c:pt>
                <c:pt idx="31">
                  <c:v>24565.333333333299</c:v>
                </c:pt>
                <c:pt idx="32">
                  <c:v>9212</c:v>
                </c:pt>
                <c:pt idx="33">
                  <c:v>6141.3333333333303</c:v>
                </c:pt>
                <c:pt idx="34">
                  <c:v>24565.333333333299</c:v>
                </c:pt>
                <c:pt idx="35">
                  <c:v>15353.333333333299</c:v>
                </c:pt>
                <c:pt idx="36">
                  <c:v>18424</c:v>
                </c:pt>
                <c:pt idx="37">
                  <c:v>30706.666666666701</c:v>
                </c:pt>
                <c:pt idx="38">
                  <c:v>36848</c:v>
                </c:pt>
                <c:pt idx="39">
                  <c:v>18424</c:v>
                </c:pt>
                <c:pt idx="40">
                  <c:v>18424</c:v>
                </c:pt>
                <c:pt idx="41">
                  <c:v>15353.333333333299</c:v>
                </c:pt>
                <c:pt idx="42">
                  <c:v>9212</c:v>
                </c:pt>
                <c:pt idx="43">
                  <c:v>6141.3333333333303</c:v>
                </c:pt>
                <c:pt idx="44">
                  <c:v>24565.333333333299</c:v>
                </c:pt>
                <c:pt idx="45">
                  <c:v>24565.333333333299</c:v>
                </c:pt>
                <c:pt idx="46">
                  <c:v>9212</c:v>
                </c:pt>
                <c:pt idx="47">
                  <c:v>6141.3333333333303</c:v>
                </c:pt>
                <c:pt idx="48">
                  <c:v>24565.333333333299</c:v>
                </c:pt>
                <c:pt idx="49">
                  <c:v>9212</c:v>
                </c:pt>
                <c:pt idx="50">
                  <c:v>6141.3333333333303</c:v>
                </c:pt>
                <c:pt idx="51">
                  <c:v>24565.333333333299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3A-4B1C-91E7-409DBD055529}"/>
            </c:ext>
          </c:extLst>
        </c:ser>
        <c:ser>
          <c:idx val="7"/>
          <c:order val="7"/>
          <c:tx>
            <c:strRef>
              <c:f>'Area Stacked'!$J$2</c:f>
              <c:strCache>
                <c:ptCount val="1"/>
                <c:pt idx="0">
                  <c:v>Deanna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Stacked'!$J$3:$J$54</c:f>
              <c:numCache>
                <c:formatCode>"$"#,##0</c:formatCode>
                <c:ptCount val="52"/>
                <c:pt idx="0">
                  <c:v>18398.333333333299</c:v>
                </c:pt>
                <c:pt idx="1">
                  <c:v>22078</c:v>
                </c:pt>
                <c:pt idx="2">
                  <c:v>29437.333333333299</c:v>
                </c:pt>
                <c:pt idx="3">
                  <c:v>36796.666666666701</c:v>
                </c:pt>
                <c:pt idx="4">
                  <c:v>44156</c:v>
                </c:pt>
                <c:pt idx="5">
                  <c:v>22078</c:v>
                </c:pt>
                <c:pt idx="6">
                  <c:v>18398.333333333299</c:v>
                </c:pt>
                <c:pt idx="7">
                  <c:v>11039</c:v>
                </c:pt>
                <c:pt idx="8">
                  <c:v>7359.3333333333303</c:v>
                </c:pt>
                <c:pt idx="9">
                  <c:v>29437.333333333299</c:v>
                </c:pt>
                <c:pt idx="10">
                  <c:v>18398.333333333299</c:v>
                </c:pt>
                <c:pt idx="11">
                  <c:v>22078</c:v>
                </c:pt>
                <c:pt idx="12">
                  <c:v>36796.666666666701</c:v>
                </c:pt>
                <c:pt idx="13">
                  <c:v>44156</c:v>
                </c:pt>
                <c:pt idx="14">
                  <c:v>22078</c:v>
                </c:pt>
                <c:pt idx="15">
                  <c:v>18398.333333333299</c:v>
                </c:pt>
                <c:pt idx="16">
                  <c:v>11039</c:v>
                </c:pt>
                <c:pt idx="17">
                  <c:v>7359.3333333333303</c:v>
                </c:pt>
                <c:pt idx="18">
                  <c:v>29437.333333333299</c:v>
                </c:pt>
                <c:pt idx="19">
                  <c:v>11039</c:v>
                </c:pt>
                <c:pt idx="20">
                  <c:v>7359.3333333333303</c:v>
                </c:pt>
                <c:pt idx="21">
                  <c:v>29437.333333333299</c:v>
                </c:pt>
                <c:pt idx="22">
                  <c:v>18398.333333333299</c:v>
                </c:pt>
                <c:pt idx="23">
                  <c:v>22078</c:v>
                </c:pt>
                <c:pt idx="24">
                  <c:v>36796.666666666701</c:v>
                </c:pt>
                <c:pt idx="25">
                  <c:v>44156</c:v>
                </c:pt>
                <c:pt idx="26">
                  <c:v>22078</c:v>
                </c:pt>
                <c:pt idx="27">
                  <c:v>18398.333333333299</c:v>
                </c:pt>
                <c:pt idx="28">
                  <c:v>11039</c:v>
                </c:pt>
                <c:pt idx="29">
                  <c:v>7359.3333333333303</c:v>
                </c:pt>
                <c:pt idx="30">
                  <c:v>29437.333333333299</c:v>
                </c:pt>
                <c:pt idx="31">
                  <c:v>29437.333333333299</c:v>
                </c:pt>
                <c:pt idx="32">
                  <c:v>11039</c:v>
                </c:pt>
                <c:pt idx="33">
                  <c:v>7359.3333333333303</c:v>
                </c:pt>
                <c:pt idx="34">
                  <c:v>29437.333333333299</c:v>
                </c:pt>
                <c:pt idx="35">
                  <c:v>18398.333333333299</c:v>
                </c:pt>
                <c:pt idx="36">
                  <c:v>22078</c:v>
                </c:pt>
                <c:pt idx="37">
                  <c:v>36796.666666666701</c:v>
                </c:pt>
                <c:pt idx="38">
                  <c:v>44156</c:v>
                </c:pt>
                <c:pt idx="39">
                  <c:v>22078</c:v>
                </c:pt>
                <c:pt idx="40">
                  <c:v>22078</c:v>
                </c:pt>
                <c:pt idx="41">
                  <c:v>18398.333333333299</c:v>
                </c:pt>
                <c:pt idx="42">
                  <c:v>11039</c:v>
                </c:pt>
                <c:pt idx="43">
                  <c:v>7359.3333333333303</c:v>
                </c:pt>
                <c:pt idx="44">
                  <c:v>29437.333333333299</c:v>
                </c:pt>
                <c:pt idx="45">
                  <c:v>29437.333333333299</c:v>
                </c:pt>
                <c:pt idx="46">
                  <c:v>11039</c:v>
                </c:pt>
                <c:pt idx="47">
                  <c:v>7359.3333333333303</c:v>
                </c:pt>
                <c:pt idx="48">
                  <c:v>29437.333333333299</c:v>
                </c:pt>
                <c:pt idx="49">
                  <c:v>11039</c:v>
                </c:pt>
                <c:pt idx="50">
                  <c:v>7359.3333333333303</c:v>
                </c:pt>
                <c:pt idx="51">
                  <c:v>29437.333333333299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3A-4B1C-91E7-409DBD055529}"/>
            </c:ext>
          </c:extLst>
        </c:ser>
        <c:ser>
          <c:idx val="8"/>
          <c:order val="8"/>
          <c:tx>
            <c:strRef>
              <c:f>'Area Stacked'!$K$2</c:f>
              <c:strCache>
                <c:ptCount val="1"/>
                <c:pt idx="0">
                  <c:v>Tiffany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Stacked'!$K$3:$K$54</c:f>
              <c:numCache>
                <c:formatCode>"$"#,##0</c:formatCode>
                <c:ptCount val="52"/>
                <c:pt idx="0">
                  <c:v>21443.333333333299</c:v>
                </c:pt>
                <c:pt idx="1">
                  <c:v>25732</c:v>
                </c:pt>
                <c:pt idx="2">
                  <c:v>34309.333333333299</c:v>
                </c:pt>
                <c:pt idx="3">
                  <c:v>42886.666666666701</c:v>
                </c:pt>
                <c:pt idx="4">
                  <c:v>51464</c:v>
                </c:pt>
                <c:pt idx="5">
                  <c:v>25732</c:v>
                </c:pt>
                <c:pt idx="6">
                  <c:v>21443.333333333299</c:v>
                </c:pt>
                <c:pt idx="7">
                  <c:v>12866</c:v>
                </c:pt>
                <c:pt idx="8">
                  <c:v>8577.3333333333303</c:v>
                </c:pt>
                <c:pt idx="9">
                  <c:v>34309.333333333299</c:v>
                </c:pt>
                <c:pt idx="10">
                  <c:v>21443.333333333299</c:v>
                </c:pt>
                <c:pt idx="11">
                  <c:v>25732</c:v>
                </c:pt>
                <c:pt idx="12">
                  <c:v>42886.666666666701</c:v>
                </c:pt>
                <c:pt idx="13">
                  <c:v>51464</c:v>
                </c:pt>
                <c:pt idx="14">
                  <c:v>25732</c:v>
                </c:pt>
                <c:pt idx="15">
                  <c:v>21443.333333333299</c:v>
                </c:pt>
                <c:pt idx="16">
                  <c:v>12866</c:v>
                </c:pt>
                <c:pt idx="17">
                  <c:v>8577.3333333333303</c:v>
                </c:pt>
                <c:pt idx="18">
                  <c:v>34309.333333333299</c:v>
                </c:pt>
                <c:pt idx="19">
                  <c:v>12866</c:v>
                </c:pt>
                <c:pt idx="20">
                  <c:v>8577.3333333333303</c:v>
                </c:pt>
                <c:pt idx="21">
                  <c:v>34309.333333333299</c:v>
                </c:pt>
                <c:pt idx="22">
                  <c:v>21443.333333333299</c:v>
                </c:pt>
                <c:pt idx="23">
                  <c:v>25732</c:v>
                </c:pt>
                <c:pt idx="24">
                  <c:v>42886.666666666701</c:v>
                </c:pt>
                <c:pt idx="25">
                  <c:v>51464</c:v>
                </c:pt>
                <c:pt idx="26">
                  <c:v>25732</c:v>
                </c:pt>
                <c:pt idx="27">
                  <c:v>21443.333333333299</c:v>
                </c:pt>
                <c:pt idx="28">
                  <c:v>12866</c:v>
                </c:pt>
                <c:pt idx="29">
                  <c:v>8577.3333333333303</c:v>
                </c:pt>
                <c:pt idx="30">
                  <c:v>34309.333333333299</c:v>
                </c:pt>
                <c:pt idx="31">
                  <c:v>34309.333333333299</c:v>
                </c:pt>
                <c:pt idx="32">
                  <c:v>12866</c:v>
                </c:pt>
                <c:pt idx="33">
                  <c:v>8577.3333333333303</c:v>
                </c:pt>
                <c:pt idx="34">
                  <c:v>34309.333333333299</c:v>
                </c:pt>
                <c:pt idx="35">
                  <c:v>21443.333333333299</c:v>
                </c:pt>
                <c:pt idx="36">
                  <c:v>25732</c:v>
                </c:pt>
                <c:pt idx="37">
                  <c:v>42886.666666666701</c:v>
                </c:pt>
                <c:pt idx="38">
                  <c:v>51464</c:v>
                </c:pt>
                <c:pt idx="39">
                  <c:v>25732</c:v>
                </c:pt>
                <c:pt idx="40">
                  <c:v>25732</c:v>
                </c:pt>
                <c:pt idx="41">
                  <c:v>21443.333333333299</c:v>
                </c:pt>
                <c:pt idx="42">
                  <c:v>12866</c:v>
                </c:pt>
                <c:pt idx="43">
                  <c:v>8577.3333333333303</c:v>
                </c:pt>
                <c:pt idx="44">
                  <c:v>34309.333333333299</c:v>
                </c:pt>
                <c:pt idx="45">
                  <c:v>34309.333333333299</c:v>
                </c:pt>
                <c:pt idx="46">
                  <c:v>12866</c:v>
                </c:pt>
                <c:pt idx="47">
                  <c:v>8577.3333333333303</c:v>
                </c:pt>
                <c:pt idx="48">
                  <c:v>34309.333333333299</c:v>
                </c:pt>
                <c:pt idx="49">
                  <c:v>12866</c:v>
                </c:pt>
                <c:pt idx="50">
                  <c:v>8577.3333333333303</c:v>
                </c:pt>
                <c:pt idx="51">
                  <c:v>34309.333333333299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3A-4B1C-91E7-409DBD05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6648"/>
        <c:axId val="244717040"/>
      </c:areaChart>
      <c:dateAx>
        <c:axId val="2447166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7040"/>
        <c:crosses val="autoZero"/>
        <c:auto val="1"/>
        <c:lblOffset val="100"/>
        <c:baseTimeUnit val="days"/>
      </c:dateAx>
      <c:valAx>
        <c:axId val="2447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0AD-BAFE-7516BF29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6752"/>
        <c:axId val="338617144"/>
      </c:barChart>
      <c:catAx>
        <c:axId val="3386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144"/>
        <c:crosses val="autoZero"/>
        <c:auto val="1"/>
        <c:lblAlgn val="ctr"/>
        <c:lblOffset val="100"/>
        <c:noMultiLvlLbl val="0"/>
      </c:catAx>
      <c:valAx>
        <c:axId val="3386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6-430F-BC03-FB34DDF89079}"/>
            </c:ext>
          </c:extLst>
        </c:ser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6-430F-BC03-FB34DDF8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7928"/>
        <c:axId val="338618320"/>
      </c:barChart>
      <c:catAx>
        <c:axId val="33861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8320"/>
        <c:crosses val="autoZero"/>
        <c:auto val="1"/>
        <c:lblAlgn val="ctr"/>
        <c:lblOffset val="100"/>
        <c:noMultiLvlLbl val="0"/>
      </c:catAx>
      <c:valAx>
        <c:axId val="338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3-4E80-8C3E-8636805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8619104"/>
        <c:axId val="338619496"/>
      </c:barChart>
      <c:lineChart>
        <c:grouping val="standard"/>
        <c:varyColors val="0"/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3-4E80-8C3E-8636805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19104"/>
        <c:axId val="338619496"/>
      </c:lineChart>
      <c:catAx>
        <c:axId val="3386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496"/>
        <c:crosses val="autoZero"/>
        <c:auto val="1"/>
        <c:lblAlgn val="ctr"/>
        <c:lblOffset val="100"/>
        <c:noMultiLvlLbl val="0"/>
      </c:catAx>
      <c:valAx>
        <c:axId val="3386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99'!$B$2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99'!$B$3:$B$36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8-43B8-AD7C-D4A92BD79F7B}"/>
            </c:ext>
          </c:extLst>
        </c:ser>
        <c:ser>
          <c:idx val="1"/>
          <c:order val="1"/>
          <c:tx>
            <c:strRef>
              <c:f>'Combo 99'!$C$2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99'!$C$3:$C$36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8-43B8-AD7C-D4A92BD7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19536"/>
        <c:axId val="431719928"/>
      </c:barChart>
      <c:catAx>
        <c:axId val="4317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928"/>
        <c:crosses val="autoZero"/>
        <c:auto val="1"/>
        <c:lblAlgn val="ctr"/>
        <c:lblOffset val="100"/>
        <c:noMultiLvlLbl val="0"/>
      </c:catAx>
      <c:valAx>
        <c:axId val="4317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99'!$J$3:$J$36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198-B2FF-65315FD598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99'!$K$3:$K$36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198-B2FF-65315FD598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'Combo 99'!$K$2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4-4198-B2FF-65315FD5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20712"/>
        <c:axId val="431721104"/>
      </c:barChart>
      <c:catAx>
        <c:axId val="43172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104"/>
        <c:crosses val="autoZero"/>
        <c:auto val="1"/>
        <c:lblAlgn val="ctr"/>
        <c:lblOffset val="100"/>
        <c:noMultiLvlLbl val="0"/>
      </c:catAx>
      <c:valAx>
        <c:axId val="431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Month'!$C$2:$N$2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203-9DC6-96E42CE69714}"/>
            </c:ext>
          </c:extLst>
        </c:ser>
        <c:ser>
          <c:idx val="1"/>
          <c:order val="1"/>
          <c:tx>
            <c:strRef>
              <c:f>'Column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Month'!$C$3:$N$3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8-4203-9DC6-96E42CE69714}"/>
            </c:ext>
          </c:extLst>
        </c:ser>
        <c:ser>
          <c:idx val="2"/>
          <c:order val="2"/>
          <c:tx>
            <c:strRef>
              <c:f>'Column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Month'!$C$4:$N$4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8-4203-9DC6-96E42CE69714}"/>
            </c:ext>
          </c:extLst>
        </c:ser>
        <c:ser>
          <c:idx val="3"/>
          <c:order val="3"/>
          <c:tx>
            <c:strRef>
              <c:f>'Column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Month'!$C$5:$N$5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8-4203-9DC6-96E42CE69714}"/>
            </c:ext>
          </c:extLst>
        </c:ser>
        <c:ser>
          <c:idx val="4"/>
          <c:order val="4"/>
          <c:tx>
            <c:strRef>
              <c:f>'Column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Month'!$C$6:$N$6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8-4203-9DC6-96E42CE69714}"/>
            </c:ext>
          </c:extLst>
        </c:ser>
        <c:ser>
          <c:idx val="5"/>
          <c:order val="5"/>
          <c:tx>
            <c:strRef>
              <c:f>'Column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Month'!$C$7:$N$7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8-4203-9DC6-96E42CE69714}"/>
            </c:ext>
          </c:extLst>
        </c:ser>
        <c:ser>
          <c:idx val="6"/>
          <c:order val="6"/>
          <c:tx>
            <c:strRef>
              <c:f>'Column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Month'!$C$8:$N$8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8-4203-9DC6-96E42CE6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312088"/>
        <c:axId val="295310520"/>
      </c:barChart>
      <c:catAx>
        <c:axId val="2953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0520"/>
        <c:crosses val="autoZero"/>
        <c:auto val="1"/>
        <c:lblAlgn val="ctr"/>
        <c:lblOffset val="100"/>
        <c:noMultiLvlLbl val="0"/>
      </c:catAx>
      <c:valAx>
        <c:axId val="2953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99'!$S$2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99'!$R$3:$R$36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99'!$S$3:$S$36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E-45EC-A60A-27A38790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21888"/>
        <c:axId val="415952992"/>
      </c:barChart>
      <c:catAx>
        <c:axId val="4317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2992"/>
        <c:crosses val="autoZero"/>
        <c:auto val="1"/>
        <c:lblAlgn val="ctr"/>
        <c:lblOffset val="100"/>
        <c:noMultiLvlLbl val="0"/>
      </c:catAx>
      <c:valAx>
        <c:axId val="4159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45D6-8508-46AD9858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4168"/>
        <c:axId val="415954560"/>
      </c:barChart>
      <c:catAx>
        <c:axId val="4159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560"/>
        <c:crosses val="autoZero"/>
        <c:auto val="1"/>
        <c:lblAlgn val="ctr"/>
        <c:lblOffset val="100"/>
        <c:noMultiLvlLbl val="0"/>
      </c:catAx>
      <c:valAx>
        <c:axId val="41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2B0-9AF9-0E5E382924D8}"/>
            </c:ext>
          </c:extLst>
        </c:ser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7-42B0-9AF9-0E5E3829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5344"/>
        <c:axId val="415955736"/>
      </c:barChart>
      <c:catAx>
        <c:axId val="4159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736"/>
        <c:crosses val="autoZero"/>
        <c:auto val="1"/>
        <c:lblAlgn val="ctr"/>
        <c:lblOffset val="100"/>
        <c:noMultiLvlLbl val="0"/>
      </c:catAx>
      <c:valAx>
        <c:axId val="4159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1-473B-B69A-F5BC53E2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1968"/>
        <c:axId val="292521576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1-473B-B69A-F5BC53E2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56520"/>
        <c:axId val="292521184"/>
      </c:lineChart>
      <c:catAx>
        <c:axId val="4159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184"/>
        <c:crosses val="autoZero"/>
        <c:auto val="1"/>
        <c:lblAlgn val="ctr"/>
        <c:lblOffset val="100"/>
        <c:noMultiLvlLbl val="0"/>
      </c:catAx>
      <c:valAx>
        <c:axId val="292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6520"/>
        <c:crosses val="autoZero"/>
        <c:crossBetween val="between"/>
      </c:valAx>
      <c:valAx>
        <c:axId val="292521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968"/>
        <c:crosses val="max"/>
        <c:crossBetween val="between"/>
      </c:valAx>
      <c:catAx>
        <c:axId val="29252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1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4-45F0-990D-E7A5A9F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3928"/>
        <c:axId val="292523536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4-45F0-990D-E7A5A9F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2752"/>
        <c:axId val="292523144"/>
      </c:lineChart>
      <c:catAx>
        <c:axId val="292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144"/>
        <c:crosses val="autoZero"/>
        <c:auto val="1"/>
        <c:lblAlgn val="ctr"/>
        <c:lblOffset val="100"/>
        <c:noMultiLvlLbl val="0"/>
      </c:catAx>
      <c:valAx>
        <c:axId val="2925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2752"/>
        <c:crosses val="autoZero"/>
        <c:crossBetween val="between"/>
      </c:valAx>
      <c:valAx>
        <c:axId val="29252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928"/>
        <c:crosses val="max"/>
        <c:crossBetween val="between"/>
      </c:valAx>
      <c:catAx>
        <c:axId val="292523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435-91DB-0B147B18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99800"/>
        <c:axId val="292599408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D-4435-91DB-0B147B18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4712"/>
        <c:axId val="292599016"/>
      </c:lineChart>
      <c:catAx>
        <c:axId val="2925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016"/>
        <c:crosses val="autoZero"/>
        <c:auto val="1"/>
        <c:lblAlgn val="ctr"/>
        <c:lblOffset val="100"/>
        <c:noMultiLvlLbl val="0"/>
      </c:catAx>
      <c:valAx>
        <c:axId val="2925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4712"/>
        <c:crosses val="autoZero"/>
        <c:crossBetween val="between"/>
      </c:valAx>
      <c:valAx>
        <c:axId val="29259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800"/>
        <c:crosses val="max"/>
        <c:crossBetween val="between"/>
      </c:valAx>
      <c:catAx>
        <c:axId val="2925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TrendLine!$A$4:$A$55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TrendLine!$B$4:$B$55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2AE-BD27-104F055C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57096"/>
        <c:axId val="323157488"/>
      </c:lineChart>
      <c:dateAx>
        <c:axId val="323157096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7488"/>
        <c:crosses val="autoZero"/>
        <c:auto val="1"/>
        <c:lblOffset val="100"/>
        <c:baseTimeUnit val="days"/>
      </c:dateAx>
      <c:valAx>
        <c:axId val="3231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41275" cap="flat" cmpd="sng" algn="ctr">
      <a:solidFill>
        <a:srgbClr val="0070C0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[260-scroll-sheets.xlsx]Pivotchart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1'!$A$2:$A$11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'Pivotchart 1'!$B$2:$B$11</c:f>
              <c:numCache>
                <c:formatCode>General</c:formatCode>
                <c:ptCount val="9"/>
                <c:pt idx="0">
                  <c:v>532000</c:v>
                </c:pt>
                <c:pt idx="1">
                  <c:v>852000</c:v>
                </c:pt>
                <c:pt idx="2">
                  <c:v>297000</c:v>
                </c:pt>
                <c:pt idx="3">
                  <c:v>514000</c:v>
                </c:pt>
                <c:pt idx="4">
                  <c:v>481000</c:v>
                </c:pt>
                <c:pt idx="5">
                  <c:v>885000</c:v>
                </c:pt>
                <c:pt idx="6">
                  <c:v>594000</c:v>
                </c:pt>
                <c:pt idx="7">
                  <c:v>792000</c:v>
                </c:pt>
                <c:pt idx="8">
                  <c:v>632000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B-4062-8A23-2D6DE1F4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600584"/>
        <c:axId val="292600976"/>
      </c:barChart>
      <c:catAx>
        <c:axId val="29260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0976"/>
        <c:crosses val="autoZero"/>
        <c:auto val="1"/>
        <c:lblAlgn val="ctr"/>
        <c:lblOffset val="100"/>
        <c:noMultiLvlLbl val="0"/>
      </c:catAx>
      <c:valAx>
        <c:axId val="2926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[260-scroll-sheets.xlsx]Pivotchart 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2'!$A$2:$A$98</c:f>
              <c:strCache>
                <c:ptCount val="96"/>
                <c:pt idx="0">
                  <c:v>Ahlam Aby</c:v>
                </c:pt>
                <c:pt idx="1">
                  <c:v>Alexis Ripley</c:v>
                </c:pt>
                <c:pt idx="2">
                  <c:v>Alicia A. Elmasian</c:v>
                </c:pt>
                <c:pt idx="3">
                  <c:v>Alison Johnson</c:v>
                </c:pt>
                <c:pt idx="4">
                  <c:v>Alyssa Adefioye</c:v>
                </c:pt>
                <c:pt idx="5">
                  <c:v>Ann Sharp</c:v>
                </c:pt>
                <c:pt idx="6">
                  <c:v>Benny Erwin</c:v>
                </c:pt>
                <c:pt idx="7">
                  <c:v>Benny Melendez</c:v>
                </c:pt>
                <c:pt idx="8">
                  <c:v>Brian M Stucki</c:v>
                </c:pt>
                <c:pt idx="9">
                  <c:v>Brian Tomasevic</c:v>
                </c:pt>
                <c:pt idx="10">
                  <c:v>Bryan Anderson</c:v>
                </c:pt>
                <c:pt idx="11">
                  <c:v>Bryan Brier</c:v>
                </c:pt>
                <c:pt idx="12">
                  <c:v>Cassandra Perry</c:v>
                </c:pt>
                <c:pt idx="13">
                  <c:v>Christopher Battah</c:v>
                </c:pt>
                <c:pt idx="14">
                  <c:v>Cindy Summerville</c:v>
                </c:pt>
                <c:pt idx="15">
                  <c:v>Corine M. Henderson</c:v>
                </c:pt>
                <c:pt idx="16">
                  <c:v>Cristhian Roth</c:v>
                </c:pt>
                <c:pt idx="17">
                  <c:v>Donna K. Bulgar</c:v>
                </c:pt>
                <c:pt idx="18">
                  <c:v>Elena Miriam Hillen </c:v>
                </c:pt>
                <c:pt idx="19">
                  <c:v>Elena Miriam Takahashi</c:v>
                </c:pt>
                <c:pt idx="20">
                  <c:v>Elena Miriam Woodburn</c:v>
                </c:pt>
                <c:pt idx="21">
                  <c:v>Eric W. Kilbride</c:v>
                </c:pt>
                <c:pt idx="22">
                  <c:v>Erik G. Rinehart</c:v>
                </c:pt>
                <c:pt idx="23">
                  <c:v>Ernest Talia</c:v>
                </c:pt>
                <c:pt idx="24">
                  <c:v>Ernest Trent</c:v>
                </c:pt>
                <c:pt idx="25">
                  <c:v>Gabriel R. Self</c:v>
                </c:pt>
                <c:pt idx="26">
                  <c:v>Genevieve   Knapp</c:v>
                </c:pt>
                <c:pt idx="27">
                  <c:v>Grant Tomasevic</c:v>
                </c:pt>
                <c:pt idx="28">
                  <c:v>Harman Abraha</c:v>
                </c:pt>
                <c:pt idx="29">
                  <c:v>Heela Kraft</c:v>
                </c:pt>
                <c:pt idx="30">
                  <c:v>Ian Helmer </c:v>
                </c:pt>
                <c:pt idx="31">
                  <c:v>Jacqueline N. Gappy</c:v>
                </c:pt>
                <c:pt idx="32">
                  <c:v>Jacqueline N. Hildebrand</c:v>
                </c:pt>
                <c:pt idx="33">
                  <c:v>James Oberndorfer</c:v>
                </c:pt>
                <c:pt idx="34">
                  <c:v>James Wilson</c:v>
                </c:pt>
                <c:pt idx="35">
                  <c:v>Janalee Eggleston</c:v>
                </c:pt>
                <c:pt idx="36">
                  <c:v>Jena Coon</c:v>
                </c:pt>
                <c:pt idx="37">
                  <c:v>Jeremiah De Grazia</c:v>
                </c:pt>
                <c:pt idx="38">
                  <c:v>Jesse Wooten</c:v>
                </c:pt>
                <c:pt idx="39">
                  <c:v>Jessica Rodriguez</c:v>
                </c:pt>
                <c:pt idx="40">
                  <c:v>Joeanne Melendez</c:v>
                </c:pt>
                <c:pt idx="41">
                  <c:v>John  Michael</c:v>
                </c:pt>
                <c:pt idx="42">
                  <c:v>Johnathan A Wilhite</c:v>
                </c:pt>
                <c:pt idx="43">
                  <c:v>Jonathan C. Parnell</c:v>
                </c:pt>
                <c:pt idx="44">
                  <c:v>Joshua Daniel</c:v>
                </c:pt>
                <c:pt idx="45">
                  <c:v>Joshua Fields</c:v>
                </c:pt>
                <c:pt idx="46">
                  <c:v>Joshua Johnson</c:v>
                </c:pt>
                <c:pt idx="47">
                  <c:v>Julia  Hegwood </c:v>
                </c:pt>
                <c:pt idx="48">
                  <c:v>Julie Harken</c:v>
                </c:pt>
                <c:pt idx="49">
                  <c:v>Julie Yost</c:v>
                </c:pt>
                <c:pt idx="50">
                  <c:v>Katherine Battah</c:v>
                </c:pt>
                <c:pt idx="51">
                  <c:v>Kelley Reneau</c:v>
                </c:pt>
                <c:pt idx="52">
                  <c:v>Kelly Queen</c:v>
                </c:pt>
                <c:pt idx="53">
                  <c:v>Kevin Nevandro</c:v>
                </c:pt>
                <c:pt idx="54">
                  <c:v>Krisaundra Hightower</c:v>
                </c:pt>
                <c:pt idx="55">
                  <c:v>Laura Aguirre</c:v>
                </c:pt>
                <c:pt idx="56">
                  <c:v>Laura S Greenwell</c:v>
                </c:pt>
                <c:pt idx="57">
                  <c:v>Manuel Steele</c:v>
                </c:pt>
                <c:pt idx="58">
                  <c:v>Margaret Pavlovich</c:v>
                </c:pt>
                <c:pt idx="59">
                  <c:v>Martie Elmasian</c:v>
                </c:pt>
                <c:pt idx="60">
                  <c:v>Marylou M. Diaz</c:v>
                </c:pt>
                <c:pt idx="61">
                  <c:v>Matthew H. Rios</c:v>
                </c:pt>
                <c:pt idx="62">
                  <c:v>Matthew Tait</c:v>
                </c:pt>
                <c:pt idx="63">
                  <c:v>Matthew W Yamaguchi</c:v>
                </c:pt>
                <c:pt idx="64">
                  <c:v>Melissa Torruella</c:v>
                </c:pt>
                <c:pt idx="65">
                  <c:v>Micah Chokeir</c:v>
                </c:pt>
                <c:pt idx="66">
                  <c:v>Micah Talia</c:v>
                </c:pt>
                <c:pt idx="67">
                  <c:v>Michelle  Greenwell</c:v>
                </c:pt>
                <c:pt idx="68">
                  <c:v>Michelle  Shevlin</c:v>
                </c:pt>
                <c:pt idx="69">
                  <c:v>Moriel Caldwell</c:v>
                </c:pt>
                <c:pt idx="70">
                  <c:v>Natalie H. Woodford</c:v>
                </c:pt>
                <c:pt idx="71">
                  <c:v>Natalie H. Zeidell</c:v>
                </c:pt>
                <c:pt idx="72">
                  <c:v>Rebecca L. Haight</c:v>
                </c:pt>
                <c:pt idx="73">
                  <c:v>Rebecca Negrete</c:v>
                </c:pt>
                <c:pt idx="74">
                  <c:v>Ricardo Bergman</c:v>
                </c:pt>
                <c:pt idx="75">
                  <c:v>Ricardo Sherrell</c:v>
                </c:pt>
                <c:pt idx="76">
                  <c:v>Richard  Garza</c:v>
                </c:pt>
                <c:pt idx="77">
                  <c:v>Rikkie J Mahone</c:v>
                </c:pt>
                <c:pt idx="78">
                  <c:v>Rosa I. Peralta</c:v>
                </c:pt>
                <c:pt idx="79">
                  <c:v>Rose Moreno</c:v>
                </c:pt>
                <c:pt idx="80">
                  <c:v>Roshan Coon</c:v>
                </c:pt>
                <c:pt idx="81">
                  <c:v>Ryan  Mesko</c:v>
                </c:pt>
                <c:pt idx="82">
                  <c:v>Ryan Kennedy </c:v>
                </c:pt>
                <c:pt idx="83">
                  <c:v>Saif Perrine</c:v>
                </c:pt>
                <c:pt idx="84">
                  <c:v>Sara Webb</c:v>
                </c:pt>
                <c:pt idx="85">
                  <c:v>Saxton Peterson</c:v>
                </c:pt>
                <c:pt idx="86">
                  <c:v>Shireen Battah</c:v>
                </c:pt>
                <c:pt idx="87">
                  <c:v>Stacy L Chen</c:v>
                </c:pt>
                <c:pt idx="88">
                  <c:v>Stephen H. Thomas</c:v>
                </c:pt>
                <c:pt idx="89">
                  <c:v>Steven  Bolin</c:v>
                </c:pt>
                <c:pt idx="90">
                  <c:v>Tamara Pacheco</c:v>
                </c:pt>
                <c:pt idx="91">
                  <c:v>Tiffany M Blake</c:v>
                </c:pt>
                <c:pt idx="92">
                  <c:v>Tony Merrick</c:v>
                </c:pt>
                <c:pt idx="93">
                  <c:v>William Melendez</c:v>
                </c:pt>
                <c:pt idx="94">
                  <c:v>Willow Nevandro</c:v>
                </c:pt>
                <c:pt idx="95">
                  <c:v>Yvette Hurtado </c:v>
                </c:pt>
              </c:strCache>
            </c:strRef>
          </c:cat>
          <c:val>
            <c:numRef>
              <c:f>'Pivotchart 2'!$B$2:$B$98</c:f>
              <c:numCache>
                <c:formatCode>General</c:formatCode>
                <c:ptCount val="96"/>
                <c:pt idx="0">
                  <c:v>3780</c:v>
                </c:pt>
                <c:pt idx="1">
                  <c:v>0</c:v>
                </c:pt>
                <c:pt idx="2">
                  <c:v>2040</c:v>
                </c:pt>
                <c:pt idx="3">
                  <c:v>0</c:v>
                </c:pt>
                <c:pt idx="4">
                  <c:v>1180</c:v>
                </c:pt>
                <c:pt idx="5">
                  <c:v>0</c:v>
                </c:pt>
                <c:pt idx="6">
                  <c:v>0</c:v>
                </c:pt>
                <c:pt idx="7">
                  <c:v>1640</c:v>
                </c:pt>
                <c:pt idx="8">
                  <c:v>0</c:v>
                </c:pt>
                <c:pt idx="9">
                  <c:v>5800</c:v>
                </c:pt>
                <c:pt idx="10">
                  <c:v>1320</c:v>
                </c:pt>
                <c:pt idx="11">
                  <c:v>4320</c:v>
                </c:pt>
                <c:pt idx="12">
                  <c:v>3100</c:v>
                </c:pt>
                <c:pt idx="13">
                  <c:v>750</c:v>
                </c:pt>
                <c:pt idx="14">
                  <c:v>4410</c:v>
                </c:pt>
                <c:pt idx="15">
                  <c:v>6480</c:v>
                </c:pt>
                <c:pt idx="16">
                  <c:v>4320</c:v>
                </c:pt>
                <c:pt idx="17">
                  <c:v>3060</c:v>
                </c:pt>
                <c:pt idx="18">
                  <c:v>0</c:v>
                </c:pt>
                <c:pt idx="19">
                  <c:v>0</c:v>
                </c:pt>
                <c:pt idx="20">
                  <c:v>2280</c:v>
                </c:pt>
                <c:pt idx="21">
                  <c:v>1400</c:v>
                </c:pt>
                <c:pt idx="22">
                  <c:v>0</c:v>
                </c:pt>
                <c:pt idx="23">
                  <c:v>5500</c:v>
                </c:pt>
                <c:pt idx="24">
                  <c:v>530</c:v>
                </c:pt>
                <c:pt idx="25">
                  <c:v>0</c:v>
                </c:pt>
                <c:pt idx="26">
                  <c:v>0</c:v>
                </c:pt>
                <c:pt idx="27">
                  <c:v>3360.0000000000005</c:v>
                </c:pt>
                <c:pt idx="28">
                  <c:v>2220</c:v>
                </c:pt>
                <c:pt idx="29">
                  <c:v>0</c:v>
                </c:pt>
                <c:pt idx="30">
                  <c:v>1800</c:v>
                </c:pt>
                <c:pt idx="31">
                  <c:v>5440</c:v>
                </c:pt>
                <c:pt idx="32">
                  <c:v>880</c:v>
                </c:pt>
                <c:pt idx="33">
                  <c:v>0</c:v>
                </c:pt>
                <c:pt idx="34">
                  <c:v>4800</c:v>
                </c:pt>
                <c:pt idx="35">
                  <c:v>0</c:v>
                </c:pt>
                <c:pt idx="36">
                  <c:v>0</c:v>
                </c:pt>
                <c:pt idx="37">
                  <c:v>5220</c:v>
                </c:pt>
                <c:pt idx="38">
                  <c:v>1500</c:v>
                </c:pt>
                <c:pt idx="39">
                  <c:v>0</c:v>
                </c:pt>
                <c:pt idx="40">
                  <c:v>0</c:v>
                </c:pt>
                <c:pt idx="41">
                  <c:v>6960</c:v>
                </c:pt>
                <c:pt idx="42">
                  <c:v>2160</c:v>
                </c:pt>
                <c:pt idx="43">
                  <c:v>3420</c:v>
                </c:pt>
                <c:pt idx="44">
                  <c:v>310</c:v>
                </c:pt>
                <c:pt idx="45">
                  <c:v>0</c:v>
                </c:pt>
                <c:pt idx="46">
                  <c:v>7680</c:v>
                </c:pt>
                <c:pt idx="47">
                  <c:v>0</c:v>
                </c:pt>
                <c:pt idx="48">
                  <c:v>0</c:v>
                </c:pt>
                <c:pt idx="49">
                  <c:v>570</c:v>
                </c:pt>
                <c:pt idx="50">
                  <c:v>7830</c:v>
                </c:pt>
                <c:pt idx="51">
                  <c:v>1050</c:v>
                </c:pt>
                <c:pt idx="52">
                  <c:v>0</c:v>
                </c:pt>
                <c:pt idx="53">
                  <c:v>0</c:v>
                </c:pt>
                <c:pt idx="54">
                  <c:v>1240</c:v>
                </c:pt>
                <c:pt idx="55">
                  <c:v>2880</c:v>
                </c:pt>
                <c:pt idx="56">
                  <c:v>1300</c:v>
                </c:pt>
                <c:pt idx="57">
                  <c:v>470</c:v>
                </c:pt>
                <c:pt idx="58">
                  <c:v>780</c:v>
                </c:pt>
                <c:pt idx="59">
                  <c:v>3780.0000000000005</c:v>
                </c:pt>
                <c:pt idx="60">
                  <c:v>1980</c:v>
                </c:pt>
                <c:pt idx="61">
                  <c:v>0</c:v>
                </c:pt>
                <c:pt idx="62">
                  <c:v>3000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5120</c:v>
                </c:pt>
                <c:pt idx="68">
                  <c:v>1620</c:v>
                </c:pt>
                <c:pt idx="69">
                  <c:v>4760</c:v>
                </c:pt>
                <c:pt idx="70">
                  <c:v>3640.0000000000005</c:v>
                </c:pt>
                <c:pt idx="71">
                  <c:v>590</c:v>
                </c:pt>
                <c:pt idx="72">
                  <c:v>2400</c:v>
                </c:pt>
                <c:pt idx="73">
                  <c:v>4860</c:v>
                </c:pt>
                <c:pt idx="74">
                  <c:v>640</c:v>
                </c:pt>
                <c:pt idx="75">
                  <c:v>0</c:v>
                </c:pt>
                <c:pt idx="76">
                  <c:v>750</c:v>
                </c:pt>
                <c:pt idx="77">
                  <c:v>480</c:v>
                </c:pt>
                <c:pt idx="78">
                  <c:v>5110.0000000000009</c:v>
                </c:pt>
                <c:pt idx="79">
                  <c:v>160</c:v>
                </c:pt>
                <c:pt idx="80">
                  <c:v>930</c:v>
                </c:pt>
                <c:pt idx="81">
                  <c:v>4920</c:v>
                </c:pt>
                <c:pt idx="82">
                  <c:v>0</c:v>
                </c:pt>
                <c:pt idx="83">
                  <c:v>0</c:v>
                </c:pt>
                <c:pt idx="84">
                  <c:v>2100</c:v>
                </c:pt>
                <c:pt idx="85">
                  <c:v>390</c:v>
                </c:pt>
                <c:pt idx="86">
                  <c:v>1800</c:v>
                </c:pt>
                <c:pt idx="87">
                  <c:v>0</c:v>
                </c:pt>
                <c:pt idx="88">
                  <c:v>3350</c:v>
                </c:pt>
                <c:pt idx="89">
                  <c:v>3780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4500</c:v>
                </c:pt>
                <c:pt idx="94">
                  <c:v>2040</c:v>
                </c:pt>
                <c:pt idx="95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A-4A10-9C2B-CC5493A1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122400"/>
        <c:axId val="257122792"/>
      </c:barChart>
      <c:catAx>
        <c:axId val="2571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2792"/>
        <c:crosses val="autoZero"/>
        <c:auto val="1"/>
        <c:lblAlgn val="ctr"/>
        <c:lblOffset val="100"/>
        <c:noMultiLvlLbl val="0"/>
      </c:catAx>
      <c:valAx>
        <c:axId val="2571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[260-scroll-sheets.xlsx]Pivotchart 3!PivotTable1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3'!$A$2:$A$11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'Pivotchart 3'!$B$2:$B$11</c:f>
              <c:numCache>
                <c:formatCode>General</c:formatCode>
                <c:ptCount val="9"/>
                <c:pt idx="0">
                  <c:v>62</c:v>
                </c:pt>
                <c:pt idx="1">
                  <c:v>78</c:v>
                </c:pt>
                <c:pt idx="2">
                  <c:v>21</c:v>
                </c:pt>
                <c:pt idx="3">
                  <c:v>66</c:v>
                </c:pt>
                <c:pt idx="4">
                  <c:v>50</c:v>
                </c:pt>
                <c:pt idx="5">
                  <c:v>88</c:v>
                </c:pt>
                <c:pt idx="6">
                  <c:v>54</c:v>
                </c:pt>
                <c:pt idx="7">
                  <c:v>117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1-41D4-B8E1-76F09DCE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123576"/>
        <c:axId val="257123968"/>
      </c:barChart>
      <c:catAx>
        <c:axId val="25712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3968"/>
        <c:crosses val="autoZero"/>
        <c:auto val="1"/>
        <c:lblAlgn val="ctr"/>
        <c:lblOffset val="100"/>
        <c:noMultiLvlLbl val="0"/>
      </c:catAx>
      <c:valAx>
        <c:axId val="2571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Month'!$C$2:$N$2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FE7-B462-715CA072582F}"/>
            </c:ext>
          </c:extLst>
        </c:ser>
        <c:ser>
          <c:idx val="1"/>
          <c:order val="1"/>
          <c:tx>
            <c:strRef>
              <c:f>'Stacked 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Month'!$C$3:$N$3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0-4FE7-B462-715CA072582F}"/>
            </c:ext>
          </c:extLst>
        </c:ser>
        <c:ser>
          <c:idx val="2"/>
          <c:order val="2"/>
          <c:tx>
            <c:strRef>
              <c:f>'Stacked 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Month'!$C$4:$N$4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0-4FE7-B462-715CA072582F}"/>
            </c:ext>
          </c:extLst>
        </c:ser>
        <c:ser>
          <c:idx val="3"/>
          <c:order val="3"/>
          <c:tx>
            <c:strRef>
              <c:f>'Stacked 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Month'!$C$5:$N$5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0-4FE7-B462-715CA072582F}"/>
            </c:ext>
          </c:extLst>
        </c:ser>
        <c:ser>
          <c:idx val="4"/>
          <c:order val="4"/>
          <c:tx>
            <c:strRef>
              <c:f>'Stacked 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Month'!$C$6:$N$6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0-4FE7-B462-715CA072582F}"/>
            </c:ext>
          </c:extLst>
        </c:ser>
        <c:ser>
          <c:idx val="5"/>
          <c:order val="5"/>
          <c:tx>
            <c:strRef>
              <c:f>'Stacked 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Month'!$C$7:$N$7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10-4FE7-B462-715CA072582F}"/>
            </c:ext>
          </c:extLst>
        </c:ser>
        <c:ser>
          <c:idx val="6"/>
          <c:order val="6"/>
          <c:tx>
            <c:strRef>
              <c:f>'Stacked 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Month'!$C$8:$N$8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10-4FE7-B462-715CA0725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95312480"/>
        <c:axId val="295310128"/>
      </c:barChart>
      <c:catAx>
        <c:axId val="2953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0128"/>
        <c:crosses val="autoZero"/>
        <c:auto val="1"/>
        <c:lblAlgn val="ctr"/>
        <c:lblOffset val="100"/>
        <c:noMultiLvlLbl val="0"/>
      </c:catAx>
      <c:valAx>
        <c:axId val="2953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'Your Business'!$E$6</c:f>
              <c:strCache>
                <c:ptCount val="1"/>
                <c:pt idx="0">
                  <c:v>store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Business'!$F$6:$H$6</c:f>
              <c:numCache>
                <c:formatCode>General</c:formatCode>
                <c:ptCount val="3"/>
                <c:pt idx="0">
                  <c:v>575</c:v>
                </c:pt>
                <c:pt idx="1">
                  <c:v>625</c:v>
                </c:pt>
                <c:pt idx="2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4B08-88A3-314CA7181F75}"/>
            </c:ext>
          </c:extLst>
        </c:ser>
        <c:ser>
          <c:idx val="1"/>
          <c:order val="1"/>
          <c:tx>
            <c:strRef>
              <c:f>'Your Business'!$E$7</c:f>
              <c:strCache>
                <c:ptCount val="1"/>
                <c:pt idx="0">
                  <c:v>store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Business'!$F$7:$H$7</c:f>
              <c:numCache>
                <c:formatCode>General</c:formatCode>
                <c:ptCount val="3"/>
                <c:pt idx="0">
                  <c:v>375</c:v>
                </c:pt>
                <c:pt idx="1">
                  <c:v>425</c:v>
                </c:pt>
                <c:pt idx="2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E-4B08-88A3-314CA7181F75}"/>
            </c:ext>
          </c:extLst>
        </c:ser>
        <c:ser>
          <c:idx val="2"/>
          <c:order val="2"/>
          <c:tx>
            <c:strRef>
              <c:f>'Your Business'!$E$8</c:f>
              <c:strCache>
                <c:ptCount val="1"/>
                <c:pt idx="0">
                  <c:v>store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Business'!$F$8:$H$8</c:f>
              <c:numCache>
                <c:formatCode>General</c:formatCode>
                <c:ptCount val="3"/>
                <c:pt idx="0">
                  <c:v>480</c:v>
                </c:pt>
                <c:pt idx="1">
                  <c:v>593</c:v>
                </c:pt>
                <c:pt idx="2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E-4B08-88A3-314CA718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25144"/>
        <c:axId val="257125536"/>
      </c:lineChart>
      <c:catAx>
        <c:axId val="25712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5536"/>
        <c:crosses val="autoZero"/>
        <c:auto val="1"/>
        <c:lblAlgn val="ctr"/>
        <c:lblOffset val="100"/>
        <c:noMultiLvlLbl val="0"/>
      </c:catAx>
      <c:valAx>
        <c:axId val="2571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'Your Business'!$I$5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'Your Business'!$E$6:$E$8</c:f>
              <c:strCache>
                <c:ptCount val="3"/>
                <c:pt idx="0">
                  <c:v>store 1</c:v>
                </c:pt>
                <c:pt idx="1">
                  <c:v>store 2</c:v>
                </c:pt>
                <c:pt idx="2">
                  <c:v>store 3</c:v>
                </c:pt>
              </c:strCache>
            </c:strRef>
          </c:cat>
          <c:val>
            <c:numRef>
              <c:f>'Your Business'!$I$6:$I$8</c:f>
              <c:numCache>
                <c:formatCode>General</c:formatCode>
                <c:ptCount val="3"/>
                <c:pt idx="0">
                  <c:v>1905</c:v>
                </c:pt>
                <c:pt idx="1">
                  <c:v>1195</c:v>
                </c:pt>
                <c:pt idx="2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3-4EE2-AE38-8C0FBF1E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69112"/>
        <c:axId val="274869504"/>
      </c:barChart>
      <c:catAx>
        <c:axId val="2748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9504"/>
        <c:crosses val="autoZero"/>
        <c:auto val="1"/>
        <c:lblAlgn val="ctr"/>
        <c:lblOffset val="100"/>
        <c:noMultiLvlLbl val="0"/>
      </c:catAx>
      <c:valAx>
        <c:axId val="274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City'!$C$1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0-4E2A-A4DB-DD8A192D6FD8}"/>
            </c:ext>
          </c:extLst>
        </c:ser>
        <c:ser>
          <c:idx val="1"/>
          <c:order val="1"/>
          <c:tx>
            <c:strRef>
              <c:f>'Stacked Column - City'!$D$1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0-4E2A-A4DB-DD8A192D6FD8}"/>
            </c:ext>
          </c:extLst>
        </c:ser>
        <c:ser>
          <c:idx val="2"/>
          <c:order val="2"/>
          <c:tx>
            <c:strRef>
              <c:f>'Stacked Column - City'!$E$1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0-4E2A-A4DB-DD8A192D6FD8}"/>
            </c:ext>
          </c:extLst>
        </c:ser>
        <c:ser>
          <c:idx val="3"/>
          <c:order val="3"/>
          <c:tx>
            <c:strRef>
              <c:f>'Stacked Column - City'!$F$1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0-4E2A-A4DB-DD8A192D6FD8}"/>
            </c:ext>
          </c:extLst>
        </c:ser>
        <c:ser>
          <c:idx val="4"/>
          <c:order val="4"/>
          <c:tx>
            <c:strRef>
              <c:f>'Stacked Column - City'!$G$1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0-4E2A-A4DB-DD8A192D6FD8}"/>
            </c:ext>
          </c:extLst>
        </c:ser>
        <c:ser>
          <c:idx val="5"/>
          <c:order val="5"/>
          <c:tx>
            <c:strRef>
              <c:f>'Stacked Column - City'!$H$1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20-4E2A-A4DB-DD8A192D6FD8}"/>
            </c:ext>
          </c:extLst>
        </c:ser>
        <c:ser>
          <c:idx val="6"/>
          <c:order val="6"/>
          <c:tx>
            <c:strRef>
              <c:f>'Stacked Column - City'!$I$1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20-4E2A-A4DB-DD8A192D6FD8}"/>
            </c:ext>
          </c:extLst>
        </c:ser>
        <c:ser>
          <c:idx val="7"/>
          <c:order val="7"/>
          <c:tx>
            <c:strRef>
              <c:f>'Stacked Column - City'!$J$1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20-4E2A-A4DB-DD8A192D6FD8}"/>
            </c:ext>
          </c:extLst>
        </c:ser>
        <c:ser>
          <c:idx val="8"/>
          <c:order val="8"/>
          <c:tx>
            <c:strRef>
              <c:f>'Stacked Column - City'!$K$1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20-4E2A-A4DB-DD8A192D6FD8}"/>
            </c:ext>
          </c:extLst>
        </c:ser>
        <c:ser>
          <c:idx val="9"/>
          <c:order val="9"/>
          <c:tx>
            <c:strRef>
              <c:f>'Stacked Column - City'!$L$1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20-4E2A-A4DB-DD8A192D6FD8}"/>
            </c:ext>
          </c:extLst>
        </c:ser>
        <c:ser>
          <c:idx val="10"/>
          <c:order val="10"/>
          <c:tx>
            <c:strRef>
              <c:f>'Stacked Column - City'!$M$1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20-4E2A-A4DB-DD8A192D6FD8}"/>
            </c:ext>
          </c:extLst>
        </c:ser>
        <c:ser>
          <c:idx val="11"/>
          <c:order val="11"/>
          <c:tx>
            <c:strRef>
              <c:f>'Stacked Column - City'!$N$1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20-4E2A-A4DB-DD8A192D6F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26340544"/>
        <c:axId val="326340936"/>
      </c:barChart>
      <c:catAx>
        <c:axId val="326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0936"/>
        <c:crosses val="autoZero"/>
        <c:auto val="1"/>
        <c:lblAlgn val="ctr"/>
        <c:lblOffset val="100"/>
        <c:noMultiLvlLbl val="0"/>
      </c:catAx>
      <c:valAx>
        <c:axId val="3263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- City'!$C$1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0-4AA2-A44F-1555AD63E1ED}"/>
            </c:ext>
          </c:extLst>
        </c:ser>
        <c:ser>
          <c:idx val="1"/>
          <c:order val="1"/>
          <c:tx>
            <c:strRef>
              <c:f>'Stacked Bar - City'!$D$1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0-4AA2-A44F-1555AD63E1ED}"/>
            </c:ext>
          </c:extLst>
        </c:ser>
        <c:ser>
          <c:idx val="2"/>
          <c:order val="2"/>
          <c:tx>
            <c:strRef>
              <c:f>'Stacked Bar - City'!$E$1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0-4AA2-A44F-1555AD63E1ED}"/>
            </c:ext>
          </c:extLst>
        </c:ser>
        <c:ser>
          <c:idx val="3"/>
          <c:order val="3"/>
          <c:tx>
            <c:strRef>
              <c:f>'Stacked Bar - City'!$F$1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0-4AA2-A44F-1555AD63E1ED}"/>
            </c:ext>
          </c:extLst>
        </c:ser>
        <c:ser>
          <c:idx val="4"/>
          <c:order val="4"/>
          <c:tx>
            <c:strRef>
              <c:f>'Stacked Bar - City'!$G$1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0-4AA2-A44F-1555AD63E1ED}"/>
            </c:ext>
          </c:extLst>
        </c:ser>
        <c:ser>
          <c:idx val="5"/>
          <c:order val="5"/>
          <c:tx>
            <c:strRef>
              <c:f>'Stacked Bar - City'!$H$1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0-4AA2-A44F-1555AD63E1ED}"/>
            </c:ext>
          </c:extLst>
        </c:ser>
        <c:ser>
          <c:idx val="6"/>
          <c:order val="6"/>
          <c:tx>
            <c:strRef>
              <c:f>'Stacked Bar - City'!$I$1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0-4AA2-A44F-1555AD63E1ED}"/>
            </c:ext>
          </c:extLst>
        </c:ser>
        <c:ser>
          <c:idx val="7"/>
          <c:order val="7"/>
          <c:tx>
            <c:strRef>
              <c:f>'Stacked Bar - City'!$J$1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80-4AA2-A44F-1555AD63E1ED}"/>
            </c:ext>
          </c:extLst>
        </c:ser>
        <c:ser>
          <c:idx val="8"/>
          <c:order val="8"/>
          <c:tx>
            <c:strRef>
              <c:f>'Stacked Bar - City'!$K$1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0-4AA2-A44F-1555AD63E1ED}"/>
            </c:ext>
          </c:extLst>
        </c:ser>
        <c:ser>
          <c:idx val="9"/>
          <c:order val="9"/>
          <c:tx>
            <c:strRef>
              <c:f>'Stacked Bar - City'!$L$1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80-4AA2-A44F-1555AD63E1ED}"/>
            </c:ext>
          </c:extLst>
        </c:ser>
        <c:ser>
          <c:idx val="10"/>
          <c:order val="10"/>
          <c:tx>
            <c:strRef>
              <c:f>'Stacked Bar - City'!$M$1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80-4AA2-A44F-1555AD63E1ED}"/>
            </c:ext>
          </c:extLst>
        </c:ser>
        <c:ser>
          <c:idx val="11"/>
          <c:order val="11"/>
          <c:tx>
            <c:strRef>
              <c:f>'Stacked Bar - City'!$N$1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80-4AA2-A44F-1555AD63E1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26342896"/>
        <c:axId val="326273176"/>
      </c:barChart>
      <c:catAx>
        <c:axId val="32634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176"/>
        <c:crosses val="autoZero"/>
        <c:auto val="1"/>
        <c:lblAlgn val="ctr"/>
        <c:lblOffset val="100"/>
        <c:noMultiLvlLbl val="0"/>
      </c:catAx>
      <c:valAx>
        <c:axId val="32627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Location'!$C$1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4-4D3D-85A9-936FFAEADC20}"/>
            </c:ext>
          </c:extLst>
        </c:ser>
        <c:ser>
          <c:idx val="1"/>
          <c:order val="1"/>
          <c:tx>
            <c:strRef>
              <c:f>'Column - Location'!$D$1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4-4D3D-85A9-936FFAEADC20}"/>
            </c:ext>
          </c:extLst>
        </c:ser>
        <c:ser>
          <c:idx val="2"/>
          <c:order val="2"/>
          <c:tx>
            <c:strRef>
              <c:f>'Column - Location'!$E$1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4-4D3D-85A9-936FFAEADC20}"/>
            </c:ext>
          </c:extLst>
        </c:ser>
        <c:ser>
          <c:idx val="3"/>
          <c:order val="3"/>
          <c:tx>
            <c:strRef>
              <c:f>'Column - Location'!$F$1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4-4D3D-85A9-936FFAEADC20}"/>
            </c:ext>
          </c:extLst>
        </c:ser>
        <c:ser>
          <c:idx val="4"/>
          <c:order val="4"/>
          <c:tx>
            <c:strRef>
              <c:f>'Column - Location'!$G$1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4-4D3D-85A9-936FFAEADC20}"/>
            </c:ext>
          </c:extLst>
        </c:ser>
        <c:ser>
          <c:idx val="5"/>
          <c:order val="5"/>
          <c:tx>
            <c:strRef>
              <c:f>'Column - Location'!$H$1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4-4D3D-85A9-936FFAEADC20}"/>
            </c:ext>
          </c:extLst>
        </c:ser>
        <c:ser>
          <c:idx val="6"/>
          <c:order val="6"/>
          <c:tx>
            <c:strRef>
              <c:f>'Column - Location'!$I$1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4-4D3D-85A9-936FFAEADC20}"/>
            </c:ext>
          </c:extLst>
        </c:ser>
        <c:ser>
          <c:idx val="7"/>
          <c:order val="7"/>
          <c:tx>
            <c:strRef>
              <c:f>'Column - Location'!$J$1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4-4D3D-85A9-936FFAEADC20}"/>
            </c:ext>
          </c:extLst>
        </c:ser>
        <c:ser>
          <c:idx val="8"/>
          <c:order val="8"/>
          <c:tx>
            <c:strRef>
              <c:f>'Column - Location'!$K$1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74-4D3D-85A9-936FFAEADC20}"/>
            </c:ext>
          </c:extLst>
        </c:ser>
        <c:ser>
          <c:idx val="9"/>
          <c:order val="9"/>
          <c:tx>
            <c:strRef>
              <c:f>'Column - Location'!$L$1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74-4D3D-85A9-936FFAEADC20}"/>
            </c:ext>
          </c:extLst>
        </c:ser>
        <c:ser>
          <c:idx val="10"/>
          <c:order val="10"/>
          <c:tx>
            <c:strRef>
              <c:f>'Column - Location'!$M$1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4-4D3D-85A9-936FFAEADC20}"/>
            </c:ext>
          </c:extLst>
        </c:ser>
        <c:ser>
          <c:idx val="11"/>
          <c:order val="11"/>
          <c:tx>
            <c:strRef>
              <c:f>'Column - Location'!$N$1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74-4D3D-85A9-936FFAEA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73568"/>
        <c:axId val="326275528"/>
      </c:barChart>
      <c:catAx>
        <c:axId val="3262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5528"/>
        <c:crosses val="autoZero"/>
        <c:auto val="1"/>
        <c:lblAlgn val="ctr"/>
        <c:lblOffset val="100"/>
        <c:noMultiLvlLbl val="0"/>
      </c:catAx>
      <c:valAx>
        <c:axId val="326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A5-4CD4-BAD8-8F0E528B3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5-4CD4-BAD8-8F0E528B3E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A5-4CD4-BAD8-8F0E528B3E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A5-4CD4-BAD8-8F0E528B3E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A5-4CD4-BAD8-8F0E528B3E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A5-4CD4-BAD8-8F0E528B3E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A5-4CD4-BAD8-8F0E528B3E0B}"/>
              </c:ext>
            </c:extLst>
          </c:dPt>
          <c:cat>
            <c:strRef>
              <c:f>'Pie Comparison'!$A$2:$A$8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'Pie Comparison'!$O$2:$O$8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A5-4CD4-BAD8-8F0E528B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00-4BD5-AB13-57F90BE36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00-4BD5-AB13-57F90BE36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00-4BD5-AB13-57F90BE36C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00-4BD5-AB13-57F90BE36C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500-4BD5-AB13-57F90BE36C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00-4BD5-AB13-57F90BE36C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500-4BD5-AB13-57F90BE36C09}"/>
              </c:ext>
            </c:extLst>
          </c:dPt>
          <c:cat>
            <c:strRef>
              <c:f>'Pie Comparison'!$A$2:$A$8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'Pie Comparison'!$O$2:$O$8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00-4BD5-AB13-57F90BE36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apminder.org/world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aaronkoblin.com/work/flightpatterns/" TargetMode="Externa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http://office.microsoft.com/en-us/templates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0</xdr:row>
      <xdr:rowOff>76200</xdr:rowOff>
    </xdr:from>
    <xdr:to>
      <xdr:col>22</xdr:col>
      <xdr:colOff>247650</xdr:colOff>
      <xdr:row>38</xdr:row>
      <xdr:rowOff>185145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76200"/>
          <a:ext cx="10058400" cy="73479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736599</xdr:colOff>
      <xdr:row>10</xdr:row>
      <xdr:rowOff>14287</xdr:rowOff>
    </xdr:from>
    <xdr:to>
      <xdr:col>9</xdr:col>
      <xdr:colOff>576262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9</xdr:row>
      <xdr:rowOff>185736</xdr:rowOff>
    </xdr:from>
    <xdr:to>
      <xdr:col>21</xdr:col>
      <xdr:colOff>123825</xdr:colOff>
      <xdr:row>29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9</xdr:row>
      <xdr:rowOff>157162</xdr:rowOff>
    </xdr:from>
    <xdr:to>
      <xdr:col>16</xdr:col>
      <xdr:colOff>276224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195262</xdr:rowOff>
    </xdr:from>
    <xdr:to>
      <xdr:col>10</xdr:col>
      <xdr:colOff>342900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195262</xdr:rowOff>
    </xdr:from>
    <xdr:to>
      <xdr:col>20</xdr:col>
      <xdr:colOff>390525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</xdr:colOff>
      <xdr:row>1</xdr:row>
      <xdr:rowOff>23812</xdr:rowOff>
    </xdr:from>
    <xdr:to>
      <xdr:col>30</xdr:col>
      <xdr:colOff>371475</xdr:colOff>
      <xdr:row>14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69028</xdr:colOff>
      <xdr:row>21</xdr:row>
      <xdr:rowOff>168465</xdr:rowOff>
    </xdr:from>
    <xdr:to>
      <xdr:col>32</xdr:col>
      <xdr:colOff>215154</xdr:colOff>
      <xdr:row>36</xdr:row>
      <xdr:rowOff>166231</xdr:rowOff>
    </xdr:to>
    <xdr:sp macro="" textlink="">
      <xdr:nvSpPr>
        <xdr:cNvPr id="6" name="Explosion 1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 rot="1798433">
          <a:off x="14499403" y="4368990"/>
          <a:ext cx="3194126" cy="2864791"/>
        </a:xfrm>
        <a:prstGeom prst="irregularSeal1">
          <a:avLst/>
        </a:prstGeom>
        <a:solidFill>
          <a:schemeClr val="accent2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EXPERIMENT WITH WHAT</a:t>
          </a:r>
          <a:r>
            <a:rPr lang="en-US" sz="1400" b="1" baseline="0">
              <a:solidFill>
                <a:sysClr val="windowText" lastClr="000000"/>
              </a:solidFill>
            </a:rPr>
            <a:t> YOU SELECT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179384</xdr:colOff>
      <xdr:row>0</xdr:row>
      <xdr:rowOff>0</xdr:rowOff>
    </xdr:from>
    <xdr:to>
      <xdr:col>22</xdr:col>
      <xdr:colOff>47625</xdr:colOff>
      <xdr:row>36</xdr:row>
      <xdr:rowOff>187644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0</xdr:rowOff>
    </xdr:from>
    <xdr:to>
      <xdr:col>22</xdr:col>
      <xdr:colOff>57150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179384</xdr:colOff>
      <xdr:row>0</xdr:row>
      <xdr:rowOff>0</xdr:rowOff>
    </xdr:from>
    <xdr:to>
      <xdr:col>22</xdr:col>
      <xdr:colOff>47625</xdr:colOff>
      <xdr:row>36</xdr:row>
      <xdr:rowOff>187644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195262</xdr:rowOff>
    </xdr:from>
    <xdr:to>
      <xdr:col>27</xdr:col>
      <xdr:colOff>342900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162174</xdr:colOff>
      <xdr:row>0</xdr:row>
      <xdr:rowOff>40855</xdr:rowOff>
    </xdr:from>
    <xdr:to>
      <xdr:col>27</xdr:col>
      <xdr:colOff>314325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0</xdr:row>
      <xdr:rowOff>242887</xdr:rowOff>
    </xdr:from>
    <xdr:to>
      <xdr:col>12</xdr:col>
      <xdr:colOff>133350</xdr:colOff>
      <xdr:row>11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0</xdr:row>
      <xdr:rowOff>128587</xdr:rowOff>
    </xdr:from>
    <xdr:to>
      <xdr:col>22</xdr:col>
      <xdr:colOff>381001</xdr:colOff>
      <xdr:row>11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14287</xdr:rowOff>
    </xdr:from>
    <xdr:to>
      <xdr:col>7</xdr:col>
      <xdr:colOff>352425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10</xdr:row>
      <xdr:rowOff>185737</xdr:rowOff>
    </xdr:from>
    <xdr:to>
      <xdr:col>18</xdr:col>
      <xdr:colOff>333375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10</xdr:row>
      <xdr:rowOff>185737</xdr:rowOff>
    </xdr:from>
    <xdr:to>
      <xdr:col>28</xdr:col>
      <xdr:colOff>361950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19</xdr:col>
      <xdr:colOff>390525</xdr:colOff>
      <xdr:row>38</xdr:row>
      <xdr:rowOff>28743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23825"/>
          <a:ext cx="11734800" cy="714391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</xdr:row>
      <xdr:rowOff>33337</xdr:rowOff>
    </xdr:from>
    <xdr:to>
      <xdr:col>28</xdr:col>
      <xdr:colOff>561974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10</xdr:row>
      <xdr:rowOff>138112</xdr:rowOff>
    </xdr:from>
    <xdr:to>
      <xdr:col>7</xdr:col>
      <xdr:colOff>404812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10</xdr:row>
      <xdr:rowOff>142875</xdr:rowOff>
    </xdr:from>
    <xdr:to>
      <xdr:col>15</xdr:col>
      <xdr:colOff>266700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10</xdr:row>
      <xdr:rowOff>123825</xdr:rowOff>
    </xdr:from>
    <xdr:to>
      <xdr:col>23</xdr:col>
      <xdr:colOff>209550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4762</xdr:rowOff>
    </xdr:from>
    <xdr:to>
      <xdr:col>8</xdr:col>
      <xdr:colOff>311150</xdr:colOff>
      <xdr:row>10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2</xdr:row>
      <xdr:rowOff>42862</xdr:rowOff>
    </xdr:from>
    <xdr:to>
      <xdr:col>16</xdr:col>
      <xdr:colOff>231775</xdr:colOff>
      <xdr:row>10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</xdr:colOff>
      <xdr:row>1</xdr:row>
      <xdr:rowOff>61912</xdr:rowOff>
    </xdr:from>
    <xdr:to>
      <xdr:col>27</xdr:col>
      <xdr:colOff>347662</xdr:colOff>
      <xdr:row>14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52387</xdr:rowOff>
    </xdr:from>
    <xdr:to>
      <xdr:col>11</xdr:col>
      <xdr:colOff>500062</xdr:colOff>
      <xdr:row>18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</xdr:row>
      <xdr:rowOff>38100</xdr:rowOff>
    </xdr:from>
    <xdr:to>
      <xdr:col>19</xdr:col>
      <xdr:colOff>400050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114300</xdr:colOff>
      <xdr:row>4</xdr:row>
      <xdr:rowOff>28575</xdr:rowOff>
    </xdr:from>
    <xdr:to>
      <xdr:col>38</xdr:col>
      <xdr:colOff>172309</xdr:colOff>
      <xdr:row>34</xdr:row>
      <xdr:rowOff>57952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pSpPr/>
      </xdr:nvGrpSpPr>
      <xdr:grpSpPr>
        <a:xfrm>
          <a:off x="16278225" y="990600"/>
          <a:ext cx="6154009" cy="5744377"/>
          <a:chOff x="16516350" y="0"/>
          <a:chExt cx="6154009" cy="5744377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6350" y="0"/>
            <a:ext cx="6154009" cy="5744377"/>
          </a:xfrm>
          <a:prstGeom prst="rect">
            <a:avLst/>
          </a:prstGeom>
        </xdr:spPr>
      </xdr:pic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/>
        </xdr:nvSpPr>
        <xdr:spPr>
          <a:xfrm>
            <a:off x="21490780" y="3781425"/>
            <a:ext cx="1045369" cy="628650"/>
          </a:xfrm>
          <a:prstGeom prst="ellipse">
            <a:avLst/>
          </a:prstGeom>
          <a:noFill/>
          <a:ln w="508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39</xdr:col>
      <xdr:colOff>0</xdr:colOff>
      <xdr:row>4</xdr:row>
      <xdr:rowOff>0</xdr:rowOff>
    </xdr:from>
    <xdr:to>
      <xdr:col>46</xdr:col>
      <xdr:colOff>304800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3</xdr:row>
      <xdr:rowOff>171450</xdr:rowOff>
    </xdr:from>
    <xdr:to>
      <xdr:col>54</xdr:col>
      <xdr:colOff>304800</xdr:colOff>
      <xdr:row>18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338136</xdr:colOff>
      <xdr:row>3</xdr:row>
      <xdr:rowOff>176211</xdr:rowOff>
    </xdr:from>
    <xdr:to>
      <xdr:col>23</xdr:col>
      <xdr:colOff>76200</xdr:colOff>
      <xdr:row>38</xdr:row>
      <xdr:rowOff>5625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20</xdr:col>
      <xdr:colOff>142874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0</xdr:row>
      <xdr:rowOff>85724</xdr:rowOff>
    </xdr:from>
    <xdr:to>
      <xdr:col>20</xdr:col>
      <xdr:colOff>504824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0</xdr:row>
      <xdr:rowOff>85724</xdr:rowOff>
    </xdr:from>
    <xdr:to>
      <xdr:col>20</xdr:col>
      <xdr:colOff>504824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119062</xdr:rowOff>
    </xdr:from>
    <xdr:to>
      <xdr:col>16</xdr:col>
      <xdr:colOff>466725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15</xdr:row>
      <xdr:rowOff>61912</xdr:rowOff>
    </xdr:from>
    <xdr:to>
      <xdr:col>16</xdr:col>
      <xdr:colOff>523875</xdr:colOff>
      <xdr:row>29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9</xdr:row>
      <xdr:rowOff>180975</xdr:rowOff>
    </xdr:from>
    <xdr:to>
      <xdr:col>21</xdr:col>
      <xdr:colOff>219075</xdr:colOff>
      <xdr:row>18</xdr:row>
      <xdr:rowOff>19050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 txBox="1"/>
      </xdr:nvSpPr>
      <xdr:spPr>
        <a:xfrm>
          <a:off x="2981325" y="1895475"/>
          <a:ext cx="10039350" cy="1552575"/>
        </a:xfrm>
        <a:prstGeom prst="rect">
          <a:avLst/>
        </a:prstGeom>
        <a:solidFill>
          <a:schemeClr val="accent2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600"/>
            <a:t>GO TO TEMPLATES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147638</xdr:rowOff>
    </xdr:from>
    <xdr:to>
      <xdr:col>9</xdr:col>
      <xdr:colOff>571500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176211</xdr:rowOff>
    </xdr:from>
    <xdr:to>
      <xdr:col>23</xdr:col>
      <xdr:colOff>219075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" refreshedDate="41381.365971296298" createdVersion="5" refreshedVersion="5" minRefreshableVersion="3" recordCount="96">
  <cacheSource type="worksheet">
    <worksheetSource ref="A2:H98" sheet="Employee Data"/>
  </cacheSource>
  <cacheFields count="8">
    <cacheField name="Full Name" numFmtId="0">
      <sharedItems count="96">
        <s v="Rose Moreno"/>
        <s v="Richard  Garza"/>
        <s v="Christopher Battah"/>
        <s v="Margaret Pavlovich"/>
        <s v="Johnathan A Wilhite"/>
        <s v="Saif Perrine"/>
        <s v="Janalee Eggleston"/>
        <s v="Eric W. Kilbride"/>
        <s v="Matthew Tait"/>
        <s v="Shireen Battah"/>
        <s v="Joshua Daniel"/>
        <s v="Roshan Coon"/>
        <s v="Joeanne Melendez"/>
        <s v="Ricardo Bergman"/>
        <s v="Willow Nevandro"/>
        <s v="Donna K. Bulgar"/>
        <s v="Kelley Reneau"/>
        <s v="Sara Webb"/>
        <s v="Genevieve   Knapp"/>
        <s v="Ian Helmer "/>
        <s v="Tiffany M Blake"/>
        <s v="Saxton Peterson"/>
        <s v="Melissa Torruella"/>
        <s v="Yvette Hurtado "/>
        <s v="Benny Melendez"/>
        <s v="Steven  Bolin"/>
        <s v="Brian M Stucki"/>
        <s v="Kelly Queen"/>
        <s v="Jacqueline N. Hildebrand"/>
        <s v="Julia  Hegwood "/>
        <s v="William Melendez"/>
        <s v="Heela Kraft"/>
        <s v="Matthew W Yamaguchi"/>
        <s v="Manuel Steele"/>
        <s v="James Wilson"/>
        <s v="Bryan Brier"/>
        <s v="Rebecca L. Haight"/>
        <s v="Rikkie J Mahone"/>
        <s v="Grant Tomasevic"/>
        <s v="Alicia A. Elmasian"/>
        <s v="Natalie H. Woodford"/>
        <s v="Jena Coon"/>
        <s v="Ernest Trent"/>
        <s v="Martie Elmasian"/>
        <s v="Cristhian Roth"/>
        <s v="Rebecca Negrete"/>
        <s v="Michelle  Shevlin"/>
        <s v="Micah Chokeir"/>
        <s v="Julie Yost"/>
        <s v="Jonathan C. Parnell"/>
        <s v="Jeremiah De Grazia"/>
        <s v="Stacy L Chen"/>
        <s v="Elena Miriam Hillen "/>
        <s v="Natalie H. Zeidell"/>
        <s v="Alyssa Adefioye"/>
        <s v="Kevin Nevandro"/>
        <s v="Cassandra Perry"/>
        <s v="Krisaundra Hightower"/>
        <s v="Cindy Summerville"/>
        <s v="Erik G. Rinehart"/>
        <s v="Ahlam Aby"/>
        <s v="Alexis Ripley"/>
        <s v="Michelle  Greenwell"/>
        <s v="Ricardo Sherrell"/>
        <s v="Matthew H. Rios"/>
        <s v="Laura S Greenwell"/>
        <s v="Bryan Anderson"/>
        <s v="Marylou M. Diaz"/>
        <s v="Joshua Fields"/>
        <s v="Stephen H. Thomas"/>
        <s v="Jacqueline N. Gappy"/>
        <s v="Corine M. Henderson"/>
        <s v="Laura Aguirre"/>
        <s v="Rosa I. Peralta"/>
        <s v="Harman Abraha"/>
        <s v="Jesse Wooten"/>
        <s v="Elena Miriam Woodburn"/>
        <s v="Gabriel R. Self"/>
        <s v="Micah Talia"/>
        <s v="Benny Erwin"/>
        <s v="James Oberndorfer"/>
        <s v="Ryan Kennedy "/>
        <s v="Julie Harken"/>
        <s v="Tamara Pacheco"/>
        <s v="Ann Sharp"/>
        <s v="Elena Miriam Takahashi"/>
        <s v="Katherine Battah"/>
        <s v="John  Michael"/>
        <s v="Alison Johnson"/>
        <s v="Jessica Rodriguez"/>
        <s v="Joshua Johnson"/>
        <s v="Tony Merrick"/>
        <s v="Ernest Talia"/>
        <s v="Moriel Caldwell"/>
        <s v="Ryan  Mesko"/>
        <s v="Brian Tomasevic"/>
      </sharedItems>
    </cacheField>
    <cacheField name="Hire Date" numFmtId="14">
      <sharedItems containsSemiMixedTypes="0" containsNonDate="0" containsDate="1" containsString="0" minDate="2000-05-13T00:00:00" maxDate="2008-12-14T00:00:00"/>
    </cacheField>
    <cacheField name="Salary" numFmtId="164">
      <sharedItems containsSemiMixedTypes="0" containsString="0" containsNumber="1" containsInteger="1" minValue="16000" maxValue="145000" count="57">
        <n v="16000"/>
        <n v="25000"/>
        <n v="26000"/>
        <n v="27000"/>
        <n v="28000"/>
        <n v="30000"/>
        <n v="31000"/>
        <n v="32000"/>
        <n v="34000"/>
        <n v="35000"/>
        <n v="36000"/>
        <n v="38000"/>
        <n v="39000"/>
        <n v="40000"/>
        <n v="41000"/>
        <n v="42000"/>
        <n v="43000"/>
        <n v="44000"/>
        <n v="45000"/>
        <n v="46000"/>
        <n v="47000"/>
        <n v="48000"/>
        <n v="51000"/>
        <n v="52000"/>
        <n v="53000"/>
        <n v="54000"/>
        <n v="55000"/>
        <n v="57000"/>
        <n v="58000"/>
        <n v="59000"/>
        <n v="60000"/>
        <n v="62000"/>
        <n v="63000"/>
        <n v="64000"/>
        <n v="65000"/>
        <n v="66000"/>
        <n v="67000"/>
        <n v="68000"/>
        <n v="72000"/>
        <n v="73000"/>
        <n v="74000"/>
        <n v="75000"/>
        <n v="76000"/>
        <n v="77000"/>
        <n v="80000"/>
        <n v="81000"/>
        <n v="83000"/>
        <n v="85000"/>
        <n v="87000"/>
        <n v="89000"/>
        <n v="94000"/>
        <n v="96000"/>
        <n v="105000"/>
        <n v="110000"/>
        <n v="119000"/>
        <n v="123000"/>
        <n v="145000"/>
      </sharedItems>
    </cacheField>
    <cacheField name="Bonus" numFmtId="164">
      <sharedItems containsSemiMixedTypes="0" containsString="0" containsNumber="1" minValue="750" maxValue="52000"/>
    </cacheField>
    <cacheField name="Overtime" numFmtId="164">
      <sharedItems containsSemiMixedTypes="0" containsString="0" containsNumber="1" minValue="0" maxValue="7830"/>
    </cacheField>
    <cacheField name="Department" numFmtId="0">
      <sharedItems count="9">
        <s v="Finance"/>
        <s v="Administration"/>
        <s v="Human Resources"/>
        <s v="Marketing"/>
        <s v="R&amp;D"/>
        <s v="Customer Support"/>
        <s v="Accounting"/>
        <s v="IT"/>
        <s v="Sales"/>
      </sharedItems>
    </cacheField>
    <cacheField name="Sick Days" numFmtId="0">
      <sharedItems containsSemiMixedTypes="0" containsString="0" containsNumber="1" containsInteger="1" minValue="1" maxValue="15"/>
    </cacheField>
    <cacheField name="Performance Scor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d v="2007-05-09T00:00:00"/>
    <x v="0"/>
    <n v="2080"/>
    <n v="160"/>
    <x v="0"/>
    <n v="3"/>
    <n v="4"/>
  </r>
  <r>
    <x v="1"/>
    <d v="2003-01-16T00:00:00"/>
    <x v="1"/>
    <n v="750"/>
    <n v="750"/>
    <x v="1"/>
    <n v="8"/>
    <n v="1"/>
  </r>
  <r>
    <x v="2"/>
    <d v="2008-05-13T00:00:00"/>
    <x v="1"/>
    <n v="1500"/>
    <n v="750"/>
    <x v="2"/>
    <n v="6"/>
    <n v="2"/>
  </r>
  <r>
    <x v="3"/>
    <d v="2007-07-20T00:00:00"/>
    <x v="2"/>
    <n v="3380"/>
    <n v="780"/>
    <x v="0"/>
    <n v="8"/>
    <n v="4"/>
  </r>
  <r>
    <x v="4"/>
    <d v="2004-06-08T00:00:00"/>
    <x v="3"/>
    <n v="810"/>
    <n v="2160"/>
    <x v="3"/>
    <n v="9"/>
    <n v="1"/>
  </r>
  <r>
    <x v="5"/>
    <d v="2006-03-01T00:00:00"/>
    <x v="3"/>
    <n v="4500"/>
    <n v="0"/>
    <x v="3"/>
    <n v="7"/>
    <n v="5"/>
  </r>
  <r>
    <x v="6"/>
    <d v="2001-10-21T00:00:00"/>
    <x v="4"/>
    <n v="4200"/>
    <n v="0"/>
    <x v="4"/>
    <n v="6"/>
    <n v="5"/>
  </r>
  <r>
    <x v="7"/>
    <d v="2005-09-25T00:00:00"/>
    <x v="4"/>
    <n v="3640"/>
    <n v="1400"/>
    <x v="1"/>
    <n v="7"/>
    <n v="4"/>
  </r>
  <r>
    <x v="8"/>
    <d v="2002-02-16T00:00:00"/>
    <x v="5"/>
    <n v="3300"/>
    <n v="3000"/>
    <x v="5"/>
    <n v="4"/>
    <n v="4"/>
  </r>
  <r>
    <x v="9"/>
    <d v="2003-04-30T00:00:00"/>
    <x v="5"/>
    <n v="1800"/>
    <n v="1800"/>
    <x v="6"/>
    <n v="1"/>
    <n v="2"/>
  </r>
  <r>
    <x v="10"/>
    <d v="2003-03-22T00:00:00"/>
    <x v="6"/>
    <n v="2790"/>
    <n v="310"/>
    <x v="1"/>
    <n v="4"/>
    <n v="3"/>
  </r>
  <r>
    <x v="11"/>
    <d v="2007-05-01T00:00:00"/>
    <x v="6"/>
    <n v="1240"/>
    <n v="930"/>
    <x v="2"/>
    <n v="2"/>
    <n v="1"/>
  </r>
  <r>
    <x v="12"/>
    <d v="2001-05-04T00:00:00"/>
    <x v="7"/>
    <n v="2240"/>
    <n v="0"/>
    <x v="4"/>
    <n v="9"/>
    <n v="2"/>
  </r>
  <r>
    <x v="13"/>
    <d v="2007-10-26T00:00:00"/>
    <x v="7"/>
    <n v="4160"/>
    <n v="640"/>
    <x v="4"/>
    <n v="8"/>
    <n v="4"/>
  </r>
  <r>
    <x v="14"/>
    <d v="2000-10-18T00:00:00"/>
    <x v="8"/>
    <n v="4420"/>
    <n v="2040"/>
    <x v="1"/>
    <n v="8"/>
    <n v="4"/>
  </r>
  <r>
    <x v="15"/>
    <d v="2007-08-23T00:00:00"/>
    <x v="8"/>
    <n v="4080"/>
    <n v="3060"/>
    <x v="7"/>
    <n v="5"/>
    <n v="4"/>
  </r>
  <r>
    <x v="16"/>
    <d v="2006-01-09T00:00:00"/>
    <x v="9"/>
    <n v="1750"/>
    <n v="1050"/>
    <x v="6"/>
    <n v="7"/>
    <n v="2"/>
  </r>
  <r>
    <x v="17"/>
    <d v="2007-10-09T00:00:00"/>
    <x v="9"/>
    <n v="3500"/>
    <n v="2100"/>
    <x v="4"/>
    <n v="8"/>
    <n v="3"/>
  </r>
  <r>
    <x v="18"/>
    <d v="2006-04-02T00:00:00"/>
    <x v="9"/>
    <n v="26000"/>
    <n v="0"/>
    <x v="8"/>
    <n v="1"/>
    <n v="3"/>
  </r>
  <r>
    <x v="19"/>
    <d v="2008-12-13T00:00:00"/>
    <x v="10"/>
    <n v="2520.0000000000005"/>
    <n v="1800"/>
    <x v="3"/>
    <n v="1"/>
    <n v="2"/>
  </r>
  <r>
    <x v="20"/>
    <d v="2008-04-28T00:00:00"/>
    <x v="11"/>
    <n v="1900"/>
    <n v="0"/>
    <x v="7"/>
    <n v="4"/>
    <n v="2"/>
  </r>
  <r>
    <x v="21"/>
    <d v="2008-03-15T00:00:00"/>
    <x v="12"/>
    <n v="780"/>
    <n v="390"/>
    <x v="3"/>
    <n v="9"/>
    <n v="1"/>
  </r>
  <r>
    <x v="22"/>
    <d v="2005-10-19T00:00:00"/>
    <x v="13"/>
    <n v="5600.0000000000009"/>
    <n v="0"/>
    <x v="5"/>
    <n v="7"/>
    <n v="5"/>
  </r>
  <r>
    <x v="23"/>
    <d v="2003-12-14T00:00:00"/>
    <x v="13"/>
    <n v="1600"/>
    <n v="1600"/>
    <x v="0"/>
    <n v="6"/>
    <n v="1"/>
  </r>
  <r>
    <x v="24"/>
    <d v="2008-09-28T00:00:00"/>
    <x v="14"/>
    <n v="2050"/>
    <n v="1640"/>
    <x v="2"/>
    <n v="9"/>
    <n v="2"/>
  </r>
  <r>
    <x v="25"/>
    <d v="2002-02-02T00:00:00"/>
    <x v="15"/>
    <n v="2520"/>
    <n v="3780"/>
    <x v="6"/>
    <n v="9"/>
    <n v="2"/>
  </r>
  <r>
    <x v="26"/>
    <d v="2001-05-10T00:00:00"/>
    <x v="16"/>
    <n v="4730"/>
    <n v="0"/>
    <x v="8"/>
    <n v="7"/>
    <n v="4"/>
  </r>
  <r>
    <x v="27"/>
    <d v="2001-01-13T00:00:00"/>
    <x v="16"/>
    <n v="42000"/>
    <n v="0"/>
    <x v="8"/>
    <n v="5"/>
    <n v="5"/>
  </r>
  <r>
    <x v="28"/>
    <d v="2006-08-11T00:00:00"/>
    <x v="17"/>
    <n v="1320"/>
    <n v="880"/>
    <x v="0"/>
    <n v="6"/>
    <n v="1"/>
  </r>
  <r>
    <x v="29"/>
    <d v="2000-08-24T00:00:00"/>
    <x v="18"/>
    <n v="37000"/>
    <n v="0"/>
    <x v="8"/>
    <n v="9"/>
    <n v="4"/>
  </r>
  <r>
    <x v="30"/>
    <d v="2004-05-24T00:00:00"/>
    <x v="18"/>
    <n v="5850"/>
    <n v="4500"/>
    <x v="1"/>
    <n v="4"/>
    <n v="4"/>
  </r>
  <r>
    <x v="31"/>
    <d v="2008-12-08T00:00:00"/>
    <x v="18"/>
    <n v="900"/>
    <n v="0"/>
    <x v="7"/>
    <n v="7"/>
    <n v="1"/>
  </r>
  <r>
    <x v="32"/>
    <d v="2005-05-20T00:00:00"/>
    <x v="19"/>
    <n v="2300"/>
    <n v="0"/>
    <x v="8"/>
    <n v="3"/>
    <n v="2"/>
  </r>
  <r>
    <x v="33"/>
    <d v="2002-07-05T00:00:00"/>
    <x v="20"/>
    <n v="2820"/>
    <n v="470"/>
    <x v="2"/>
    <n v="7"/>
    <n v="2"/>
  </r>
  <r>
    <x v="34"/>
    <d v="2002-01-03T00:00:00"/>
    <x v="21"/>
    <n v="5760"/>
    <n v="4800"/>
    <x v="6"/>
    <n v="7"/>
    <n v="4"/>
  </r>
  <r>
    <x v="35"/>
    <d v="2004-08-01T00:00:00"/>
    <x v="21"/>
    <n v="3840"/>
    <n v="4320"/>
    <x v="0"/>
    <n v="8"/>
    <n v="3"/>
  </r>
  <r>
    <x v="36"/>
    <d v="2005-02-14T00:00:00"/>
    <x v="21"/>
    <n v="6720.0000000000009"/>
    <n v="2400"/>
    <x v="6"/>
    <n v="4"/>
    <n v="5"/>
  </r>
  <r>
    <x v="37"/>
    <d v="2003-11-27T00:00:00"/>
    <x v="21"/>
    <n v="6240"/>
    <n v="480"/>
    <x v="3"/>
    <n v="6"/>
    <n v="4"/>
  </r>
  <r>
    <x v="38"/>
    <d v="2008-01-29T00:00:00"/>
    <x v="21"/>
    <n v="4800"/>
    <n v="3360.0000000000005"/>
    <x v="4"/>
    <n v="7"/>
    <n v="3"/>
  </r>
  <r>
    <x v="39"/>
    <d v="2008-01-25T00:00:00"/>
    <x v="22"/>
    <n v="6630"/>
    <n v="2040"/>
    <x v="2"/>
    <n v="9"/>
    <n v="4"/>
  </r>
  <r>
    <x v="40"/>
    <d v="2005-12-21T00:00:00"/>
    <x v="23"/>
    <n v="1560"/>
    <n v="3640.0000000000005"/>
    <x v="4"/>
    <n v="11"/>
    <n v="1"/>
  </r>
  <r>
    <x v="41"/>
    <d v="2007-06-28T00:00:00"/>
    <x v="24"/>
    <n v="35000"/>
    <n v="0"/>
    <x v="8"/>
    <n v="3"/>
    <n v="3"/>
  </r>
  <r>
    <x v="42"/>
    <d v="2007-06-25T00:00:00"/>
    <x v="24"/>
    <n v="5300"/>
    <n v="530"/>
    <x v="3"/>
    <n v="3"/>
    <n v="3"/>
  </r>
  <r>
    <x v="43"/>
    <d v="2000-12-07T00:00:00"/>
    <x v="25"/>
    <n v="5400"/>
    <n v="3780.0000000000005"/>
    <x v="1"/>
    <n v="7"/>
    <n v="3"/>
  </r>
  <r>
    <x v="44"/>
    <d v="2001-04-02T00:00:00"/>
    <x v="25"/>
    <n v="1620"/>
    <n v="4320"/>
    <x v="1"/>
    <n v="8"/>
    <n v="1"/>
  </r>
  <r>
    <x v="45"/>
    <d v="2004-04-27T00:00:00"/>
    <x v="25"/>
    <n v="5400"/>
    <n v="4860"/>
    <x v="6"/>
    <n v="6"/>
    <n v="3"/>
  </r>
  <r>
    <x v="46"/>
    <d v="2006-02-28T00:00:00"/>
    <x v="25"/>
    <n v="8100"/>
    <n v="1620"/>
    <x v="4"/>
    <n v="9"/>
    <n v="5"/>
  </r>
  <r>
    <x v="47"/>
    <d v="2001-12-21T00:00:00"/>
    <x v="26"/>
    <n v="1100"/>
    <n v="0"/>
    <x v="7"/>
    <n v="9"/>
    <n v="1"/>
  </r>
  <r>
    <x v="48"/>
    <d v="2003-11-07T00:00:00"/>
    <x v="27"/>
    <n v="3990.0000000000005"/>
    <n v="570"/>
    <x v="0"/>
    <n v="8"/>
    <n v="2"/>
  </r>
  <r>
    <x v="49"/>
    <d v="2003-12-04T00:00:00"/>
    <x v="27"/>
    <n v="5130"/>
    <n v="3420"/>
    <x v="3"/>
    <n v="6"/>
    <n v="3"/>
  </r>
  <r>
    <x v="50"/>
    <d v="2000-09-08T00:00:00"/>
    <x v="28"/>
    <n v="5220"/>
    <n v="5220"/>
    <x v="0"/>
    <n v="5"/>
    <n v="3"/>
  </r>
  <r>
    <x v="51"/>
    <d v="2001-11-23T00:00:00"/>
    <x v="29"/>
    <n v="8850"/>
    <n v="0"/>
    <x v="2"/>
    <n v="3"/>
    <n v="5"/>
  </r>
  <r>
    <x v="52"/>
    <d v="2001-10-22T00:00:00"/>
    <x v="29"/>
    <n v="5900"/>
    <n v="0"/>
    <x v="7"/>
    <n v="7"/>
    <n v="3"/>
  </r>
  <r>
    <x v="53"/>
    <d v="2001-10-24T00:00:00"/>
    <x v="29"/>
    <n v="5310"/>
    <n v="590"/>
    <x v="7"/>
    <n v="7"/>
    <n v="3"/>
  </r>
  <r>
    <x v="54"/>
    <d v="2007-02-11T00:00:00"/>
    <x v="29"/>
    <n v="7080"/>
    <n v="1180"/>
    <x v="5"/>
    <n v="5"/>
    <n v="4"/>
  </r>
  <r>
    <x v="55"/>
    <d v="2007-08-07T00:00:00"/>
    <x v="30"/>
    <n v="8400"/>
    <n v="0"/>
    <x v="8"/>
    <n v="8"/>
    <n v="5"/>
  </r>
  <r>
    <x v="56"/>
    <d v="2004-06-07T00:00:00"/>
    <x v="31"/>
    <n v="8060"/>
    <n v="3100"/>
    <x v="4"/>
    <n v="9"/>
    <n v="4"/>
  </r>
  <r>
    <x v="57"/>
    <d v="2005-05-05T00:00:00"/>
    <x v="31"/>
    <n v="8060"/>
    <n v="1240"/>
    <x v="0"/>
    <n v="6"/>
    <n v="4"/>
  </r>
  <r>
    <x v="58"/>
    <d v="2001-06-23T00:00:00"/>
    <x v="32"/>
    <n v="7560"/>
    <n v="4410"/>
    <x v="7"/>
    <n v="9"/>
    <n v="4"/>
  </r>
  <r>
    <x v="59"/>
    <d v="2003-11-04T00:00:00"/>
    <x v="32"/>
    <n v="7560"/>
    <n v="0"/>
    <x v="7"/>
    <n v="4"/>
    <n v="4"/>
  </r>
  <r>
    <x v="60"/>
    <d v="2008-07-09T00:00:00"/>
    <x v="32"/>
    <n v="3150"/>
    <n v="3780"/>
    <x v="6"/>
    <n v="3"/>
    <n v="2"/>
  </r>
  <r>
    <x v="61"/>
    <d v="2001-12-03T00:00:00"/>
    <x v="33"/>
    <n v="2560"/>
    <n v="0"/>
    <x v="1"/>
    <n v="3"/>
    <n v="1"/>
  </r>
  <r>
    <x v="62"/>
    <d v="2003-10-27T00:00:00"/>
    <x v="33"/>
    <n v="8320"/>
    <n v="5120"/>
    <x v="1"/>
    <n v="6"/>
    <n v="4"/>
  </r>
  <r>
    <x v="63"/>
    <d v="2007-11-21T00:00:00"/>
    <x v="33"/>
    <n v="5760"/>
    <n v="0"/>
    <x v="7"/>
    <n v="4"/>
    <n v="3"/>
  </r>
  <r>
    <x v="64"/>
    <d v="2007-09-17T00:00:00"/>
    <x v="34"/>
    <n v="3900"/>
    <n v="0"/>
    <x v="3"/>
    <n v="4"/>
    <n v="2"/>
  </r>
  <r>
    <x v="65"/>
    <d v="2006-04-17T00:00:00"/>
    <x v="34"/>
    <n v="1300"/>
    <n v="1300"/>
    <x v="2"/>
    <n v="4"/>
    <n v="1"/>
  </r>
  <r>
    <x v="66"/>
    <d v="2001-10-06T00:00:00"/>
    <x v="35"/>
    <n v="2640"/>
    <n v="1320"/>
    <x v="6"/>
    <n v="9"/>
    <n v="1"/>
  </r>
  <r>
    <x v="67"/>
    <d v="2007-04-16T00:00:00"/>
    <x v="35"/>
    <n v="1320"/>
    <n v="1980"/>
    <x v="3"/>
    <n v="1"/>
    <n v="1"/>
  </r>
  <r>
    <x v="68"/>
    <d v="2007-11-14T00:00:00"/>
    <x v="36"/>
    <n v="41000"/>
    <n v="0"/>
    <x v="8"/>
    <n v="8"/>
    <n v="3"/>
  </r>
  <r>
    <x v="69"/>
    <d v="2006-12-22T00:00:00"/>
    <x v="36"/>
    <n v="8040"/>
    <n v="3350"/>
    <x v="0"/>
    <n v="8"/>
    <n v="4"/>
  </r>
  <r>
    <x v="70"/>
    <d v="2003-05-29T00:00:00"/>
    <x v="37"/>
    <n v="8840"/>
    <n v="5440"/>
    <x v="2"/>
    <n v="4"/>
    <n v="4"/>
  </r>
  <r>
    <x v="71"/>
    <d v="2000-08-07T00:00:00"/>
    <x v="38"/>
    <n v="2880"/>
    <n v="6480"/>
    <x v="4"/>
    <n v="15"/>
    <n v="1"/>
  </r>
  <r>
    <x v="72"/>
    <d v="2005-08-04T00:00:00"/>
    <x v="38"/>
    <n v="2160"/>
    <n v="2880"/>
    <x v="6"/>
    <n v="7"/>
    <n v="1"/>
  </r>
  <r>
    <x v="73"/>
    <d v="2004-11-19T00:00:00"/>
    <x v="39"/>
    <n v="1460"/>
    <n v="5110.0000000000009"/>
    <x v="7"/>
    <n v="8"/>
    <n v="1"/>
  </r>
  <r>
    <x v="74"/>
    <d v="2003-07-21T00:00:00"/>
    <x v="40"/>
    <n v="8140"/>
    <n v="2220"/>
    <x v="6"/>
    <n v="9"/>
    <n v="4"/>
  </r>
  <r>
    <x v="75"/>
    <d v="2001-12-21T00:00:00"/>
    <x v="41"/>
    <n v="9750"/>
    <n v="1500"/>
    <x v="1"/>
    <n v="6"/>
    <n v="4"/>
  </r>
  <r>
    <x v="76"/>
    <d v="2005-03-09T00:00:00"/>
    <x v="42"/>
    <n v="7600"/>
    <n v="2280"/>
    <x v="4"/>
    <n v="9"/>
    <n v="3"/>
  </r>
  <r>
    <x v="77"/>
    <d v="2002-02-08T00:00:00"/>
    <x v="43"/>
    <n v="11550"/>
    <n v="0"/>
    <x v="7"/>
    <n v="2"/>
    <n v="5"/>
  </r>
  <r>
    <x v="78"/>
    <d v="2004-11-22T00:00:00"/>
    <x v="43"/>
    <n v="5390.0000000000009"/>
    <n v="0"/>
    <x v="4"/>
    <n v="14"/>
    <n v="2"/>
  </r>
  <r>
    <x v="79"/>
    <d v="2003-12-03T00:00:00"/>
    <x v="43"/>
    <n v="28000"/>
    <n v="0"/>
    <x v="8"/>
    <n v="5"/>
    <n v="3"/>
  </r>
  <r>
    <x v="80"/>
    <d v="2008-04-26T00:00:00"/>
    <x v="44"/>
    <n v="52000"/>
    <n v="0"/>
    <x v="8"/>
    <n v="6"/>
    <n v="4"/>
  </r>
  <r>
    <x v="81"/>
    <d v="2001-12-24T00:00:00"/>
    <x v="45"/>
    <n v="4860"/>
    <n v="0"/>
    <x v="5"/>
    <n v="4"/>
    <n v="2"/>
  </r>
  <r>
    <x v="82"/>
    <d v="2003-12-04T00:00:00"/>
    <x v="46"/>
    <n v="32000"/>
    <n v="0"/>
    <x v="8"/>
    <n v="4"/>
    <n v="2"/>
  </r>
  <r>
    <x v="83"/>
    <d v="2005-03-25T00:00:00"/>
    <x v="47"/>
    <n v="1700"/>
    <n v="0"/>
    <x v="7"/>
    <n v="6"/>
    <n v="1"/>
  </r>
  <r>
    <x v="84"/>
    <d v="2006-02-02T00:00:00"/>
    <x v="47"/>
    <n v="9350"/>
    <n v="0"/>
    <x v="7"/>
    <n v="9"/>
    <n v="4"/>
  </r>
  <r>
    <x v="85"/>
    <d v="2006-05-06T00:00:00"/>
    <x v="47"/>
    <n v="9350"/>
    <n v="0"/>
    <x v="7"/>
    <n v="7"/>
    <n v="4"/>
  </r>
  <r>
    <x v="86"/>
    <d v="2005-03-04T00:00:00"/>
    <x v="48"/>
    <n v="7830"/>
    <n v="7830"/>
    <x v="5"/>
    <n v="1"/>
    <n v="3"/>
  </r>
  <r>
    <x v="87"/>
    <d v="2007-03-19T00:00:00"/>
    <x v="48"/>
    <n v="13050"/>
    <n v="6960"/>
    <x v="3"/>
    <n v="6"/>
    <n v="5"/>
  </r>
  <r>
    <x v="88"/>
    <d v="2000-05-13T00:00:00"/>
    <x v="49"/>
    <n v="8010"/>
    <n v="0"/>
    <x v="3"/>
    <n v="2"/>
    <n v="3"/>
  </r>
  <r>
    <x v="89"/>
    <d v="2008-03-01T00:00:00"/>
    <x v="50"/>
    <n v="5640"/>
    <n v="0"/>
    <x v="2"/>
    <n v="6"/>
    <n v="2"/>
  </r>
  <r>
    <x v="90"/>
    <d v="2006-09-02T00:00:00"/>
    <x v="51"/>
    <n v="4800"/>
    <n v="7680"/>
    <x v="0"/>
    <n v="8"/>
    <n v="2"/>
  </r>
  <r>
    <x v="91"/>
    <d v="2001-09-18T00:00:00"/>
    <x v="52"/>
    <n v="15750"/>
    <n v="0"/>
    <x v="4"/>
    <n v="8"/>
    <n v="5"/>
  </r>
  <r>
    <x v="92"/>
    <d v="2008-09-15T00:00:00"/>
    <x v="53"/>
    <n v="6600"/>
    <n v="5500"/>
    <x v="1"/>
    <n v="4"/>
    <n v="2"/>
  </r>
  <r>
    <x v="93"/>
    <d v="2006-11-16T00:00:00"/>
    <x v="54"/>
    <n v="10710"/>
    <n v="4760"/>
    <x v="4"/>
    <n v="4"/>
    <n v="3"/>
  </r>
  <r>
    <x v="94"/>
    <d v="2003-10-18T00:00:00"/>
    <x v="55"/>
    <n v="17220"/>
    <n v="4920"/>
    <x v="1"/>
    <n v="7"/>
    <n v="5"/>
  </r>
  <r>
    <x v="95"/>
    <d v="2008-10-30T00:00:00"/>
    <x v="56"/>
    <n v="15950"/>
    <n v="5800"/>
    <x v="1"/>
    <n v="6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1" firstHeaderRow="1" firstDataRow="1" firstDataCol="1"/>
  <pivotFields count="8">
    <pivotField showAll="0"/>
    <pivotField numFmtId="14" showAll="0"/>
    <pivotField dataField="1"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numFmtId="164"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98" firstHeaderRow="1" firstDataRow="1" firstDataCol="1"/>
  <pivotFields count="8">
    <pivotField axis="axisRow" showAll="0">
      <items count="97">
        <item x="60"/>
        <item x="61"/>
        <item x="39"/>
        <item x="88"/>
        <item x="54"/>
        <item x="84"/>
        <item x="79"/>
        <item x="24"/>
        <item x="26"/>
        <item x="95"/>
        <item x="66"/>
        <item x="35"/>
        <item x="56"/>
        <item x="2"/>
        <item x="58"/>
        <item x="71"/>
        <item x="44"/>
        <item x="15"/>
        <item x="52"/>
        <item x="85"/>
        <item x="76"/>
        <item x="7"/>
        <item x="59"/>
        <item x="92"/>
        <item x="42"/>
        <item x="77"/>
        <item x="18"/>
        <item x="38"/>
        <item x="74"/>
        <item x="31"/>
        <item x="19"/>
        <item x="70"/>
        <item x="28"/>
        <item x="80"/>
        <item x="34"/>
        <item x="6"/>
        <item x="41"/>
        <item x="50"/>
        <item x="75"/>
        <item x="89"/>
        <item x="12"/>
        <item x="87"/>
        <item x="4"/>
        <item x="49"/>
        <item x="10"/>
        <item x="68"/>
        <item x="90"/>
        <item x="29"/>
        <item x="82"/>
        <item x="48"/>
        <item x="86"/>
        <item x="16"/>
        <item x="27"/>
        <item x="55"/>
        <item x="57"/>
        <item x="72"/>
        <item x="65"/>
        <item x="33"/>
        <item x="3"/>
        <item x="43"/>
        <item x="67"/>
        <item x="64"/>
        <item x="8"/>
        <item x="32"/>
        <item x="22"/>
        <item x="47"/>
        <item x="78"/>
        <item x="62"/>
        <item x="46"/>
        <item x="93"/>
        <item x="40"/>
        <item x="53"/>
        <item x="36"/>
        <item x="45"/>
        <item x="13"/>
        <item x="63"/>
        <item x="1"/>
        <item x="37"/>
        <item x="73"/>
        <item x="0"/>
        <item x="11"/>
        <item x="94"/>
        <item x="81"/>
        <item x="5"/>
        <item x="17"/>
        <item x="21"/>
        <item x="9"/>
        <item x="51"/>
        <item x="69"/>
        <item x="25"/>
        <item x="83"/>
        <item x="20"/>
        <item x="91"/>
        <item x="30"/>
        <item x="14"/>
        <item x="23"/>
        <item t="default"/>
      </items>
    </pivotField>
    <pivotField numFmtId="14" showAll="0"/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dataField="1" numFmtId="164" showAll="0"/>
    <pivotField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showAll="0"/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Overtime" fld="4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11" firstHeaderRow="1" firstDataRow="1" firstDataCol="1"/>
  <pivotFields count="8">
    <pivotField showAll="0">
      <items count="97">
        <item x="60"/>
        <item x="61"/>
        <item x="39"/>
        <item x="88"/>
        <item x="54"/>
        <item x="84"/>
        <item x="79"/>
        <item x="24"/>
        <item x="26"/>
        <item x="95"/>
        <item x="66"/>
        <item x="35"/>
        <item x="56"/>
        <item x="2"/>
        <item x="58"/>
        <item x="71"/>
        <item x="44"/>
        <item x="15"/>
        <item x="52"/>
        <item x="85"/>
        <item x="76"/>
        <item x="7"/>
        <item x="59"/>
        <item x="92"/>
        <item x="42"/>
        <item x="77"/>
        <item x="18"/>
        <item x="38"/>
        <item x="74"/>
        <item x="31"/>
        <item x="19"/>
        <item x="70"/>
        <item x="28"/>
        <item x="80"/>
        <item x="34"/>
        <item x="6"/>
        <item x="41"/>
        <item x="50"/>
        <item x="75"/>
        <item x="89"/>
        <item x="12"/>
        <item x="87"/>
        <item x="4"/>
        <item x="49"/>
        <item x="10"/>
        <item x="68"/>
        <item x="90"/>
        <item x="29"/>
        <item x="82"/>
        <item x="48"/>
        <item x="86"/>
        <item x="16"/>
        <item x="27"/>
        <item x="55"/>
        <item x="57"/>
        <item x="72"/>
        <item x="65"/>
        <item x="33"/>
        <item x="3"/>
        <item x="43"/>
        <item x="67"/>
        <item x="64"/>
        <item x="8"/>
        <item x="32"/>
        <item x="22"/>
        <item x="47"/>
        <item x="78"/>
        <item x="62"/>
        <item x="46"/>
        <item x="93"/>
        <item x="40"/>
        <item x="53"/>
        <item x="36"/>
        <item x="45"/>
        <item x="13"/>
        <item x="63"/>
        <item x="1"/>
        <item x="37"/>
        <item x="73"/>
        <item x="0"/>
        <item x="11"/>
        <item x="94"/>
        <item x="81"/>
        <item x="5"/>
        <item x="17"/>
        <item x="21"/>
        <item x="9"/>
        <item x="51"/>
        <item x="69"/>
        <item x="25"/>
        <item x="83"/>
        <item x="20"/>
        <item x="91"/>
        <item x="30"/>
        <item x="14"/>
        <item x="23"/>
        <item t="default"/>
      </items>
    </pivotField>
    <pivotField numFmtId="14" showAll="0"/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numFmtId="164"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dataField="1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ick Days" fld="6" baseField="0" baseItem="0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participation by year_1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articipation by year_3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ticipation by y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ticipation by year_2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ticipation by yea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rticipation by year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articipation by year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articipation by year_3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articipation by year_2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articipation by year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C4:D12" totalsRowShown="0" headerRowDxfId="183">
  <autoFilter ref="C4:D12">
    <filterColumn colId="0" hiddenButton="1"/>
    <filterColumn colId="1" hiddenButton="1"/>
  </autoFilter>
  <tableColumns count="2">
    <tableColumn id="1" name="Salesperson" dataDxfId="182"/>
    <tableColumn id="2" name="Order Amount" dataDxfId="18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blRevenue" displayName="tblRevenue" ref="B6:AD14" totalsRowCount="1" headerRowDxfId="180">
  <tableColumns count="29">
    <tableColumn id="1" name="REVENUES (SALES)" totalsRowLabel="TOTAL SALES" dataDxfId="179" totalsRowDxfId="178"/>
    <tableColumn id="29" name="TREND" dataDxfId="177" totalsRowDxfId="176"/>
    <tableColumn id="2" name="m1" totalsRowFunction="sum" dataDxfId="175" totalsRowDxfId="174" dataCellStyle="Currency"/>
    <tableColumn id="3" name="m2" totalsRowFunction="sum" dataDxfId="173" totalsRowDxfId="172" dataCellStyle="Currency"/>
    <tableColumn id="4" name="m3" totalsRowFunction="sum" dataDxfId="171" totalsRowDxfId="170" dataCellStyle="Currency"/>
    <tableColumn id="5" name="m4" totalsRowFunction="sum" dataDxfId="169" totalsRowDxfId="168" dataCellStyle="Currency"/>
    <tableColumn id="6" name="m5" totalsRowFunction="sum" dataDxfId="167" totalsRowDxfId="166" dataCellStyle="Currency"/>
    <tableColumn id="7" name="m6" totalsRowFunction="sum" dataDxfId="165" totalsRowDxfId="164" dataCellStyle="Currency"/>
    <tableColumn id="8" name="m7" totalsRowFunction="sum" dataDxfId="163" totalsRowDxfId="162" dataCellStyle="Currency"/>
    <tableColumn id="9" name="m8" totalsRowFunction="sum" dataDxfId="161" totalsRowDxfId="160" dataCellStyle="Currency"/>
    <tableColumn id="10" name="m9" totalsRowFunction="sum" dataDxfId="159" totalsRowDxfId="158" dataCellStyle="Currency"/>
    <tableColumn id="11" name="m10" totalsRowFunction="sum" dataDxfId="157" totalsRowDxfId="156" dataCellStyle="Currency"/>
    <tableColumn id="12" name="m11" totalsRowFunction="sum" dataDxfId="155" totalsRowDxfId="154" dataCellStyle="Currency"/>
    <tableColumn id="13" name="m12" totalsRowFunction="sum" dataDxfId="153" totalsRowDxfId="152" dataCellStyle="Currency"/>
    <tableColumn id="14" name="Yearly" totalsRowFunction="sum" dataDxfId="151" totalsRowDxfId="150" dataCellStyle="Currency">
      <calculatedColumnFormula>SUM(tblRevenue[[#This Row],[m1]:[m12]])</calculatedColumnFormula>
    </tableColumn>
    <tableColumn id="15" name="Ind %" totalsRowFunction="sum" dataDxfId="149" totalsRowDxfId="148" dataCellStyle="Percent"/>
    <tableColumn id="16" name="% m1" totalsRowFunction="sum" dataDxfId="147" totalsRowDxfId="146" dataCellStyle="Percent">
      <calculatedColumnFormula>IFERROR(tblRevenue[[#This Row],[m1]]/tblRevenue[[#Totals],[m1]],"-")</calculatedColumnFormula>
    </tableColumn>
    <tableColumn id="17" name="% m2" totalsRowFunction="sum" dataDxfId="145" totalsRowDxfId="144" dataCellStyle="Percent">
      <calculatedColumnFormula>IFERROR(tblRevenue[[#This Row],[m2]]/tblRevenue[[#Totals],[m2]],"-")</calculatedColumnFormula>
    </tableColumn>
    <tableColumn id="18" name="% m3" totalsRowFunction="sum" dataDxfId="143" totalsRowDxfId="142" dataCellStyle="Percent">
      <calculatedColumnFormula>IFERROR(tblRevenue[[#This Row],[m3]]/tblRevenue[[#Totals],[m3]],"-")</calculatedColumnFormula>
    </tableColumn>
    <tableColumn id="19" name="% m4" totalsRowFunction="sum" dataDxfId="141" totalsRowDxfId="140" dataCellStyle="Percent">
      <calculatedColumnFormula>IFERROR(tblRevenue[[#This Row],[m4]]/tblRevenue[[#Totals],[m4]],"-")</calculatedColumnFormula>
    </tableColumn>
    <tableColumn id="20" name="% m5" totalsRowFunction="sum" dataDxfId="139" totalsRowDxfId="138" dataCellStyle="Percent">
      <calculatedColumnFormula>IFERROR(tblRevenue[[#This Row],[m5]]/tblRevenue[[#Totals],[m5]],"-")</calculatedColumnFormula>
    </tableColumn>
    <tableColumn id="21" name="% m6" totalsRowFunction="sum" dataDxfId="137" totalsRowDxfId="136" dataCellStyle="Percent">
      <calculatedColumnFormula>IFERROR(tblRevenue[[#This Row],[m6]]/tblRevenue[[#Totals],[m6]],"-")</calculatedColumnFormula>
    </tableColumn>
    <tableColumn id="22" name="% m7" totalsRowFunction="sum" dataDxfId="135" totalsRowDxfId="134" dataCellStyle="Percent">
      <calculatedColumnFormula>IFERROR(tblRevenue[[#This Row],[m7]]/tblRevenue[[#Totals],[m7]],"-")</calculatedColumnFormula>
    </tableColumn>
    <tableColumn id="23" name="% m8" totalsRowFunction="sum" dataDxfId="133" totalsRowDxfId="132" dataCellStyle="Percent">
      <calculatedColumnFormula>IFERROR(tblRevenue[[#This Row],[m8]]/tblRevenue[[#Totals],[m8]],"-")</calculatedColumnFormula>
    </tableColumn>
    <tableColumn id="24" name="% m9" totalsRowFunction="sum" dataDxfId="131" totalsRowDxfId="130" dataCellStyle="Percent">
      <calculatedColumnFormula>IFERROR(tblRevenue[[#This Row],[m9]]/tblRevenue[[#Totals],[m9]],"-")</calculatedColumnFormula>
    </tableColumn>
    <tableColumn id="25" name="% m10" totalsRowFunction="sum" dataDxfId="129" totalsRowDxfId="128" dataCellStyle="Percent">
      <calculatedColumnFormula>IFERROR(tblRevenue[[#This Row],[m10]]/tblRevenue[[#Totals],[m10]],"-")</calculatedColumnFormula>
    </tableColumn>
    <tableColumn id="26" name="% m11" totalsRowFunction="sum" dataDxfId="127" totalsRowDxfId="126" dataCellStyle="Percent">
      <calculatedColumnFormula>IFERROR(tblRevenue[[#This Row],[m11]]/tblRevenue[[#Totals],[m11]],"-")</calculatedColumnFormula>
    </tableColumn>
    <tableColumn id="27" name="% m12" totalsRowFunction="sum" dataDxfId="125" totalsRowDxfId="124" dataCellStyle="Percent">
      <calculatedColumnFormula>IFERROR(tblRevenue[[#This Row],[m12]]/tblRevenue[[#Totals],[m12]],"-")</calculatedColumnFormula>
    </tableColumn>
    <tableColumn id="28" name="% y" totalsRowFunction="sum" dataDxfId="123" totalsRowDxfId="122" dataCellStyle="Percent">
      <calculatedColumnFormula>IFERROR(tblRevenue[[#This Row],[Yearly]]/tblRevenue[[#Totals],[Yearly]],"-")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="Revenue (Sales)" altTextSummary="Summary of monthly sales, yearly total, and monthly percentages for each type of revenue item."/>
    </ext>
  </extLst>
</table>
</file>

<file path=xl/tables/table3.xml><?xml version="1.0" encoding="utf-8"?>
<table xmlns="http://schemas.openxmlformats.org/spreadsheetml/2006/main" id="2" name="tblCostofSales" displayName="tblCostofSales" ref="B16:AD24" totalsRowCount="1" headerRowDxfId="121" dataDxfId="120" totalsRowDxfId="119">
  <tableColumns count="29">
    <tableColumn id="1" name="COST OF SALES" totalsRowLabel="TOTAL COST OF SALES" dataDxfId="118" totalsRowDxfId="117"/>
    <tableColumn id="2" name="TREND" dataDxfId="116" totalsRowDxfId="115"/>
    <tableColumn id="3" name="m1" totalsRowFunction="sum" dataDxfId="114" totalsRowDxfId="113" dataCellStyle="Currency"/>
    <tableColumn id="4" name="m2" totalsRowFunction="sum" dataDxfId="112" totalsRowDxfId="111" dataCellStyle="Currency"/>
    <tableColumn id="5" name="m3" totalsRowFunction="sum" dataDxfId="110" totalsRowDxfId="109" dataCellStyle="Currency"/>
    <tableColumn id="6" name="m4" totalsRowFunction="sum" dataDxfId="108" totalsRowDxfId="107" dataCellStyle="Currency"/>
    <tableColumn id="7" name="m5" totalsRowFunction="sum" dataDxfId="106" totalsRowDxfId="105" dataCellStyle="Currency"/>
    <tableColumn id="8" name="m6" totalsRowFunction="sum" dataDxfId="104" totalsRowDxfId="103" dataCellStyle="Currency"/>
    <tableColumn id="9" name="m7" totalsRowFunction="sum" dataDxfId="102" totalsRowDxfId="101" dataCellStyle="Currency"/>
    <tableColumn id="10" name="m8" totalsRowFunction="sum" dataDxfId="100" totalsRowDxfId="99" dataCellStyle="Currency"/>
    <tableColumn id="11" name="m9" totalsRowFunction="sum" dataDxfId="98" totalsRowDxfId="97" dataCellStyle="Currency"/>
    <tableColumn id="12" name="m10" totalsRowFunction="sum" dataDxfId="96" totalsRowDxfId="95" dataCellStyle="Currency"/>
    <tableColumn id="13" name="m11" totalsRowFunction="sum" dataDxfId="94" totalsRowDxfId="93" dataCellStyle="Currency"/>
    <tableColumn id="14" name="m12" totalsRowFunction="sum" dataDxfId="92" totalsRowDxfId="91" dataCellStyle="Currency"/>
    <tableColumn id="15" name="Yearly" totalsRowFunction="sum" dataDxfId="90" totalsRowDxfId="89" dataCellStyle="Currency">
      <calculatedColumnFormula>SUM(tblCostofSales[[#This Row],[m1]:[m12]])</calculatedColumnFormula>
    </tableColumn>
    <tableColumn id="16" name="Ind %" totalsRowFunction="sum" dataDxfId="88" totalsRowDxfId="87"/>
    <tableColumn id="17" name="% m1" totalsRowFunction="sum" dataDxfId="86" totalsRowDxfId="85" dataCellStyle="Percent">
      <calculatedColumnFormula>IFERROR(tblCostofSales[[#This Row],[m1]]/tblCostofSales[[#Totals],[m1]],"-")</calculatedColumnFormula>
    </tableColumn>
    <tableColumn id="18" name="% m2" totalsRowFunction="sum" dataDxfId="84" totalsRowDxfId="83" dataCellStyle="Percent">
      <calculatedColumnFormula>IFERROR(tblCostofSales[[#This Row],[m2]]/tblCostofSales[[#Totals],[m2]],"-")</calculatedColumnFormula>
    </tableColumn>
    <tableColumn id="19" name="% m3" totalsRowFunction="sum" dataDxfId="82" totalsRowDxfId="81" dataCellStyle="Percent">
      <calculatedColumnFormula>IFERROR(tblCostofSales[[#This Row],[m3]]/tblCostofSales[[#Totals],[m3]],"-")</calculatedColumnFormula>
    </tableColumn>
    <tableColumn id="20" name="% m4" totalsRowFunction="sum" dataDxfId="80" totalsRowDxfId="79" dataCellStyle="Percent">
      <calculatedColumnFormula>IFERROR(tblCostofSales[[#This Row],[m4]]/tblCostofSales[[#Totals],[m4]],"-")</calculatedColumnFormula>
    </tableColumn>
    <tableColumn id="21" name="% m5" totalsRowFunction="sum" dataDxfId="78" totalsRowDxfId="77" dataCellStyle="Percent">
      <calculatedColumnFormula>IFERROR(tblCostofSales[[#This Row],[m5]]/tblCostofSales[[#Totals],[m5]],"-")</calculatedColumnFormula>
    </tableColumn>
    <tableColumn id="22" name="% m6" totalsRowFunction="sum" dataDxfId="76" totalsRowDxfId="75" dataCellStyle="Percent">
      <calculatedColumnFormula>IFERROR(tblCostofSales[[#This Row],[m6]]/tblCostofSales[[#Totals],[m6]],"-")</calculatedColumnFormula>
    </tableColumn>
    <tableColumn id="23" name="% m7" totalsRowFunction="sum" dataDxfId="74" totalsRowDxfId="73" dataCellStyle="Percent">
      <calculatedColumnFormula>IFERROR(tblCostofSales[[#This Row],[m7]]/tblCostofSales[[#Totals],[m7]],"-")</calculatedColumnFormula>
    </tableColumn>
    <tableColumn id="24" name="% m8" totalsRowFunction="sum" dataDxfId="72" totalsRowDxfId="71" dataCellStyle="Percent">
      <calculatedColumnFormula>IFERROR(tblCostofSales[[#This Row],[m8]]/tblCostofSales[[#Totals],[m8]],"-")</calculatedColumnFormula>
    </tableColumn>
    <tableColumn id="25" name="% m9" totalsRowFunction="sum" dataDxfId="70" totalsRowDxfId="69" dataCellStyle="Percent">
      <calculatedColumnFormula>IFERROR(tblCostofSales[[#This Row],[m9]]/tblCostofSales[[#Totals],[m9]],"-")</calculatedColumnFormula>
    </tableColumn>
    <tableColumn id="26" name="% m10" totalsRowFunction="sum" dataDxfId="68" totalsRowDxfId="67" dataCellStyle="Percent">
      <calculatedColumnFormula>IFERROR(tblCostofSales[[#This Row],[m10]]/tblCostofSales[[#Totals],[m10]],"-")</calculatedColumnFormula>
    </tableColumn>
    <tableColumn id="27" name="% m11" totalsRowFunction="sum" dataDxfId="66" totalsRowDxfId="65" dataCellStyle="Percent">
      <calculatedColumnFormula>IFERROR(tblCostofSales[[#This Row],[m11]]/tblCostofSales[[#Totals],[m11]],"-")</calculatedColumnFormula>
    </tableColumn>
    <tableColumn id="28" name="% m12" totalsRowFunction="sum" dataDxfId="64" totalsRowDxfId="63" dataCellStyle="Percent">
      <calculatedColumnFormula>IFERROR(tblCostofSales[[#This Row],[m12]]/tblCostofSales[[#Totals],[m12]],"-")</calculatedColumnFormula>
    </tableColumn>
    <tableColumn id="29" name="% y" totalsRowFunction="sum" dataDxfId="62" totalsRowDxfId="61" dataCellStyle="Percent">
      <calculatedColumnFormula>IFERROR(tblCostofSales[[#This Row],[Yearly]]/tblCostofSales[[#Totals],[Yearly]],"-")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="Cost of Sales" altTextSummary="Summary of cost of sales, yearly total, and monthly percentages for each type of cost item."/>
    </ext>
  </extLst>
</table>
</file>

<file path=xl/tables/table4.xml><?xml version="1.0" encoding="utf-8"?>
<table xmlns="http://schemas.openxmlformats.org/spreadsheetml/2006/main" id="3" name="tblExpenses" displayName="tblExpenses" ref="B28:AD48" totalsRowCount="1" headerRowDxfId="60" dataDxfId="59" totalsRowDxfId="58">
  <tableColumns count="29">
    <tableColumn id="1" name="EXPENSES" totalsRowLabel="TOTAL EXPENSES" dataDxfId="57" totalsRowDxfId="56"/>
    <tableColumn id="2" name="TREND" totalsRowLabel=" " dataDxfId="55" totalsRowDxfId="54"/>
    <tableColumn id="3" name="m1" totalsRowFunction="sum" dataDxfId="53" totalsRowDxfId="52" dataCellStyle="Currency"/>
    <tableColumn id="4" name="m2" totalsRowFunction="sum" dataDxfId="51" totalsRowDxfId="50" dataCellStyle="Currency"/>
    <tableColumn id="5" name="m3" totalsRowFunction="sum" dataDxfId="49" totalsRowDxfId="48" dataCellStyle="Currency"/>
    <tableColumn id="6" name="m4" totalsRowFunction="sum" dataDxfId="47" totalsRowDxfId="46" dataCellStyle="Currency"/>
    <tableColumn id="7" name="m5" totalsRowFunction="sum" dataDxfId="45" totalsRowDxfId="44" dataCellStyle="Currency"/>
    <tableColumn id="8" name="m6" totalsRowFunction="sum" dataDxfId="43" totalsRowDxfId="42" dataCellStyle="Currency"/>
    <tableColumn id="9" name="m7" totalsRowFunction="sum" dataDxfId="41" totalsRowDxfId="40" dataCellStyle="Currency"/>
    <tableColumn id="10" name="m8" totalsRowFunction="sum" dataDxfId="39" totalsRowDxfId="38" dataCellStyle="Currency"/>
    <tableColumn id="11" name="m9" totalsRowFunction="sum" dataDxfId="37" totalsRowDxfId="36" dataCellStyle="Currency"/>
    <tableColumn id="12" name="m10" totalsRowFunction="sum" dataDxfId="35" totalsRowDxfId="34" dataCellStyle="Currency"/>
    <tableColumn id="13" name="m11" totalsRowFunction="sum" dataDxfId="33" totalsRowDxfId="32" dataCellStyle="Currency"/>
    <tableColumn id="14" name="m12" totalsRowFunction="sum" dataDxfId="31" totalsRowDxfId="30" dataCellStyle="Currency"/>
    <tableColumn id="15" name="Yearly" totalsRowFunction="sum" dataDxfId="29" totalsRowDxfId="28" dataCellStyle="Currency">
      <calculatedColumnFormula>SUM(tblExpenses[[#This Row],[m1]:[m12]])</calculatedColumnFormula>
    </tableColumn>
    <tableColumn id="16" name="Ind %" totalsRowFunction="sum" dataDxfId="27" totalsRowDxfId="26"/>
    <tableColumn id="17" name="% m1" totalsRowFunction="sum" dataDxfId="25" totalsRowDxfId="24" dataCellStyle="Percent">
      <calculatedColumnFormula>tblExpenses[[#This Row],[m1]]/tblExpenses[[#Totals],[m1]]</calculatedColumnFormula>
    </tableColumn>
    <tableColumn id="18" name="% m2" totalsRowFunction="sum" dataDxfId="23" totalsRowDxfId="22" dataCellStyle="Percent">
      <calculatedColumnFormula>tblExpenses[[#This Row],[m2]]/tblExpenses[[#Totals],[m2]]</calculatedColumnFormula>
    </tableColumn>
    <tableColumn id="19" name="% m3" totalsRowFunction="sum" dataDxfId="21" totalsRowDxfId="20" dataCellStyle="Percent">
      <calculatedColumnFormula>tblExpenses[[#This Row],[m3]]/tblExpenses[[#Totals],[m3]]</calculatedColumnFormula>
    </tableColumn>
    <tableColumn id="20" name="% m4" totalsRowFunction="sum" dataDxfId="19" totalsRowDxfId="18" dataCellStyle="Percent">
      <calculatedColumnFormula>tblExpenses[[#This Row],[m4]]/tblExpenses[[#Totals],[m4]]</calculatedColumnFormula>
    </tableColumn>
    <tableColumn id="21" name="% m5" totalsRowFunction="sum" dataDxfId="17" totalsRowDxfId="16" dataCellStyle="Percent">
      <calculatedColumnFormula>tblExpenses[[#This Row],[m5]]/tblExpenses[[#Totals],[m5]]</calculatedColumnFormula>
    </tableColumn>
    <tableColumn id="22" name="% m6" totalsRowFunction="sum" dataDxfId="15" totalsRowDxfId="14" dataCellStyle="Percent">
      <calculatedColumnFormula>tblExpenses[[#This Row],[m6]]/tblExpenses[[#Totals],[m6]]</calculatedColumnFormula>
    </tableColumn>
    <tableColumn id="23" name="% m7" totalsRowFunction="sum" dataDxfId="13" totalsRowDxfId="12" dataCellStyle="Percent">
      <calculatedColumnFormula>tblExpenses[[#This Row],[m7]]/tblExpenses[[#Totals],[m7]]</calculatedColumnFormula>
    </tableColumn>
    <tableColumn id="24" name="% m8" totalsRowFunction="sum" dataDxfId="11" totalsRowDxfId="10" dataCellStyle="Percent">
      <calculatedColumnFormula>tblExpenses[[#This Row],[m8]]/tblExpenses[[#Totals],[m8]]</calculatedColumnFormula>
    </tableColumn>
    <tableColumn id="25" name="% m9" totalsRowFunction="sum" dataDxfId="9" totalsRowDxfId="8" dataCellStyle="Percent">
      <calculatedColumnFormula>tblExpenses[[#This Row],[m9]]/tblExpenses[[#Totals],[m9]]</calculatedColumnFormula>
    </tableColumn>
    <tableColumn id="26" name="% m10" totalsRowFunction="sum" dataDxfId="7" totalsRowDxfId="6" dataCellStyle="Percent">
      <calculatedColumnFormula>tblExpenses[[#This Row],[m10]]/tblExpenses[[#Totals],[m10]]</calculatedColumnFormula>
    </tableColumn>
    <tableColumn id="27" name="% m11" totalsRowFunction="sum" dataDxfId="5" totalsRowDxfId="4" dataCellStyle="Percent">
      <calculatedColumnFormula>tblExpenses[[#This Row],[m11]]/tblExpenses[[#Totals],[m11]]</calculatedColumnFormula>
    </tableColumn>
    <tableColumn id="28" name="% m12" totalsRowFunction="sum" dataDxfId="3" totalsRowDxfId="2" dataCellStyle="Percent">
      <calculatedColumnFormula>tblExpenses[[#This Row],[m12]]/tblExpenses[[#Totals],[m12]]</calculatedColumnFormula>
    </tableColumn>
    <tableColumn id="29" name="% y" totalsRowFunction="sum" dataDxfId="1" totalsRowDxfId="0" dataCellStyle="Percent">
      <calculatedColumnFormula>tblExpenses[[#This Row],[Yearly]]/tblExpenses[[#Totals],[Yearly]]</calculatedColumnFormula>
    </tableColumn>
  </tableColumns>
  <tableStyleInfo name="Profit &amp; Loss Expenses" showFirstColumn="0" showLastColumn="0" showRowStripes="1" showColumnStripes="0"/>
  <extLst>
    <ext xmlns:x14="http://schemas.microsoft.com/office/spreadsheetml/2009/9/main" uri="{504A1905-F514-4f6f-8877-14C23A59335A}">
      <x14:table altText="Expenses" altTextSummary="Summary of expenses, yearly total, and monthly percentages for each type of expense item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2.xml"/><Relationship Id="rId4" Type="http://schemas.openxmlformats.org/officeDocument/2006/relationships/queryTable" Target="../queryTables/queryTable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4"/>
  <sheetViews>
    <sheetView tabSelected="1" workbookViewId="0">
      <selection activeCell="I14" sqref="I14"/>
    </sheetView>
  </sheetViews>
  <sheetFormatPr defaultRowHeight="14.25" x14ac:dyDescent="0.45"/>
  <sheetData>
    <row r="1" spans="1:19" ht="61.15" x14ac:dyDescent="1.75">
      <c r="A1" s="163" t="s">
        <v>89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</row>
    <row r="2" spans="1:19" ht="30.75" x14ac:dyDescent="0.9">
      <c r="B2" s="3" t="s">
        <v>91</v>
      </c>
    </row>
    <row r="3" spans="1:19" ht="30.75" x14ac:dyDescent="0.9">
      <c r="B3" s="3" t="s">
        <v>92</v>
      </c>
    </row>
    <row r="4" spans="1:19" ht="25.5" x14ac:dyDescent="0.75">
      <c r="B4" s="159" t="s">
        <v>434</v>
      </c>
      <c r="C4" s="98"/>
      <c r="F4" s="160" t="s">
        <v>435</v>
      </c>
    </row>
    <row r="5" spans="1:19" ht="25.5" x14ac:dyDescent="0.75">
      <c r="B5" s="159" t="s">
        <v>436</v>
      </c>
      <c r="C5" s="98"/>
      <c r="F5" s="160" t="s">
        <v>443</v>
      </c>
    </row>
    <row r="6" spans="1:19" ht="25.5" x14ac:dyDescent="0.75">
      <c r="B6" s="159" t="s">
        <v>437</v>
      </c>
      <c r="C6" s="98"/>
      <c r="F6" s="160" t="s">
        <v>438</v>
      </c>
    </row>
    <row r="7" spans="1:19" ht="25.5" x14ac:dyDescent="0.75">
      <c r="B7" s="159" t="s">
        <v>439</v>
      </c>
      <c r="C7" s="98"/>
      <c r="F7" s="160" t="s">
        <v>440</v>
      </c>
    </row>
    <row r="8" spans="1:19" ht="25.5" x14ac:dyDescent="0.75">
      <c r="B8" s="159" t="s">
        <v>441</v>
      </c>
      <c r="C8" s="98"/>
      <c r="F8" s="160" t="s">
        <v>442</v>
      </c>
    </row>
    <row r="9" spans="1:19" ht="25.5" x14ac:dyDescent="0.75">
      <c r="B9" s="159" t="s">
        <v>432</v>
      </c>
      <c r="C9" s="98"/>
    </row>
    <row r="10" spans="1:19" ht="25.5" x14ac:dyDescent="0.75">
      <c r="B10" s="159" t="s">
        <v>433</v>
      </c>
      <c r="C10" s="98"/>
    </row>
    <row r="11" spans="1:19" ht="30.75" x14ac:dyDescent="0.9">
      <c r="B11" s="3" t="s">
        <v>90</v>
      </c>
      <c r="C11" s="98"/>
    </row>
    <row r="12" spans="1:19" ht="30.75" x14ac:dyDescent="0.9">
      <c r="B12" s="3" t="s">
        <v>444</v>
      </c>
    </row>
    <row r="13" spans="1:19" ht="30.75" x14ac:dyDescent="0.9">
      <c r="B13" s="3" t="s">
        <v>445</v>
      </c>
      <c r="I13" s="160" t="s">
        <v>455</v>
      </c>
    </row>
    <row r="14" spans="1:19" ht="30.75" x14ac:dyDescent="0.9">
      <c r="B14" s="3" t="s">
        <v>452</v>
      </c>
    </row>
  </sheetData>
  <mergeCells count="1">
    <mergeCell ref="A1:S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9"/>
  <sheetViews>
    <sheetView workbookViewId="0">
      <selection activeCell="E33" sqref="E33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1" t="s">
        <v>80</v>
      </c>
      <c r="D1" s="111" t="s">
        <v>81</v>
      </c>
      <c r="E1" s="111" t="s">
        <v>82</v>
      </c>
      <c r="F1" s="111" t="s">
        <v>214</v>
      </c>
      <c r="G1" s="111" t="s">
        <v>215</v>
      </c>
      <c r="H1" s="111" t="s">
        <v>216</v>
      </c>
      <c r="I1" s="111" t="s">
        <v>217</v>
      </c>
      <c r="J1" s="111" t="s">
        <v>218</v>
      </c>
      <c r="K1" s="111" t="s">
        <v>219</v>
      </c>
      <c r="L1" s="111" t="s">
        <v>220</v>
      </c>
      <c r="M1" s="111" t="s">
        <v>221</v>
      </c>
      <c r="N1" s="111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Location'!C3:N3</xm:f>
              <xm:sqref>B3</xm:sqref>
            </x14:sparkline>
            <x14:sparkline>
              <xm:f>'Column - Location'!C4:N4</xm:f>
              <xm:sqref>B4</xm:sqref>
            </x14:sparkline>
            <x14:sparkline>
              <xm:f>'Column - Location'!C5:N5</xm:f>
              <xm:sqref>B5</xm:sqref>
            </x14:sparkline>
            <x14:sparkline>
              <xm:f>'Column - Location'!C6:N6</xm:f>
              <xm:sqref>B6</xm:sqref>
            </x14:sparkline>
            <x14:sparkline>
              <xm:f>'Column - Location'!C7:N7</xm:f>
              <xm:sqref>B7</xm:sqref>
            </x14:sparkline>
            <x14:sparkline>
              <xm:f>'Column - Location'!C8:N8</xm:f>
              <xm:sqref>B8</xm:sqref>
            </x14:sparkline>
            <x14:sparkline>
              <xm:f>'Column - Location'!C9:N9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Location'!C2:N2</xm:f>
              <xm:sqref>B2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9"/>
  <sheetViews>
    <sheetView workbookViewId="0">
      <selection activeCell="S4" sqref="S4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1" t="s">
        <v>80</v>
      </c>
      <c r="D1" s="111" t="s">
        <v>81</v>
      </c>
      <c r="E1" s="111" t="s">
        <v>82</v>
      </c>
      <c r="F1" s="111" t="s">
        <v>214</v>
      </c>
      <c r="G1" s="111" t="s">
        <v>215</v>
      </c>
      <c r="H1" s="111" t="s">
        <v>216</v>
      </c>
      <c r="I1" s="111" t="s">
        <v>217</v>
      </c>
      <c r="J1" s="111" t="s">
        <v>218</v>
      </c>
      <c r="K1" s="111" t="s">
        <v>219</v>
      </c>
      <c r="L1" s="111" t="s">
        <v>220</v>
      </c>
      <c r="M1" s="111" t="s">
        <v>221</v>
      </c>
      <c r="N1" s="111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 Comparison'!C2:N2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 Comparison'!C3:N3</xm:f>
              <xm:sqref>B3</xm:sqref>
            </x14:sparkline>
            <x14:sparkline>
              <xm:f>'Pie Comparison'!C4:N4</xm:f>
              <xm:sqref>B4</xm:sqref>
            </x14:sparkline>
            <x14:sparkline>
              <xm:f>'Pie Comparison'!C5:N5</xm:f>
              <xm:sqref>B5</xm:sqref>
            </x14:sparkline>
            <x14:sparkline>
              <xm:f>'Pie Comparison'!C6:N6</xm:f>
              <xm:sqref>B6</xm:sqref>
            </x14:sparkline>
            <x14:sparkline>
              <xm:f>'Pie Comparison'!C7:N7</xm:f>
              <xm:sqref>B7</xm:sqref>
            </x14:sparkline>
            <x14:sparkline>
              <xm:f>'Pie Comparison'!C8:N8</xm:f>
              <xm:sqref>B8</xm:sqref>
            </x14:sparkline>
            <x14:sparkline>
              <xm:f>'Pie Comparison'!C9:N9</xm:f>
              <xm:sqref>B9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9"/>
  <sheetViews>
    <sheetView workbookViewId="0">
      <selection activeCell="W2" sqref="W2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1" t="s">
        <v>80</v>
      </c>
      <c r="D1" s="111" t="s">
        <v>81</v>
      </c>
      <c r="E1" s="111" t="s">
        <v>82</v>
      </c>
      <c r="F1" s="111" t="s">
        <v>214</v>
      </c>
      <c r="G1" s="111" t="s">
        <v>215</v>
      </c>
      <c r="H1" s="111" t="s">
        <v>216</v>
      </c>
      <c r="I1" s="111" t="s">
        <v>217</v>
      </c>
      <c r="J1" s="111" t="s">
        <v>218</v>
      </c>
      <c r="K1" s="111" t="s">
        <v>219</v>
      </c>
      <c r="L1" s="111" t="s">
        <v>220</v>
      </c>
      <c r="M1" s="111" t="s">
        <v>221</v>
      </c>
      <c r="N1" s="111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Doughnut!C3:N3</xm:f>
              <xm:sqref>B3</xm:sqref>
            </x14:sparkline>
            <x14:sparkline>
              <xm:f>Doughnut!C4:N4</xm:f>
              <xm:sqref>B4</xm:sqref>
            </x14:sparkline>
            <x14:sparkline>
              <xm:f>Doughnut!C5:N5</xm:f>
              <xm:sqref>B5</xm:sqref>
            </x14:sparkline>
            <x14:sparkline>
              <xm:f>Doughnut!C6:N6</xm:f>
              <xm:sqref>B6</xm:sqref>
            </x14:sparkline>
            <x14:sparkline>
              <xm:f>Doughnut!C7:N7</xm:f>
              <xm:sqref>B7</xm:sqref>
            </x14:sparkline>
            <x14:sparkline>
              <xm:f>Doughnut!C8:N8</xm:f>
              <xm:sqref>B8</xm:sqref>
            </x14:sparkline>
            <x14:sparkline>
              <xm:f>Doughnut!C9:N9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Doughnut!C2:N2</xm:f>
              <xm:sqref>B2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AD36"/>
  <sheetViews>
    <sheetView workbookViewId="0">
      <selection activeCell="AF21" sqref="AF21"/>
    </sheetView>
  </sheetViews>
  <sheetFormatPr defaultRowHeight="14.25" x14ac:dyDescent="0.45"/>
  <cols>
    <col min="1" max="1" width="0.73046875" customWidth="1"/>
    <col min="2" max="2" width="5" style="120" bestFit="1" customWidth="1"/>
    <col min="3" max="3" width="7.265625" style="121" bestFit="1" customWidth="1"/>
    <col min="11" max="11" width="6.59765625" customWidth="1"/>
    <col min="12" max="12" width="5" style="120" bestFit="1" customWidth="1"/>
    <col min="13" max="13" width="7.265625" style="121" bestFit="1" customWidth="1"/>
    <col min="21" max="21" width="7.73046875" customWidth="1"/>
    <col min="22" max="22" width="5" style="120" bestFit="1" customWidth="1"/>
    <col min="23" max="23" width="7.265625" style="121" bestFit="1" customWidth="1"/>
  </cols>
  <sheetData>
    <row r="1" spans="2:23" ht="14.65" thickBot="1" x14ac:dyDescent="0.5"/>
    <row r="2" spans="2:23" s="124" customFormat="1" ht="28.5" x14ac:dyDescent="0.45">
      <c r="B2" s="127" t="s">
        <v>405</v>
      </c>
      <c r="C2" s="128" t="s">
        <v>404</v>
      </c>
      <c r="L2" s="161"/>
      <c r="M2" s="139" t="s">
        <v>404</v>
      </c>
      <c r="V2" s="129" t="s">
        <v>405</v>
      </c>
      <c r="W2" s="130" t="s">
        <v>404</v>
      </c>
    </row>
    <row r="3" spans="2:23" x14ac:dyDescent="0.45">
      <c r="B3" s="131">
        <v>1980</v>
      </c>
      <c r="C3" s="132">
        <v>10.28</v>
      </c>
      <c r="L3" s="135">
        <v>1980</v>
      </c>
      <c r="M3" s="136">
        <v>10.28</v>
      </c>
      <c r="V3" s="140">
        <v>1980</v>
      </c>
      <c r="W3" s="141">
        <v>10.28</v>
      </c>
    </row>
    <row r="4" spans="2:23" x14ac:dyDescent="0.45">
      <c r="B4" s="131">
        <v>1981</v>
      </c>
      <c r="C4" s="132">
        <v>10.01</v>
      </c>
      <c r="L4" s="135">
        <v>1981</v>
      </c>
      <c r="M4" s="136">
        <v>10.01</v>
      </c>
      <c r="V4" s="140">
        <v>1981</v>
      </c>
      <c r="W4" s="141">
        <v>10.01</v>
      </c>
    </row>
    <row r="5" spans="2:23" x14ac:dyDescent="0.45">
      <c r="B5" s="131">
        <v>1982</v>
      </c>
      <c r="C5" s="132">
        <v>16.079999999999998</v>
      </c>
      <c r="L5" s="135">
        <v>1982</v>
      </c>
      <c r="M5" s="136">
        <v>16.079999999999998</v>
      </c>
      <c r="V5" s="140">
        <v>1982</v>
      </c>
      <c r="W5" s="141">
        <v>16.079999999999998</v>
      </c>
    </row>
    <row r="6" spans="2:23" x14ac:dyDescent="0.45">
      <c r="B6" s="131">
        <v>1983</v>
      </c>
      <c r="C6" s="132">
        <v>21.61</v>
      </c>
      <c r="L6" s="135">
        <v>1983</v>
      </c>
      <c r="M6" s="136">
        <v>21.61</v>
      </c>
      <c r="V6" s="140">
        <v>1983</v>
      </c>
      <c r="W6" s="141">
        <v>21.61</v>
      </c>
    </row>
    <row r="7" spans="2:23" x14ac:dyDescent="0.45">
      <c r="B7" s="131">
        <v>1984</v>
      </c>
      <c r="C7" s="132">
        <v>6.77</v>
      </c>
      <c r="L7" s="135">
        <v>1984</v>
      </c>
      <c r="M7" s="136">
        <v>6.77</v>
      </c>
      <c r="V7" s="140">
        <v>1984</v>
      </c>
      <c r="W7" s="141">
        <v>6.77</v>
      </c>
    </row>
    <row r="8" spans="2:23" x14ac:dyDescent="0.45">
      <c r="B8" s="131">
        <v>1985</v>
      </c>
      <c r="C8" s="132">
        <v>8.4</v>
      </c>
      <c r="L8" s="135">
        <v>1985</v>
      </c>
      <c r="M8" s="136">
        <v>8.4</v>
      </c>
      <c r="V8" s="140">
        <v>1985</v>
      </c>
      <c r="W8" s="141">
        <v>8.4</v>
      </c>
    </row>
    <row r="9" spans="2:23" x14ac:dyDescent="0.45">
      <c r="B9" s="131">
        <v>1986</v>
      </c>
      <c r="C9" s="132">
        <v>12.41</v>
      </c>
      <c r="L9" s="135">
        <v>1986</v>
      </c>
      <c r="M9" s="136">
        <v>12.41</v>
      </c>
      <c r="V9" s="140">
        <v>1986</v>
      </c>
      <c r="W9" s="141">
        <v>12.41</v>
      </c>
    </row>
    <row r="10" spans="2:23" x14ac:dyDescent="0.45">
      <c r="B10" s="131">
        <v>1987</v>
      </c>
      <c r="C10" s="132">
        <v>9.19</v>
      </c>
      <c r="L10" s="135">
        <v>1987</v>
      </c>
      <c r="M10" s="136">
        <v>9.19</v>
      </c>
      <c r="V10" s="140">
        <v>1987</v>
      </c>
      <c r="W10" s="141">
        <v>9.19</v>
      </c>
    </row>
    <row r="11" spans="2:23" x14ac:dyDescent="0.45">
      <c r="B11" s="131">
        <v>1988</v>
      </c>
      <c r="C11" s="132">
        <v>9.39</v>
      </c>
      <c r="L11" s="135">
        <v>1988</v>
      </c>
      <c r="M11" s="136">
        <v>9.39</v>
      </c>
      <c r="V11" s="140">
        <v>1988</v>
      </c>
      <c r="W11" s="141">
        <v>9.39</v>
      </c>
    </row>
    <row r="12" spans="2:23" x14ac:dyDescent="0.45">
      <c r="B12" s="131">
        <v>1989</v>
      </c>
      <c r="C12" s="132">
        <v>6.91</v>
      </c>
      <c r="L12" s="135">
        <v>1989</v>
      </c>
      <c r="M12" s="136">
        <v>6.91</v>
      </c>
      <c r="V12" s="140">
        <v>1989</v>
      </c>
      <c r="W12" s="141">
        <v>6.91</v>
      </c>
    </row>
    <row r="13" spans="2:23" x14ac:dyDescent="0.45">
      <c r="B13" s="131">
        <v>1990</v>
      </c>
      <c r="C13" s="132">
        <v>8.73</v>
      </c>
      <c r="L13" s="135">
        <v>1990</v>
      </c>
      <c r="M13" s="136">
        <v>8.73</v>
      </c>
      <c r="V13" s="140">
        <v>1990</v>
      </c>
      <c r="W13" s="141">
        <v>8.73</v>
      </c>
    </row>
    <row r="14" spans="2:23" x14ac:dyDescent="0.45">
      <c r="B14" s="131">
        <v>1991</v>
      </c>
      <c r="C14" s="132">
        <v>10.49</v>
      </c>
      <c r="L14" s="135">
        <v>1991</v>
      </c>
      <c r="M14" s="136">
        <v>10.49</v>
      </c>
      <c r="V14" s="140">
        <v>1991</v>
      </c>
      <c r="W14" s="141">
        <v>10.49</v>
      </c>
    </row>
    <row r="15" spans="2:23" x14ac:dyDescent="0.45">
      <c r="B15" s="131">
        <v>1992</v>
      </c>
      <c r="C15" s="132">
        <v>14.08</v>
      </c>
      <c r="L15" s="135">
        <v>1992</v>
      </c>
      <c r="M15" s="136">
        <v>14.08</v>
      </c>
      <c r="V15" s="140">
        <v>1992</v>
      </c>
      <c r="W15" s="141">
        <v>14.08</v>
      </c>
    </row>
    <row r="16" spans="2:23" x14ac:dyDescent="0.45">
      <c r="B16" s="131">
        <v>1993</v>
      </c>
      <c r="C16" s="132">
        <v>13.75</v>
      </c>
      <c r="L16" s="135">
        <v>1993</v>
      </c>
      <c r="M16" s="136">
        <v>13.75</v>
      </c>
      <c r="V16" s="140">
        <v>1993</v>
      </c>
      <c r="W16" s="141">
        <v>13.75</v>
      </c>
    </row>
    <row r="17" spans="2:30" x14ac:dyDescent="0.45">
      <c r="B17" s="131">
        <v>1994</v>
      </c>
      <c r="C17" s="132">
        <v>10.119999999999999</v>
      </c>
      <c r="E17" s="164" t="s">
        <v>453</v>
      </c>
      <c r="F17" s="164"/>
      <c r="G17" s="164"/>
      <c r="H17" s="164"/>
      <c r="I17" s="164"/>
      <c r="J17" s="164"/>
      <c r="L17" s="135">
        <v>1994</v>
      </c>
      <c r="M17" s="136">
        <v>10.119999999999999</v>
      </c>
      <c r="O17" s="164" t="s">
        <v>453</v>
      </c>
      <c r="P17" s="164"/>
      <c r="Q17" s="164"/>
      <c r="R17" s="164"/>
      <c r="S17" s="164"/>
      <c r="T17" s="164"/>
      <c r="V17" s="140">
        <v>1994</v>
      </c>
      <c r="W17" s="141">
        <v>10.119999999999999</v>
      </c>
      <c r="Y17" s="164" t="s">
        <v>454</v>
      </c>
      <c r="Z17" s="164"/>
      <c r="AA17" s="164"/>
      <c r="AB17" s="164"/>
      <c r="AC17" s="164"/>
      <c r="AD17" s="164"/>
    </row>
    <row r="18" spans="2:30" x14ac:dyDescent="0.45">
      <c r="B18" s="131">
        <v>1995</v>
      </c>
      <c r="C18" s="132">
        <v>17.29</v>
      </c>
      <c r="L18" s="135">
        <v>1995</v>
      </c>
      <c r="M18" s="136">
        <v>17.29</v>
      </c>
      <c r="V18" s="140">
        <v>1995</v>
      </c>
      <c r="W18" s="141">
        <v>17.29</v>
      </c>
    </row>
    <row r="19" spans="2:30" x14ac:dyDescent="0.45">
      <c r="B19" s="131">
        <v>1996</v>
      </c>
      <c r="C19" s="132">
        <v>16.97</v>
      </c>
      <c r="L19" s="135">
        <v>1996</v>
      </c>
      <c r="M19" s="136">
        <v>16.97</v>
      </c>
      <c r="V19" s="140">
        <v>1996</v>
      </c>
      <c r="W19" s="141">
        <v>16.97</v>
      </c>
    </row>
    <row r="20" spans="2:30" x14ac:dyDescent="0.45">
      <c r="B20" s="131">
        <v>1997</v>
      </c>
      <c r="C20" s="132">
        <v>7.68</v>
      </c>
      <c r="L20" s="135">
        <v>1997</v>
      </c>
      <c r="M20" s="136">
        <v>7.68</v>
      </c>
      <c r="V20" s="140">
        <v>1997</v>
      </c>
      <c r="W20" s="141">
        <v>7.68</v>
      </c>
    </row>
    <row r="21" spans="2:30" x14ac:dyDescent="0.45">
      <c r="B21" s="131">
        <v>1998</v>
      </c>
      <c r="C21" s="132">
        <v>17.649999999999999</v>
      </c>
      <c r="L21" s="135">
        <v>1998</v>
      </c>
      <c r="M21" s="136">
        <v>17.649999999999999</v>
      </c>
      <c r="V21" s="140">
        <v>1998</v>
      </c>
      <c r="W21" s="141">
        <v>17.649999999999999</v>
      </c>
    </row>
    <row r="22" spans="2:30" x14ac:dyDescent="0.45">
      <c r="B22" s="131">
        <v>1999</v>
      </c>
      <c r="C22" s="132">
        <v>6.17</v>
      </c>
      <c r="L22" s="135">
        <v>1999</v>
      </c>
      <c r="M22" s="136">
        <v>6.17</v>
      </c>
      <c r="V22" s="140">
        <v>1999</v>
      </c>
      <c r="W22" s="141">
        <v>6.17</v>
      </c>
    </row>
    <row r="23" spans="2:30" x14ac:dyDescent="0.45">
      <c r="B23" s="131">
        <v>2000</v>
      </c>
      <c r="C23" s="132">
        <v>15.24</v>
      </c>
      <c r="L23" s="135">
        <v>2000</v>
      </c>
      <c r="M23" s="136">
        <v>15.24</v>
      </c>
      <c r="V23" s="140">
        <v>2000</v>
      </c>
      <c r="W23" s="141">
        <v>15.24</v>
      </c>
    </row>
    <row r="24" spans="2:30" x14ac:dyDescent="0.45">
      <c r="B24" s="131">
        <v>2001</v>
      </c>
      <c r="C24" s="132">
        <v>12.02</v>
      </c>
      <c r="L24" s="135">
        <v>2001</v>
      </c>
      <c r="M24" s="136">
        <v>12.02</v>
      </c>
      <c r="V24" s="140">
        <v>2001</v>
      </c>
      <c r="W24" s="141">
        <v>12.02</v>
      </c>
    </row>
    <row r="25" spans="2:30" x14ac:dyDescent="0.45">
      <c r="B25" s="131">
        <v>2002</v>
      </c>
      <c r="C25" s="132">
        <v>6.75</v>
      </c>
      <c r="L25" s="135">
        <v>2002</v>
      </c>
      <c r="M25" s="136">
        <v>6.75</v>
      </c>
      <c r="V25" s="140">
        <v>2002</v>
      </c>
      <c r="W25" s="141">
        <v>6.75</v>
      </c>
    </row>
    <row r="26" spans="2:30" x14ac:dyDescent="0.45">
      <c r="B26" s="131">
        <v>2003</v>
      </c>
      <c r="C26" s="132">
        <v>9.14</v>
      </c>
      <c r="L26" s="135">
        <v>2003</v>
      </c>
      <c r="M26" s="136">
        <v>9.14</v>
      </c>
      <c r="V26" s="140">
        <v>2003</v>
      </c>
      <c r="W26" s="141">
        <v>9.14</v>
      </c>
    </row>
    <row r="27" spans="2:30" x14ac:dyDescent="0.45">
      <c r="B27" s="131">
        <v>2004</v>
      </c>
      <c r="C27" s="132">
        <v>10.63</v>
      </c>
      <c r="L27" s="135">
        <v>2004</v>
      </c>
      <c r="M27" s="136">
        <v>10.63</v>
      </c>
      <c r="V27" s="140">
        <v>2004</v>
      </c>
      <c r="W27" s="141">
        <v>10.63</v>
      </c>
    </row>
    <row r="28" spans="2:30" x14ac:dyDescent="0.45">
      <c r="B28" s="131">
        <v>2005</v>
      </c>
      <c r="C28" s="132">
        <v>11.68</v>
      </c>
      <c r="L28" s="135">
        <v>2005</v>
      </c>
      <c r="M28" s="136">
        <v>11.68</v>
      </c>
      <c r="V28" s="140">
        <v>2005</v>
      </c>
      <c r="W28" s="141">
        <v>11.68</v>
      </c>
    </row>
    <row r="29" spans="2:30" x14ac:dyDescent="0.45">
      <c r="B29" s="131">
        <v>2006</v>
      </c>
      <c r="C29" s="132">
        <v>13.94</v>
      </c>
      <c r="L29" s="135">
        <v>2006</v>
      </c>
      <c r="M29" s="136">
        <v>13.94</v>
      </c>
      <c r="V29" s="140">
        <v>2006</v>
      </c>
      <c r="W29" s="141">
        <v>13.94</v>
      </c>
    </row>
    <row r="30" spans="2:30" x14ac:dyDescent="0.45">
      <c r="B30" s="131">
        <v>2007</v>
      </c>
      <c r="C30" s="132">
        <v>7.03</v>
      </c>
      <c r="L30" s="135">
        <v>2007</v>
      </c>
      <c r="M30" s="136">
        <v>7.03</v>
      </c>
      <c r="V30" s="140">
        <v>2007</v>
      </c>
      <c r="W30" s="141">
        <v>7.03</v>
      </c>
    </row>
    <row r="31" spans="2:30" x14ac:dyDescent="0.45">
      <c r="B31" s="131">
        <v>2008</v>
      </c>
      <c r="C31" s="132">
        <v>8.4600000000000009</v>
      </c>
      <c r="L31" s="135">
        <v>2008</v>
      </c>
      <c r="M31" s="136">
        <v>8.4600000000000009</v>
      </c>
      <c r="V31" s="140">
        <v>2008</v>
      </c>
      <c r="W31" s="141">
        <v>8.4600000000000009</v>
      </c>
    </row>
    <row r="32" spans="2:30" x14ac:dyDescent="0.45">
      <c r="B32" s="131">
        <v>2009</v>
      </c>
      <c r="C32" s="132">
        <v>9.08</v>
      </c>
      <c r="L32" s="135">
        <v>2009</v>
      </c>
      <c r="M32" s="136">
        <v>9.08</v>
      </c>
      <c r="V32" s="140">
        <v>2009</v>
      </c>
      <c r="W32" s="141">
        <v>9.08</v>
      </c>
    </row>
    <row r="33" spans="2:23" x14ac:dyDescent="0.45">
      <c r="B33" s="131">
        <v>2010</v>
      </c>
      <c r="C33" s="132">
        <v>16.510000000000002</v>
      </c>
      <c r="L33" s="135">
        <v>2010</v>
      </c>
      <c r="M33" s="136">
        <v>16.510000000000002</v>
      </c>
      <c r="V33" s="140">
        <v>2010</v>
      </c>
      <c r="W33" s="141">
        <v>16.510000000000002</v>
      </c>
    </row>
    <row r="34" spans="2:23" x14ac:dyDescent="0.45">
      <c r="B34" s="131">
        <v>2011</v>
      </c>
      <c r="C34" s="132">
        <v>10.93</v>
      </c>
      <c r="L34" s="135">
        <v>2011</v>
      </c>
      <c r="M34" s="136">
        <v>10.93</v>
      </c>
      <c r="V34" s="140">
        <v>2011</v>
      </c>
      <c r="W34" s="141">
        <v>10.93</v>
      </c>
    </row>
    <row r="35" spans="2:23" x14ac:dyDescent="0.45">
      <c r="B35" s="131">
        <v>2012</v>
      </c>
      <c r="C35" s="132">
        <v>9.9700000000000006</v>
      </c>
      <c r="L35" s="135">
        <v>2012</v>
      </c>
      <c r="M35" s="136">
        <v>9.9700000000000006</v>
      </c>
      <c r="V35" s="140">
        <v>2012</v>
      </c>
      <c r="W35" s="141">
        <v>9.9700000000000006</v>
      </c>
    </row>
    <row r="36" spans="2:23" ht="14.65" thickBot="1" x14ac:dyDescent="0.5">
      <c r="B36" s="133">
        <v>2013</v>
      </c>
      <c r="C36" s="134">
        <v>2.12</v>
      </c>
      <c r="L36" s="137">
        <v>2013</v>
      </c>
      <c r="M36" s="138">
        <v>2.12</v>
      </c>
      <c r="V36" s="142">
        <v>2013</v>
      </c>
      <c r="W36" s="143">
        <v>2.12</v>
      </c>
    </row>
  </sheetData>
  <mergeCells count="3">
    <mergeCell ref="E17:J17"/>
    <mergeCell ref="O17:T17"/>
    <mergeCell ref="Y17:AD1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37"/>
  <sheetViews>
    <sheetView workbookViewId="0">
      <selection activeCell="Z12" sqref="Z12"/>
    </sheetView>
  </sheetViews>
  <sheetFormatPr defaultColWidth="9.1328125" defaultRowHeight="14.25" x14ac:dyDescent="0.45"/>
  <cols>
    <col min="1" max="1" width="6" style="118" bestFit="1" customWidth="1"/>
    <col min="2" max="2" width="6" style="119" bestFit="1" customWidth="1"/>
    <col min="3" max="16384" width="9.1328125" style="119"/>
  </cols>
  <sheetData>
    <row r="1" spans="1:2" x14ac:dyDescent="0.45">
      <c r="A1" s="118" t="s">
        <v>223</v>
      </c>
      <c r="B1" s="118" t="s">
        <v>83</v>
      </c>
    </row>
    <row r="2" spans="1:2" x14ac:dyDescent="0.45">
      <c r="A2" s="118">
        <v>1878</v>
      </c>
      <c r="B2" s="119">
        <v>8.65</v>
      </c>
    </row>
    <row r="3" spans="1:2" x14ac:dyDescent="0.45">
      <c r="A3" s="118">
        <v>1879</v>
      </c>
      <c r="B3" s="119">
        <v>6.59</v>
      </c>
    </row>
    <row r="4" spans="1:2" x14ac:dyDescent="0.45">
      <c r="A4" s="118">
        <v>1880</v>
      </c>
      <c r="B4" s="119">
        <v>9.2200000000000006</v>
      </c>
    </row>
    <row r="5" spans="1:2" x14ac:dyDescent="0.45">
      <c r="A5" s="118">
        <v>1881</v>
      </c>
      <c r="B5" s="119">
        <v>5.98</v>
      </c>
    </row>
    <row r="6" spans="1:2" x14ac:dyDescent="0.45">
      <c r="A6" s="118">
        <v>1882</v>
      </c>
      <c r="B6" s="119">
        <v>5.87</v>
      </c>
    </row>
    <row r="7" spans="1:2" x14ac:dyDescent="0.45">
      <c r="A7" s="118">
        <v>1883</v>
      </c>
      <c r="B7" s="119">
        <v>7.68</v>
      </c>
    </row>
    <row r="8" spans="1:2" x14ac:dyDescent="0.45">
      <c r="A8" s="118">
        <v>1884</v>
      </c>
      <c r="B8" s="119">
        <v>17.84</v>
      </c>
    </row>
    <row r="9" spans="1:2" x14ac:dyDescent="0.45">
      <c r="A9" s="118">
        <v>1885</v>
      </c>
      <c r="B9" s="119">
        <v>12.12</v>
      </c>
    </row>
    <row r="10" spans="1:2" x14ac:dyDescent="0.45">
      <c r="A10" s="118">
        <v>1886</v>
      </c>
      <c r="B10" s="119">
        <v>8.25</v>
      </c>
    </row>
    <row r="11" spans="1:2" x14ac:dyDescent="0.45">
      <c r="A11" s="118">
        <v>1887</v>
      </c>
      <c r="B11" s="119">
        <v>8.02</v>
      </c>
    </row>
    <row r="12" spans="1:2" x14ac:dyDescent="0.45">
      <c r="A12" s="118">
        <v>1888</v>
      </c>
      <c r="B12" s="119">
        <v>8.76</v>
      </c>
    </row>
    <row r="13" spans="1:2" x14ac:dyDescent="0.45">
      <c r="A13" s="118">
        <v>1889</v>
      </c>
      <c r="B13" s="119">
        <v>12.27</v>
      </c>
    </row>
    <row r="14" spans="1:2" x14ac:dyDescent="0.45">
      <c r="A14" s="118">
        <v>1890</v>
      </c>
      <c r="B14" s="119">
        <v>8.36</v>
      </c>
    </row>
    <row r="15" spans="1:2" x14ac:dyDescent="0.45">
      <c r="A15" s="118">
        <v>1891</v>
      </c>
      <c r="B15" s="119">
        <v>8.94</v>
      </c>
    </row>
    <row r="16" spans="1:2" x14ac:dyDescent="0.45">
      <c r="A16" s="118">
        <v>1892</v>
      </c>
      <c r="B16" s="119">
        <v>8.75</v>
      </c>
    </row>
    <row r="17" spans="1:2" x14ac:dyDescent="0.45">
      <c r="A17" s="118">
        <v>1893</v>
      </c>
      <c r="B17" s="119">
        <v>9.4</v>
      </c>
    </row>
    <row r="18" spans="1:2" x14ac:dyDescent="0.45">
      <c r="A18" s="118">
        <v>1894</v>
      </c>
      <c r="B18" s="119">
        <v>12.48</v>
      </c>
    </row>
    <row r="19" spans="1:2" x14ac:dyDescent="0.45">
      <c r="A19" s="118">
        <v>1895</v>
      </c>
      <c r="B19" s="119">
        <v>10.39</v>
      </c>
    </row>
    <row r="20" spans="1:2" x14ac:dyDescent="0.45">
      <c r="A20" s="118">
        <v>1896</v>
      </c>
      <c r="B20" s="119">
        <v>11.02</v>
      </c>
    </row>
    <row r="21" spans="1:2" x14ac:dyDescent="0.45">
      <c r="A21" s="118">
        <v>1897</v>
      </c>
      <c r="B21" s="119">
        <v>8.41</v>
      </c>
    </row>
    <row r="22" spans="1:2" x14ac:dyDescent="0.45">
      <c r="A22" s="118">
        <v>1898</v>
      </c>
      <c r="B22" s="119">
        <v>4.99</v>
      </c>
    </row>
    <row r="23" spans="1:2" x14ac:dyDescent="0.45">
      <c r="A23" s="118">
        <v>1899</v>
      </c>
      <c r="B23" s="119">
        <v>10.54</v>
      </c>
    </row>
    <row r="24" spans="1:2" x14ac:dyDescent="0.45">
      <c r="A24" s="118">
        <v>1900</v>
      </c>
      <c r="B24" s="119">
        <v>11.09</v>
      </c>
    </row>
    <row r="25" spans="1:2" x14ac:dyDescent="0.45">
      <c r="A25" s="118">
        <v>1901</v>
      </c>
      <c r="B25" s="119">
        <v>8.07</v>
      </c>
    </row>
    <row r="26" spans="1:2" x14ac:dyDescent="0.45">
      <c r="A26" s="118">
        <v>1902</v>
      </c>
      <c r="B26" s="119">
        <v>7.91</v>
      </c>
    </row>
    <row r="27" spans="1:2" x14ac:dyDescent="0.45">
      <c r="A27" s="118">
        <v>1903</v>
      </c>
      <c r="B27" s="119">
        <v>6.19</v>
      </c>
    </row>
    <row r="28" spans="1:2" x14ac:dyDescent="0.45">
      <c r="A28" s="118">
        <v>1904</v>
      </c>
      <c r="B28" s="119">
        <v>13.33</v>
      </c>
    </row>
    <row r="29" spans="1:2" x14ac:dyDescent="0.45">
      <c r="A29" s="118">
        <v>1905</v>
      </c>
      <c r="B29" s="119">
        <v>7.27</v>
      </c>
    </row>
    <row r="30" spans="1:2" x14ac:dyDescent="0.45">
      <c r="A30" s="118">
        <v>1906</v>
      </c>
      <c r="B30" s="119">
        <v>16.059999999999999</v>
      </c>
    </row>
    <row r="31" spans="1:2" x14ac:dyDescent="0.45">
      <c r="A31" s="118">
        <v>1907</v>
      </c>
      <c r="B31" s="119">
        <v>9</v>
      </c>
    </row>
    <row r="32" spans="1:2" x14ac:dyDescent="0.45">
      <c r="A32" s="118">
        <v>1908</v>
      </c>
      <c r="B32" s="119">
        <v>7.08</v>
      </c>
    </row>
    <row r="33" spans="1:2" x14ac:dyDescent="0.45">
      <c r="A33" s="118">
        <v>1909</v>
      </c>
      <c r="B33" s="119">
        <v>16.47</v>
      </c>
    </row>
    <row r="34" spans="1:2" x14ac:dyDescent="0.45">
      <c r="A34" s="118">
        <v>1910</v>
      </c>
      <c r="B34" s="119">
        <v>4.88</v>
      </c>
    </row>
    <row r="35" spans="1:2" x14ac:dyDescent="0.45">
      <c r="A35" s="118">
        <v>1911</v>
      </c>
      <c r="B35" s="119">
        <v>11.25</v>
      </c>
    </row>
    <row r="36" spans="1:2" x14ac:dyDescent="0.45">
      <c r="A36" s="118">
        <v>1912</v>
      </c>
      <c r="B36" s="119">
        <v>7.32</v>
      </c>
    </row>
    <row r="37" spans="1:2" x14ac:dyDescent="0.45">
      <c r="A37" s="118">
        <v>1913</v>
      </c>
      <c r="B37" s="119">
        <v>8.69</v>
      </c>
    </row>
    <row r="38" spans="1:2" x14ac:dyDescent="0.45">
      <c r="A38" s="118">
        <v>1914</v>
      </c>
      <c r="B38" s="119">
        <v>9.67</v>
      </c>
    </row>
    <row r="39" spans="1:2" x14ac:dyDescent="0.45">
      <c r="A39" s="118">
        <v>1915</v>
      </c>
      <c r="B39" s="119">
        <v>11.65</v>
      </c>
    </row>
    <row r="40" spans="1:2" x14ac:dyDescent="0.45">
      <c r="A40" s="118">
        <v>1916</v>
      </c>
      <c r="B40" s="119">
        <v>12.5</v>
      </c>
    </row>
    <row r="41" spans="1:2" x14ac:dyDescent="0.45">
      <c r="A41" s="118">
        <v>1917</v>
      </c>
      <c r="B41" s="119">
        <v>3.91</v>
      </c>
    </row>
    <row r="42" spans="1:2" x14ac:dyDescent="0.45">
      <c r="A42" s="118">
        <v>1918</v>
      </c>
      <c r="B42" s="119">
        <v>13.68</v>
      </c>
    </row>
    <row r="43" spans="1:2" x14ac:dyDescent="0.45">
      <c r="A43" s="118">
        <v>1919</v>
      </c>
      <c r="B43" s="119">
        <v>4.5</v>
      </c>
    </row>
    <row r="44" spans="1:2" x14ac:dyDescent="0.45">
      <c r="A44" s="118">
        <v>1920</v>
      </c>
      <c r="B44" s="119">
        <v>9.7799999999999994</v>
      </c>
    </row>
    <row r="45" spans="1:2" x14ac:dyDescent="0.45">
      <c r="A45" s="118">
        <v>1921</v>
      </c>
      <c r="B45" s="119">
        <v>9.08</v>
      </c>
    </row>
    <row r="46" spans="1:2" x14ac:dyDescent="0.45">
      <c r="A46" s="118">
        <v>1922</v>
      </c>
      <c r="B46" s="119">
        <v>10.23</v>
      </c>
    </row>
    <row r="47" spans="1:2" x14ac:dyDescent="0.45">
      <c r="A47" s="118">
        <v>1923</v>
      </c>
      <c r="B47" s="119">
        <v>6.99</v>
      </c>
    </row>
    <row r="48" spans="1:2" x14ac:dyDescent="0.45">
      <c r="A48" s="118">
        <v>1924</v>
      </c>
      <c r="B48" s="119">
        <v>7.26</v>
      </c>
    </row>
    <row r="49" spans="1:2" x14ac:dyDescent="0.45">
      <c r="A49" s="118">
        <v>1925</v>
      </c>
      <c r="B49" s="119">
        <v>10.24</v>
      </c>
    </row>
    <row r="50" spans="1:2" x14ac:dyDescent="0.45">
      <c r="A50" s="118">
        <v>1926</v>
      </c>
      <c r="B50" s="119">
        <v>9.42</v>
      </c>
    </row>
    <row r="51" spans="1:2" x14ac:dyDescent="0.45">
      <c r="A51" s="118">
        <v>1927</v>
      </c>
      <c r="B51" s="119">
        <v>11.07</v>
      </c>
    </row>
    <row r="52" spans="1:2" x14ac:dyDescent="0.45">
      <c r="A52" s="118">
        <v>1928</v>
      </c>
      <c r="B52" s="119">
        <v>5.54</v>
      </c>
    </row>
    <row r="53" spans="1:2" x14ac:dyDescent="0.45">
      <c r="A53" s="118">
        <v>1929</v>
      </c>
      <c r="B53" s="119">
        <v>4.9000000000000004</v>
      </c>
    </row>
    <row r="54" spans="1:2" x14ac:dyDescent="0.45">
      <c r="A54" s="118">
        <v>1930</v>
      </c>
      <c r="B54" s="119">
        <v>7.18</v>
      </c>
    </row>
    <row r="55" spans="1:2" x14ac:dyDescent="0.45">
      <c r="A55" s="118">
        <v>1931</v>
      </c>
      <c r="B55" s="119">
        <v>12.13</v>
      </c>
    </row>
    <row r="56" spans="1:2" x14ac:dyDescent="0.45">
      <c r="A56" s="118">
        <v>1932</v>
      </c>
      <c r="B56" s="119">
        <v>5.69</v>
      </c>
    </row>
    <row r="57" spans="1:2" x14ac:dyDescent="0.45">
      <c r="A57" s="118">
        <v>1933</v>
      </c>
      <c r="B57" s="119">
        <v>6.66</v>
      </c>
    </row>
    <row r="58" spans="1:2" x14ac:dyDescent="0.45">
      <c r="A58" s="118">
        <v>1934</v>
      </c>
      <c r="B58" s="119">
        <v>8.17</v>
      </c>
    </row>
    <row r="59" spans="1:2" x14ac:dyDescent="0.45">
      <c r="A59" s="118">
        <v>1935</v>
      </c>
      <c r="B59" s="119">
        <v>13.99</v>
      </c>
    </row>
    <row r="60" spans="1:2" x14ac:dyDescent="0.45">
      <c r="A60" s="118">
        <v>1936</v>
      </c>
      <c r="B60" s="119">
        <v>12.99</v>
      </c>
    </row>
    <row r="61" spans="1:2" x14ac:dyDescent="0.45">
      <c r="A61" s="118">
        <v>1937</v>
      </c>
      <c r="B61" s="119">
        <v>10.24</v>
      </c>
    </row>
    <row r="62" spans="1:2" x14ac:dyDescent="0.45">
      <c r="A62" s="118">
        <v>1938</v>
      </c>
      <c r="B62" s="119">
        <v>15.08</v>
      </c>
    </row>
    <row r="63" spans="1:2" x14ac:dyDescent="0.45">
      <c r="A63" s="118">
        <v>1939</v>
      </c>
      <c r="B63" s="119">
        <v>8</v>
      </c>
    </row>
    <row r="64" spans="1:2" x14ac:dyDescent="0.45">
      <c r="A64" s="118">
        <v>1940</v>
      </c>
      <c r="B64" s="119">
        <v>16.03</v>
      </c>
    </row>
    <row r="65" spans="1:2" x14ac:dyDescent="0.45">
      <c r="A65" s="118">
        <v>1941</v>
      </c>
      <c r="B65" s="119">
        <v>16.739999999999998</v>
      </c>
    </row>
    <row r="66" spans="1:2" x14ac:dyDescent="0.45">
      <c r="A66" s="118">
        <v>1942</v>
      </c>
      <c r="B66" s="119">
        <v>6.97</v>
      </c>
    </row>
    <row r="67" spans="1:2" x14ac:dyDescent="0.45">
      <c r="A67" s="118">
        <v>1943</v>
      </c>
      <c r="B67" s="119">
        <v>8.2100000000000009</v>
      </c>
    </row>
    <row r="68" spans="1:2" x14ac:dyDescent="0.45">
      <c r="A68" s="118">
        <v>1944</v>
      </c>
      <c r="B68" s="119">
        <v>8.8800000000000008</v>
      </c>
    </row>
    <row r="69" spans="1:2" x14ac:dyDescent="0.45">
      <c r="A69" s="118">
        <v>1945</v>
      </c>
      <c r="B69" s="119">
        <v>9.48</v>
      </c>
    </row>
    <row r="70" spans="1:2" x14ac:dyDescent="0.45">
      <c r="A70" s="118">
        <v>1946</v>
      </c>
      <c r="B70" s="119">
        <v>9.52</v>
      </c>
    </row>
    <row r="71" spans="1:2" x14ac:dyDescent="0.45">
      <c r="A71" s="118">
        <v>1947</v>
      </c>
      <c r="B71" s="119">
        <v>3.55</v>
      </c>
    </row>
    <row r="72" spans="1:2" x14ac:dyDescent="0.45">
      <c r="A72" s="118">
        <v>1948</v>
      </c>
      <c r="B72" s="119">
        <v>7.63</v>
      </c>
    </row>
    <row r="73" spans="1:2" x14ac:dyDescent="0.45">
      <c r="A73" s="118">
        <v>1949</v>
      </c>
      <c r="B73" s="119">
        <v>6.57</v>
      </c>
    </row>
    <row r="74" spans="1:2" x14ac:dyDescent="0.45">
      <c r="A74" s="118">
        <v>1950</v>
      </c>
      <c r="B74" s="119">
        <v>12.35</v>
      </c>
    </row>
    <row r="75" spans="1:2" x14ac:dyDescent="0.45">
      <c r="A75" s="118">
        <v>1951</v>
      </c>
      <c r="B75" s="119">
        <v>9.69</v>
      </c>
    </row>
    <row r="76" spans="1:2" x14ac:dyDescent="0.45">
      <c r="A76" s="118">
        <v>1952</v>
      </c>
      <c r="B76" s="119">
        <v>15.54</v>
      </c>
    </row>
    <row r="77" spans="1:2" x14ac:dyDescent="0.45">
      <c r="A77" s="118">
        <v>1953</v>
      </c>
      <c r="B77" s="119">
        <v>6.13</v>
      </c>
    </row>
    <row r="78" spans="1:2" x14ac:dyDescent="0.45">
      <c r="A78" s="118">
        <v>1954</v>
      </c>
      <c r="B78" s="119">
        <v>9.83</v>
      </c>
    </row>
    <row r="79" spans="1:2" x14ac:dyDescent="0.45">
      <c r="A79" s="118">
        <v>1955</v>
      </c>
      <c r="B79" s="119">
        <v>15.21</v>
      </c>
    </row>
    <row r="80" spans="1:2" x14ac:dyDescent="0.45">
      <c r="A80" s="118">
        <v>1956</v>
      </c>
      <c r="B80" s="119">
        <v>6.64</v>
      </c>
    </row>
    <row r="81" spans="1:2" x14ac:dyDescent="0.45">
      <c r="A81" s="118">
        <v>1957</v>
      </c>
      <c r="B81" s="119">
        <v>10.43</v>
      </c>
    </row>
    <row r="82" spans="1:2" x14ac:dyDescent="0.45">
      <c r="A82" s="118">
        <v>1958</v>
      </c>
      <c r="B82" s="119">
        <v>16.47</v>
      </c>
    </row>
    <row r="83" spans="1:2" x14ac:dyDescent="0.45">
      <c r="A83" s="118">
        <v>1959</v>
      </c>
      <c r="B83" s="119">
        <v>7.21</v>
      </c>
    </row>
    <row r="84" spans="1:2" x14ac:dyDescent="0.45">
      <c r="A84" s="118">
        <v>1960</v>
      </c>
      <c r="B84" s="119">
        <v>9.57</v>
      </c>
    </row>
    <row r="85" spans="1:2" x14ac:dyDescent="0.45">
      <c r="A85" s="118">
        <v>1961</v>
      </c>
      <c r="B85" s="119">
        <v>6.96</v>
      </c>
    </row>
    <row r="86" spans="1:2" x14ac:dyDescent="0.45">
      <c r="A86" s="118">
        <v>1962</v>
      </c>
      <c r="B86" s="119">
        <v>9.59</v>
      </c>
    </row>
    <row r="87" spans="1:2" x14ac:dyDescent="0.45">
      <c r="A87" s="118">
        <v>1963</v>
      </c>
      <c r="B87" s="119">
        <v>14.27</v>
      </c>
    </row>
    <row r="88" spans="1:2" x14ac:dyDescent="0.45">
      <c r="A88" s="118">
        <v>1964</v>
      </c>
      <c r="B88" s="119">
        <v>8.44</v>
      </c>
    </row>
    <row r="89" spans="1:2" x14ac:dyDescent="0.45">
      <c r="A89" s="118">
        <v>1965</v>
      </c>
      <c r="B89" s="119">
        <v>10.34</v>
      </c>
    </row>
    <row r="90" spans="1:2" x14ac:dyDescent="0.45">
      <c r="A90" s="118">
        <v>1966</v>
      </c>
      <c r="B90" s="119">
        <v>6.07</v>
      </c>
    </row>
    <row r="91" spans="1:2" x14ac:dyDescent="0.45">
      <c r="A91" s="118">
        <v>1967</v>
      </c>
      <c r="B91" s="119">
        <v>12.98</v>
      </c>
    </row>
    <row r="92" spans="1:2" x14ac:dyDescent="0.45">
      <c r="A92" s="118">
        <v>1968</v>
      </c>
      <c r="B92" s="119">
        <v>10.5</v>
      </c>
    </row>
    <row r="93" spans="1:2" x14ac:dyDescent="0.45">
      <c r="A93" s="118">
        <v>1969</v>
      </c>
      <c r="B93" s="119">
        <v>19.14</v>
      </c>
    </row>
    <row r="94" spans="1:2" x14ac:dyDescent="0.45">
      <c r="A94" s="118">
        <v>1970</v>
      </c>
      <c r="B94" s="119">
        <v>11.86</v>
      </c>
    </row>
    <row r="95" spans="1:2" x14ac:dyDescent="0.45">
      <c r="A95" s="118">
        <v>1971</v>
      </c>
      <c r="B95" s="119">
        <v>6.99</v>
      </c>
    </row>
    <row r="96" spans="1:2" x14ac:dyDescent="0.45">
      <c r="A96" s="118">
        <v>1972</v>
      </c>
      <c r="B96" s="119">
        <v>7.47</v>
      </c>
    </row>
    <row r="97" spans="1:2" x14ac:dyDescent="0.45">
      <c r="A97" s="118">
        <v>1973</v>
      </c>
      <c r="B97" s="119">
        <v>12.68</v>
      </c>
    </row>
    <row r="98" spans="1:2" x14ac:dyDescent="0.45">
      <c r="A98" s="118">
        <v>1974</v>
      </c>
      <c r="B98" s="119">
        <v>9.31</v>
      </c>
    </row>
    <row r="99" spans="1:2" x14ac:dyDescent="0.45">
      <c r="A99" s="118">
        <v>1975</v>
      </c>
      <c r="B99" s="119">
        <v>6.33</v>
      </c>
    </row>
    <row r="100" spans="1:2" x14ac:dyDescent="0.45">
      <c r="A100" s="118">
        <v>1976</v>
      </c>
      <c r="B100" s="119">
        <v>11.04</v>
      </c>
    </row>
    <row r="101" spans="1:2" x14ac:dyDescent="0.45">
      <c r="A101" s="118">
        <v>1977</v>
      </c>
      <c r="B101" s="119">
        <v>6.56</v>
      </c>
    </row>
    <row r="102" spans="1:2" x14ac:dyDescent="0.45">
      <c r="A102" s="118">
        <v>1978</v>
      </c>
      <c r="B102" s="119">
        <v>17.68</v>
      </c>
    </row>
    <row r="103" spans="1:2" x14ac:dyDescent="0.45">
      <c r="A103" s="118">
        <v>1979</v>
      </c>
      <c r="B103" s="119">
        <v>9.9499999999999993</v>
      </c>
    </row>
    <row r="104" spans="1:2" x14ac:dyDescent="0.45">
      <c r="A104" s="118">
        <v>1980</v>
      </c>
      <c r="B104" s="119">
        <v>10.28</v>
      </c>
    </row>
    <row r="105" spans="1:2" x14ac:dyDescent="0.45">
      <c r="A105" s="118">
        <v>1981</v>
      </c>
      <c r="B105" s="119">
        <v>10.01</v>
      </c>
    </row>
    <row r="106" spans="1:2" x14ac:dyDescent="0.45">
      <c r="A106" s="118">
        <v>1982</v>
      </c>
      <c r="B106" s="119">
        <v>16.079999999999998</v>
      </c>
    </row>
    <row r="107" spans="1:2" x14ac:dyDescent="0.45">
      <c r="A107" s="118">
        <v>1983</v>
      </c>
      <c r="B107" s="119">
        <v>21.61</v>
      </c>
    </row>
    <row r="108" spans="1:2" x14ac:dyDescent="0.45">
      <c r="A108" s="118">
        <v>1984</v>
      </c>
      <c r="B108" s="119">
        <v>6.77</v>
      </c>
    </row>
    <row r="109" spans="1:2" x14ac:dyDescent="0.45">
      <c r="A109" s="118">
        <v>1985</v>
      </c>
      <c r="B109" s="119">
        <v>8.4</v>
      </c>
    </row>
    <row r="110" spans="1:2" x14ac:dyDescent="0.45">
      <c r="A110" s="118">
        <v>1986</v>
      </c>
      <c r="B110" s="119">
        <v>12.41</v>
      </c>
    </row>
    <row r="111" spans="1:2" x14ac:dyDescent="0.45">
      <c r="A111" s="118">
        <v>1987</v>
      </c>
      <c r="B111" s="119">
        <v>9.19</v>
      </c>
    </row>
    <row r="112" spans="1:2" x14ac:dyDescent="0.45">
      <c r="A112" s="118">
        <v>1988</v>
      </c>
      <c r="B112" s="119">
        <v>9.39</v>
      </c>
    </row>
    <row r="113" spans="1:2" x14ac:dyDescent="0.45">
      <c r="A113" s="118">
        <v>1989</v>
      </c>
      <c r="B113" s="119">
        <v>6.91</v>
      </c>
    </row>
    <row r="114" spans="1:2" x14ac:dyDescent="0.45">
      <c r="A114" s="118">
        <v>1990</v>
      </c>
      <c r="B114" s="119">
        <v>8.73</v>
      </c>
    </row>
    <row r="115" spans="1:2" x14ac:dyDescent="0.45">
      <c r="A115" s="118">
        <v>1991</v>
      </c>
      <c r="B115" s="119">
        <v>10.49</v>
      </c>
    </row>
    <row r="116" spans="1:2" x14ac:dyDescent="0.45">
      <c r="A116" s="118">
        <v>1992</v>
      </c>
      <c r="B116" s="119">
        <v>14.08</v>
      </c>
    </row>
    <row r="117" spans="1:2" x14ac:dyDescent="0.45">
      <c r="A117" s="118">
        <v>1993</v>
      </c>
      <c r="B117" s="119">
        <v>13.75</v>
      </c>
    </row>
    <row r="118" spans="1:2" x14ac:dyDescent="0.45">
      <c r="A118" s="118">
        <v>1994</v>
      </c>
      <c r="B118" s="119">
        <v>10.119999999999999</v>
      </c>
    </row>
    <row r="119" spans="1:2" x14ac:dyDescent="0.45">
      <c r="A119" s="118">
        <v>1995</v>
      </c>
      <c r="B119" s="119">
        <v>17.29</v>
      </c>
    </row>
    <row r="120" spans="1:2" x14ac:dyDescent="0.45">
      <c r="A120" s="118">
        <v>1996</v>
      </c>
      <c r="B120" s="119">
        <v>16.97</v>
      </c>
    </row>
    <row r="121" spans="1:2" x14ac:dyDescent="0.45">
      <c r="A121" s="118">
        <v>1997</v>
      </c>
      <c r="B121" s="119">
        <v>7.68</v>
      </c>
    </row>
    <row r="122" spans="1:2" x14ac:dyDescent="0.45">
      <c r="A122" s="118">
        <v>1998</v>
      </c>
      <c r="B122" s="119">
        <v>17.649999999999999</v>
      </c>
    </row>
    <row r="123" spans="1:2" x14ac:dyDescent="0.45">
      <c r="A123" s="118">
        <v>1999</v>
      </c>
      <c r="B123" s="119">
        <v>6.17</v>
      </c>
    </row>
    <row r="124" spans="1:2" x14ac:dyDescent="0.45">
      <c r="A124" s="118">
        <v>2000</v>
      </c>
      <c r="B124" s="119">
        <v>15.24</v>
      </c>
    </row>
    <row r="125" spans="1:2" x14ac:dyDescent="0.45">
      <c r="A125" s="118">
        <v>2001</v>
      </c>
      <c r="B125" s="119">
        <v>12.02</v>
      </c>
    </row>
    <row r="126" spans="1:2" x14ac:dyDescent="0.45">
      <c r="A126" s="118">
        <v>2002</v>
      </c>
      <c r="B126" s="119">
        <v>6.75</v>
      </c>
    </row>
    <row r="127" spans="1:2" x14ac:dyDescent="0.45">
      <c r="A127" s="118">
        <v>2003</v>
      </c>
      <c r="B127" s="119">
        <v>9.14</v>
      </c>
    </row>
    <row r="128" spans="1:2" x14ac:dyDescent="0.45">
      <c r="A128" s="118">
        <v>2004</v>
      </c>
      <c r="B128" s="119">
        <v>10.63</v>
      </c>
    </row>
    <row r="129" spans="1:2" x14ac:dyDescent="0.45">
      <c r="A129" s="118">
        <v>2005</v>
      </c>
      <c r="B129" s="119">
        <v>11.68</v>
      </c>
    </row>
    <row r="130" spans="1:2" x14ac:dyDescent="0.45">
      <c r="A130" s="118">
        <v>2006</v>
      </c>
      <c r="B130" s="119">
        <v>13.94</v>
      </c>
    </row>
    <row r="131" spans="1:2" x14ac:dyDescent="0.45">
      <c r="A131" s="118">
        <v>2007</v>
      </c>
      <c r="B131" s="119">
        <v>7.03</v>
      </c>
    </row>
    <row r="132" spans="1:2" x14ac:dyDescent="0.45">
      <c r="A132" s="118">
        <v>2008</v>
      </c>
      <c r="B132" s="119">
        <v>8.4600000000000009</v>
      </c>
    </row>
    <row r="133" spans="1:2" x14ac:dyDescent="0.45">
      <c r="A133" s="118">
        <v>2009</v>
      </c>
      <c r="B133" s="119">
        <v>9.08</v>
      </c>
    </row>
    <row r="134" spans="1:2" x14ac:dyDescent="0.45">
      <c r="A134" s="118">
        <v>2010</v>
      </c>
      <c r="B134" s="119">
        <v>16.510000000000002</v>
      </c>
    </row>
    <row r="135" spans="1:2" x14ac:dyDescent="0.45">
      <c r="A135" s="118">
        <v>2011</v>
      </c>
      <c r="B135" s="119">
        <v>10.93</v>
      </c>
    </row>
    <row r="136" spans="1:2" x14ac:dyDescent="0.45">
      <c r="A136" s="118">
        <v>2012</v>
      </c>
      <c r="B136" s="119">
        <v>9.9700000000000006</v>
      </c>
    </row>
    <row r="137" spans="1:2" x14ac:dyDescent="0.45">
      <c r="A137" s="118">
        <v>2013</v>
      </c>
      <c r="B137" s="119">
        <v>2.12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137"/>
  <sheetViews>
    <sheetView workbookViewId="0">
      <selection activeCell="W2" sqref="W2"/>
    </sheetView>
  </sheetViews>
  <sheetFormatPr defaultColWidth="9.1328125" defaultRowHeight="14.25" x14ac:dyDescent="0.45"/>
  <cols>
    <col min="1" max="1" width="6" style="118" bestFit="1" customWidth="1"/>
    <col min="2" max="2" width="6" style="119" bestFit="1" customWidth="1"/>
    <col min="3" max="16384" width="9.1328125" style="119"/>
  </cols>
  <sheetData>
    <row r="1" spans="1:2" x14ac:dyDescent="0.45">
      <c r="B1" s="118" t="s">
        <v>83</v>
      </c>
    </row>
    <row r="2" spans="1:2" x14ac:dyDescent="0.45">
      <c r="A2" s="118">
        <v>1878</v>
      </c>
      <c r="B2" s="119">
        <v>8.65</v>
      </c>
    </row>
    <row r="3" spans="1:2" x14ac:dyDescent="0.45">
      <c r="A3" s="118">
        <v>1879</v>
      </c>
      <c r="B3" s="119">
        <v>6.59</v>
      </c>
    </row>
    <row r="4" spans="1:2" x14ac:dyDescent="0.45">
      <c r="A4" s="118">
        <v>1880</v>
      </c>
      <c r="B4" s="119">
        <v>9.2200000000000006</v>
      </c>
    </row>
    <row r="5" spans="1:2" x14ac:dyDescent="0.45">
      <c r="A5" s="118">
        <v>1881</v>
      </c>
      <c r="B5" s="119">
        <v>5.98</v>
      </c>
    </row>
    <row r="6" spans="1:2" x14ac:dyDescent="0.45">
      <c r="A6" s="118">
        <v>1882</v>
      </c>
      <c r="B6" s="119">
        <v>5.87</v>
      </c>
    </row>
    <row r="7" spans="1:2" x14ac:dyDescent="0.45">
      <c r="A7" s="118">
        <v>1883</v>
      </c>
      <c r="B7" s="119">
        <v>7.68</v>
      </c>
    </row>
    <row r="8" spans="1:2" x14ac:dyDescent="0.45">
      <c r="A8" s="118">
        <v>1884</v>
      </c>
      <c r="B8" s="119">
        <v>17.84</v>
      </c>
    </row>
    <row r="9" spans="1:2" x14ac:dyDescent="0.45">
      <c r="A9" s="118">
        <v>1885</v>
      </c>
      <c r="B9" s="119">
        <v>12.12</v>
      </c>
    </row>
    <row r="10" spans="1:2" x14ac:dyDescent="0.45">
      <c r="A10" s="118">
        <v>1886</v>
      </c>
      <c r="B10" s="119">
        <v>8.25</v>
      </c>
    </row>
    <row r="11" spans="1:2" x14ac:dyDescent="0.45">
      <c r="A11" s="118">
        <v>1887</v>
      </c>
      <c r="B11" s="119">
        <v>8.02</v>
      </c>
    </row>
    <row r="12" spans="1:2" x14ac:dyDescent="0.45">
      <c r="A12" s="118">
        <v>1888</v>
      </c>
      <c r="B12" s="119">
        <v>8.76</v>
      </c>
    </row>
    <row r="13" spans="1:2" x14ac:dyDescent="0.45">
      <c r="A13" s="118">
        <v>1889</v>
      </c>
      <c r="B13" s="119">
        <v>12.27</v>
      </c>
    </row>
    <row r="14" spans="1:2" x14ac:dyDescent="0.45">
      <c r="A14" s="118">
        <v>1890</v>
      </c>
      <c r="B14" s="119">
        <v>8.36</v>
      </c>
    </row>
    <row r="15" spans="1:2" x14ac:dyDescent="0.45">
      <c r="A15" s="118">
        <v>1891</v>
      </c>
      <c r="B15" s="119">
        <v>8.94</v>
      </c>
    </row>
    <row r="16" spans="1:2" x14ac:dyDescent="0.45">
      <c r="A16" s="118">
        <v>1892</v>
      </c>
      <c r="B16" s="119">
        <v>8.75</v>
      </c>
    </row>
    <row r="17" spans="1:2" x14ac:dyDescent="0.45">
      <c r="A17" s="118">
        <v>1893</v>
      </c>
      <c r="B17" s="119">
        <v>9.4</v>
      </c>
    </row>
    <row r="18" spans="1:2" x14ac:dyDescent="0.45">
      <c r="A18" s="118">
        <v>1894</v>
      </c>
      <c r="B18" s="119">
        <v>12.48</v>
      </c>
    </row>
    <row r="19" spans="1:2" x14ac:dyDescent="0.45">
      <c r="A19" s="118">
        <v>1895</v>
      </c>
      <c r="B19" s="119">
        <v>10.39</v>
      </c>
    </row>
    <row r="20" spans="1:2" x14ac:dyDescent="0.45">
      <c r="A20" s="118">
        <v>1896</v>
      </c>
      <c r="B20" s="119">
        <v>11.02</v>
      </c>
    </row>
    <row r="21" spans="1:2" x14ac:dyDescent="0.45">
      <c r="A21" s="118">
        <v>1897</v>
      </c>
      <c r="B21" s="119">
        <v>8.41</v>
      </c>
    </row>
    <row r="22" spans="1:2" x14ac:dyDescent="0.45">
      <c r="A22" s="118">
        <v>1898</v>
      </c>
      <c r="B22" s="119">
        <v>4.99</v>
      </c>
    </row>
    <row r="23" spans="1:2" x14ac:dyDescent="0.45">
      <c r="A23" s="118">
        <v>1899</v>
      </c>
      <c r="B23" s="119">
        <v>10.54</v>
      </c>
    </row>
    <row r="24" spans="1:2" x14ac:dyDescent="0.45">
      <c r="A24" s="118">
        <v>1900</v>
      </c>
      <c r="B24" s="119">
        <v>11.09</v>
      </c>
    </row>
    <row r="25" spans="1:2" x14ac:dyDescent="0.45">
      <c r="A25" s="118">
        <v>1901</v>
      </c>
      <c r="B25" s="119">
        <v>8.07</v>
      </c>
    </row>
    <row r="26" spans="1:2" x14ac:dyDescent="0.45">
      <c r="A26" s="118">
        <v>1902</v>
      </c>
      <c r="B26" s="119">
        <v>7.91</v>
      </c>
    </row>
    <row r="27" spans="1:2" x14ac:dyDescent="0.45">
      <c r="A27" s="118">
        <v>1903</v>
      </c>
      <c r="B27" s="119">
        <v>6.19</v>
      </c>
    </row>
    <row r="28" spans="1:2" x14ac:dyDescent="0.45">
      <c r="A28" s="118">
        <v>1904</v>
      </c>
      <c r="B28" s="119">
        <v>13.33</v>
      </c>
    </row>
    <row r="29" spans="1:2" x14ac:dyDescent="0.45">
      <c r="A29" s="118">
        <v>1905</v>
      </c>
      <c r="B29" s="119">
        <v>7.27</v>
      </c>
    </row>
    <row r="30" spans="1:2" x14ac:dyDescent="0.45">
      <c r="A30" s="118">
        <v>1906</v>
      </c>
      <c r="B30" s="119">
        <v>16.059999999999999</v>
      </c>
    </row>
    <row r="31" spans="1:2" x14ac:dyDescent="0.45">
      <c r="A31" s="118">
        <v>1907</v>
      </c>
      <c r="B31" s="119">
        <v>9</v>
      </c>
    </row>
    <row r="32" spans="1:2" x14ac:dyDescent="0.45">
      <c r="A32" s="118">
        <v>1908</v>
      </c>
      <c r="B32" s="119">
        <v>7.08</v>
      </c>
    </row>
    <row r="33" spans="1:2" x14ac:dyDescent="0.45">
      <c r="A33" s="118">
        <v>1909</v>
      </c>
      <c r="B33" s="119">
        <v>16.47</v>
      </c>
    </row>
    <row r="34" spans="1:2" x14ac:dyDescent="0.45">
      <c r="A34" s="118">
        <v>1910</v>
      </c>
      <c r="B34" s="119">
        <v>4.88</v>
      </c>
    </row>
    <row r="35" spans="1:2" x14ac:dyDescent="0.45">
      <c r="A35" s="118">
        <v>1911</v>
      </c>
      <c r="B35" s="119">
        <v>11.25</v>
      </c>
    </row>
    <row r="36" spans="1:2" x14ac:dyDescent="0.45">
      <c r="A36" s="118">
        <v>1912</v>
      </c>
      <c r="B36" s="119">
        <v>7.32</v>
      </c>
    </row>
    <row r="37" spans="1:2" x14ac:dyDescent="0.45">
      <c r="A37" s="118">
        <v>1913</v>
      </c>
      <c r="B37" s="119">
        <v>8.69</v>
      </c>
    </row>
    <row r="38" spans="1:2" x14ac:dyDescent="0.45">
      <c r="A38" s="118">
        <v>1914</v>
      </c>
      <c r="B38" s="119">
        <v>9.67</v>
      </c>
    </row>
    <row r="39" spans="1:2" x14ac:dyDescent="0.45">
      <c r="A39" s="118">
        <v>1915</v>
      </c>
      <c r="B39" s="119">
        <v>11.65</v>
      </c>
    </row>
    <row r="40" spans="1:2" x14ac:dyDescent="0.45">
      <c r="A40" s="118">
        <v>1916</v>
      </c>
      <c r="B40" s="119">
        <v>12.5</v>
      </c>
    </row>
    <row r="41" spans="1:2" x14ac:dyDescent="0.45">
      <c r="A41" s="118">
        <v>1917</v>
      </c>
      <c r="B41" s="119">
        <v>3.91</v>
      </c>
    </row>
    <row r="42" spans="1:2" x14ac:dyDescent="0.45">
      <c r="A42" s="118">
        <v>1918</v>
      </c>
      <c r="B42" s="119">
        <v>13.68</v>
      </c>
    </row>
    <row r="43" spans="1:2" x14ac:dyDescent="0.45">
      <c r="A43" s="118">
        <v>1919</v>
      </c>
      <c r="B43" s="119">
        <v>4.5</v>
      </c>
    </row>
    <row r="44" spans="1:2" x14ac:dyDescent="0.45">
      <c r="A44" s="118">
        <v>1920</v>
      </c>
      <c r="B44" s="119">
        <v>9.7799999999999994</v>
      </c>
    </row>
    <row r="45" spans="1:2" x14ac:dyDescent="0.45">
      <c r="A45" s="118">
        <v>1921</v>
      </c>
      <c r="B45" s="119">
        <v>9.08</v>
      </c>
    </row>
    <row r="46" spans="1:2" x14ac:dyDescent="0.45">
      <c r="A46" s="118">
        <v>1922</v>
      </c>
      <c r="B46" s="119">
        <v>10.23</v>
      </c>
    </row>
    <row r="47" spans="1:2" x14ac:dyDescent="0.45">
      <c r="A47" s="118">
        <v>1923</v>
      </c>
      <c r="B47" s="119">
        <v>6.99</v>
      </c>
    </row>
    <row r="48" spans="1:2" x14ac:dyDescent="0.45">
      <c r="A48" s="118">
        <v>1924</v>
      </c>
      <c r="B48" s="119">
        <v>7.26</v>
      </c>
    </row>
    <row r="49" spans="1:2" x14ac:dyDescent="0.45">
      <c r="A49" s="118">
        <v>1925</v>
      </c>
      <c r="B49" s="119">
        <v>10.24</v>
      </c>
    </row>
    <row r="50" spans="1:2" x14ac:dyDescent="0.45">
      <c r="A50" s="118">
        <v>1926</v>
      </c>
      <c r="B50" s="119">
        <v>9.42</v>
      </c>
    </row>
    <row r="51" spans="1:2" x14ac:dyDescent="0.45">
      <c r="A51" s="118">
        <v>1927</v>
      </c>
      <c r="B51" s="119">
        <v>11.07</v>
      </c>
    </row>
    <row r="52" spans="1:2" x14ac:dyDescent="0.45">
      <c r="A52" s="118">
        <v>1928</v>
      </c>
      <c r="B52" s="119">
        <v>5.54</v>
      </c>
    </row>
    <row r="53" spans="1:2" x14ac:dyDescent="0.45">
      <c r="A53" s="118">
        <v>1929</v>
      </c>
      <c r="B53" s="119">
        <v>4.9000000000000004</v>
      </c>
    </row>
    <row r="54" spans="1:2" x14ac:dyDescent="0.45">
      <c r="A54" s="118">
        <v>1930</v>
      </c>
      <c r="B54" s="119">
        <v>7.18</v>
      </c>
    </row>
    <row r="55" spans="1:2" x14ac:dyDescent="0.45">
      <c r="A55" s="118">
        <v>1931</v>
      </c>
      <c r="B55" s="119">
        <v>12.13</v>
      </c>
    </row>
    <row r="56" spans="1:2" x14ac:dyDescent="0.45">
      <c r="A56" s="118">
        <v>1932</v>
      </c>
      <c r="B56" s="119">
        <v>5.69</v>
      </c>
    </row>
    <row r="57" spans="1:2" x14ac:dyDescent="0.45">
      <c r="A57" s="118">
        <v>1933</v>
      </c>
      <c r="B57" s="119">
        <v>6.66</v>
      </c>
    </row>
    <row r="58" spans="1:2" x14ac:dyDescent="0.45">
      <c r="A58" s="118">
        <v>1934</v>
      </c>
      <c r="B58" s="119">
        <v>8.17</v>
      </c>
    </row>
    <row r="59" spans="1:2" x14ac:dyDescent="0.45">
      <c r="A59" s="118">
        <v>1935</v>
      </c>
      <c r="B59" s="119">
        <v>13.99</v>
      </c>
    </row>
    <row r="60" spans="1:2" x14ac:dyDescent="0.45">
      <c r="A60" s="118">
        <v>1936</v>
      </c>
      <c r="B60" s="119">
        <v>12.99</v>
      </c>
    </row>
    <row r="61" spans="1:2" x14ac:dyDescent="0.45">
      <c r="A61" s="118">
        <v>1937</v>
      </c>
      <c r="B61" s="119">
        <v>10.24</v>
      </c>
    </row>
    <row r="62" spans="1:2" x14ac:dyDescent="0.45">
      <c r="A62" s="118">
        <v>1938</v>
      </c>
      <c r="B62" s="119">
        <v>15.08</v>
      </c>
    </row>
    <row r="63" spans="1:2" x14ac:dyDescent="0.45">
      <c r="A63" s="118">
        <v>1939</v>
      </c>
      <c r="B63" s="119">
        <v>8</v>
      </c>
    </row>
    <row r="64" spans="1:2" x14ac:dyDescent="0.45">
      <c r="A64" s="118">
        <v>1940</v>
      </c>
      <c r="B64" s="119">
        <v>16.03</v>
      </c>
    </row>
    <row r="65" spans="1:2" x14ac:dyDescent="0.45">
      <c r="A65" s="118">
        <v>1941</v>
      </c>
      <c r="B65" s="119">
        <v>16.739999999999998</v>
      </c>
    </row>
    <row r="66" spans="1:2" x14ac:dyDescent="0.45">
      <c r="A66" s="118">
        <v>1942</v>
      </c>
      <c r="B66" s="119">
        <v>6.97</v>
      </c>
    </row>
    <row r="67" spans="1:2" x14ac:dyDescent="0.45">
      <c r="A67" s="118">
        <v>1943</v>
      </c>
      <c r="B67" s="119">
        <v>8.2100000000000009</v>
      </c>
    </row>
    <row r="68" spans="1:2" x14ac:dyDescent="0.45">
      <c r="A68" s="118">
        <v>1944</v>
      </c>
      <c r="B68" s="119">
        <v>8.8800000000000008</v>
      </c>
    </row>
    <row r="69" spans="1:2" x14ac:dyDescent="0.45">
      <c r="A69" s="118">
        <v>1945</v>
      </c>
      <c r="B69" s="119">
        <v>9.48</v>
      </c>
    </row>
    <row r="70" spans="1:2" x14ac:dyDescent="0.45">
      <c r="A70" s="118">
        <v>1946</v>
      </c>
      <c r="B70" s="119">
        <v>9.52</v>
      </c>
    </row>
    <row r="71" spans="1:2" x14ac:dyDescent="0.45">
      <c r="A71" s="118">
        <v>1947</v>
      </c>
      <c r="B71" s="119">
        <v>3.55</v>
      </c>
    </row>
    <row r="72" spans="1:2" x14ac:dyDescent="0.45">
      <c r="A72" s="118">
        <v>1948</v>
      </c>
      <c r="B72" s="119">
        <v>7.63</v>
      </c>
    </row>
    <row r="73" spans="1:2" x14ac:dyDescent="0.45">
      <c r="A73" s="118">
        <v>1949</v>
      </c>
      <c r="B73" s="119">
        <v>6.57</v>
      </c>
    </row>
    <row r="74" spans="1:2" x14ac:dyDescent="0.45">
      <c r="A74" s="118">
        <v>1950</v>
      </c>
      <c r="B74" s="119">
        <v>12.35</v>
      </c>
    </row>
    <row r="75" spans="1:2" x14ac:dyDescent="0.45">
      <c r="A75" s="118">
        <v>1951</v>
      </c>
      <c r="B75" s="119">
        <v>9.69</v>
      </c>
    </row>
    <row r="76" spans="1:2" x14ac:dyDescent="0.45">
      <c r="A76" s="118">
        <v>1952</v>
      </c>
      <c r="B76" s="119">
        <v>15.54</v>
      </c>
    </row>
    <row r="77" spans="1:2" x14ac:dyDescent="0.45">
      <c r="A77" s="118">
        <v>1953</v>
      </c>
      <c r="B77" s="119">
        <v>6.13</v>
      </c>
    </row>
    <row r="78" spans="1:2" x14ac:dyDescent="0.45">
      <c r="A78" s="118">
        <v>1954</v>
      </c>
      <c r="B78" s="119">
        <v>9.83</v>
      </c>
    </row>
    <row r="79" spans="1:2" x14ac:dyDescent="0.45">
      <c r="A79" s="118">
        <v>1955</v>
      </c>
      <c r="B79" s="119">
        <v>15.21</v>
      </c>
    </row>
    <row r="80" spans="1:2" x14ac:dyDescent="0.45">
      <c r="A80" s="118">
        <v>1956</v>
      </c>
      <c r="B80" s="119">
        <v>6.64</v>
      </c>
    </row>
    <row r="81" spans="1:2" x14ac:dyDescent="0.45">
      <c r="A81" s="118">
        <v>1957</v>
      </c>
      <c r="B81" s="119">
        <v>10.43</v>
      </c>
    </row>
    <row r="82" spans="1:2" x14ac:dyDescent="0.45">
      <c r="A82" s="118">
        <v>1958</v>
      </c>
      <c r="B82" s="119">
        <v>16.47</v>
      </c>
    </row>
    <row r="83" spans="1:2" x14ac:dyDescent="0.45">
      <c r="A83" s="118">
        <v>1959</v>
      </c>
      <c r="B83" s="119">
        <v>7.21</v>
      </c>
    </row>
    <row r="84" spans="1:2" x14ac:dyDescent="0.45">
      <c r="A84" s="118">
        <v>1960</v>
      </c>
      <c r="B84" s="119">
        <v>9.57</v>
      </c>
    </row>
    <row r="85" spans="1:2" x14ac:dyDescent="0.45">
      <c r="A85" s="118">
        <v>1961</v>
      </c>
      <c r="B85" s="119">
        <v>6.96</v>
      </c>
    </row>
    <row r="86" spans="1:2" x14ac:dyDescent="0.45">
      <c r="A86" s="118">
        <v>1962</v>
      </c>
      <c r="B86" s="119">
        <v>9.59</v>
      </c>
    </row>
    <row r="87" spans="1:2" x14ac:dyDescent="0.45">
      <c r="A87" s="118">
        <v>1963</v>
      </c>
      <c r="B87" s="119">
        <v>14.27</v>
      </c>
    </row>
    <row r="88" spans="1:2" x14ac:dyDescent="0.45">
      <c r="A88" s="118">
        <v>1964</v>
      </c>
      <c r="B88" s="119">
        <v>8.44</v>
      </c>
    </row>
    <row r="89" spans="1:2" x14ac:dyDescent="0.45">
      <c r="A89" s="118">
        <v>1965</v>
      </c>
      <c r="B89" s="119">
        <v>10.34</v>
      </c>
    </row>
    <row r="90" spans="1:2" x14ac:dyDescent="0.45">
      <c r="A90" s="118">
        <v>1966</v>
      </c>
      <c r="B90" s="119">
        <v>6.07</v>
      </c>
    </row>
    <row r="91" spans="1:2" x14ac:dyDescent="0.45">
      <c r="A91" s="118">
        <v>1967</v>
      </c>
      <c r="B91" s="119">
        <v>12.98</v>
      </c>
    </row>
    <row r="92" spans="1:2" x14ac:dyDescent="0.45">
      <c r="A92" s="118">
        <v>1968</v>
      </c>
      <c r="B92" s="119">
        <v>10.5</v>
      </c>
    </row>
    <row r="93" spans="1:2" x14ac:dyDescent="0.45">
      <c r="A93" s="118">
        <v>1969</v>
      </c>
      <c r="B93" s="119">
        <v>19.14</v>
      </c>
    </row>
    <row r="94" spans="1:2" x14ac:dyDescent="0.45">
      <c r="A94" s="118">
        <v>1970</v>
      </c>
      <c r="B94" s="119">
        <v>11.86</v>
      </c>
    </row>
    <row r="95" spans="1:2" x14ac:dyDescent="0.45">
      <c r="A95" s="118">
        <v>1971</v>
      </c>
      <c r="B95" s="119">
        <v>6.99</v>
      </c>
    </row>
    <row r="96" spans="1:2" x14ac:dyDescent="0.45">
      <c r="A96" s="118">
        <v>1972</v>
      </c>
      <c r="B96" s="119">
        <v>7.47</v>
      </c>
    </row>
    <row r="97" spans="1:2" x14ac:dyDescent="0.45">
      <c r="A97" s="118">
        <v>1973</v>
      </c>
      <c r="B97" s="119">
        <v>12.68</v>
      </c>
    </row>
    <row r="98" spans="1:2" x14ac:dyDescent="0.45">
      <c r="A98" s="118">
        <v>1974</v>
      </c>
      <c r="B98" s="119">
        <v>9.31</v>
      </c>
    </row>
    <row r="99" spans="1:2" x14ac:dyDescent="0.45">
      <c r="A99" s="118">
        <v>1975</v>
      </c>
      <c r="B99" s="119">
        <v>6.33</v>
      </c>
    </row>
    <row r="100" spans="1:2" x14ac:dyDescent="0.45">
      <c r="A100" s="118">
        <v>1976</v>
      </c>
      <c r="B100" s="119">
        <v>11.04</v>
      </c>
    </row>
    <row r="101" spans="1:2" x14ac:dyDescent="0.45">
      <c r="A101" s="118">
        <v>1977</v>
      </c>
      <c r="B101" s="119">
        <v>6.56</v>
      </c>
    </row>
    <row r="102" spans="1:2" x14ac:dyDescent="0.45">
      <c r="A102" s="118">
        <v>1978</v>
      </c>
      <c r="B102" s="119">
        <v>17.68</v>
      </c>
    </row>
    <row r="103" spans="1:2" x14ac:dyDescent="0.45">
      <c r="A103" s="118">
        <v>1979</v>
      </c>
      <c r="B103" s="119">
        <v>9.9499999999999993</v>
      </c>
    </row>
    <row r="104" spans="1:2" x14ac:dyDescent="0.45">
      <c r="A104" s="118">
        <v>1980</v>
      </c>
      <c r="B104" s="119">
        <v>10.28</v>
      </c>
    </row>
    <row r="105" spans="1:2" x14ac:dyDescent="0.45">
      <c r="A105" s="118">
        <v>1981</v>
      </c>
      <c r="B105" s="119">
        <v>10.01</v>
      </c>
    </row>
    <row r="106" spans="1:2" x14ac:dyDescent="0.45">
      <c r="A106" s="118">
        <v>1982</v>
      </c>
      <c r="B106" s="119">
        <v>16.079999999999998</v>
      </c>
    </row>
    <row r="107" spans="1:2" x14ac:dyDescent="0.45">
      <c r="A107" s="118">
        <v>1983</v>
      </c>
      <c r="B107" s="119">
        <v>21.61</v>
      </c>
    </row>
    <row r="108" spans="1:2" x14ac:dyDescent="0.45">
      <c r="A108" s="118">
        <v>1984</v>
      </c>
      <c r="B108" s="119">
        <v>6.77</v>
      </c>
    </row>
    <row r="109" spans="1:2" x14ac:dyDescent="0.45">
      <c r="A109" s="118">
        <v>1985</v>
      </c>
      <c r="B109" s="119">
        <v>8.4</v>
      </c>
    </row>
    <row r="110" spans="1:2" x14ac:dyDescent="0.45">
      <c r="A110" s="118">
        <v>1986</v>
      </c>
      <c r="B110" s="119">
        <v>12.41</v>
      </c>
    </row>
    <row r="111" spans="1:2" x14ac:dyDescent="0.45">
      <c r="A111" s="118">
        <v>1987</v>
      </c>
      <c r="B111" s="119">
        <v>9.19</v>
      </c>
    </row>
    <row r="112" spans="1:2" x14ac:dyDescent="0.45">
      <c r="A112" s="118">
        <v>1988</v>
      </c>
      <c r="B112" s="119">
        <v>9.39</v>
      </c>
    </row>
    <row r="113" spans="1:2" x14ac:dyDescent="0.45">
      <c r="A113" s="118">
        <v>1989</v>
      </c>
      <c r="B113" s="119">
        <v>6.91</v>
      </c>
    </row>
    <row r="114" spans="1:2" x14ac:dyDescent="0.45">
      <c r="A114" s="118">
        <v>1990</v>
      </c>
      <c r="B114" s="119">
        <v>8.73</v>
      </c>
    </row>
    <row r="115" spans="1:2" x14ac:dyDescent="0.45">
      <c r="A115" s="118">
        <v>1991</v>
      </c>
      <c r="B115" s="119">
        <v>10.49</v>
      </c>
    </row>
    <row r="116" spans="1:2" x14ac:dyDescent="0.45">
      <c r="A116" s="118">
        <v>1992</v>
      </c>
      <c r="B116" s="119">
        <v>14.08</v>
      </c>
    </row>
    <row r="117" spans="1:2" x14ac:dyDescent="0.45">
      <c r="A117" s="118">
        <v>1993</v>
      </c>
      <c r="B117" s="119">
        <v>13.75</v>
      </c>
    </row>
    <row r="118" spans="1:2" x14ac:dyDescent="0.45">
      <c r="A118" s="118">
        <v>1994</v>
      </c>
      <c r="B118" s="119">
        <v>10.119999999999999</v>
      </c>
    </row>
    <row r="119" spans="1:2" x14ac:dyDescent="0.45">
      <c r="A119" s="118">
        <v>1995</v>
      </c>
      <c r="B119" s="119">
        <v>17.29</v>
      </c>
    </row>
    <row r="120" spans="1:2" x14ac:dyDescent="0.45">
      <c r="A120" s="118">
        <v>1996</v>
      </c>
      <c r="B120" s="119">
        <v>16.97</v>
      </c>
    </row>
    <row r="121" spans="1:2" x14ac:dyDescent="0.45">
      <c r="A121" s="118">
        <v>1997</v>
      </c>
      <c r="B121" s="119">
        <v>7.68</v>
      </c>
    </row>
    <row r="122" spans="1:2" x14ac:dyDescent="0.45">
      <c r="A122" s="118">
        <v>1998</v>
      </c>
      <c r="B122" s="119">
        <v>17.649999999999999</v>
      </c>
    </row>
    <row r="123" spans="1:2" x14ac:dyDescent="0.45">
      <c r="A123" s="118">
        <v>1999</v>
      </c>
      <c r="B123" s="119">
        <v>6.17</v>
      </c>
    </row>
    <row r="124" spans="1:2" x14ac:dyDescent="0.45">
      <c r="A124" s="118">
        <v>2000</v>
      </c>
      <c r="B124" s="119">
        <v>15.24</v>
      </c>
    </row>
    <row r="125" spans="1:2" x14ac:dyDescent="0.45">
      <c r="A125" s="118">
        <v>2001</v>
      </c>
      <c r="B125" s="119">
        <v>12.02</v>
      </c>
    </row>
    <row r="126" spans="1:2" x14ac:dyDescent="0.45">
      <c r="A126" s="118">
        <v>2002</v>
      </c>
      <c r="B126" s="119">
        <v>6.75</v>
      </c>
    </row>
    <row r="127" spans="1:2" x14ac:dyDescent="0.45">
      <c r="A127" s="118">
        <v>2003</v>
      </c>
      <c r="B127" s="119">
        <v>9.14</v>
      </c>
    </row>
    <row r="128" spans="1:2" x14ac:dyDescent="0.45">
      <c r="A128" s="118">
        <v>2004</v>
      </c>
      <c r="B128" s="119">
        <v>10.63</v>
      </c>
    </row>
    <row r="129" spans="1:2" x14ac:dyDescent="0.45">
      <c r="A129" s="118">
        <v>2005</v>
      </c>
      <c r="B129" s="119">
        <v>11.68</v>
      </c>
    </row>
    <row r="130" spans="1:2" x14ac:dyDescent="0.45">
      <c r="A130" s="118">
        <v>2006</v>
      </c>
      <c r="B130" s="119">
        <v>13.94</v>
      </c>
    </row>
    <row r="131" spans="1:2" x14ac:dyDescent="0.45">
      <c r="A131" s="118">
        <v>2007</v>
      </c>
      <c r="B131" s="119">
        <v>7.03</v>
      </c>
    </row>
    <row r="132" spans="1:2" x14ac:dyDescent="0.45">
      <c r="A132" s="118">
        <v>2008</v>
      </c>
      <c r="B132" s="119">
        <v>8.4600000000000009</v>
      </c>
    </row>
    <row r="133" spans="1:2" x14ac:dyDescent="0.45">
      <c r="A133" s="118">
        <v>2009</v>
      </c>
      <c r="B133" s="119">
        <v>9.08</v>
      </c>
    </row>
    <row r="134" spans="1:2" x14ac:dyDescent="0.45">
      <c r="A134" s="118">
        <v>2010</v>
      </c>
      <c r="B134" s="119">
        <v>16.510000000000002</v>
      </c>
    </row>
    <row r="135" spans="1:2" x14ac:dyDescent="0.45">
      <c r="A135" s="118">
        <v>2011</v>
      </c>
      <c r="B135" s="119">
        <v>10.93</v>
      </c>
    </row>
    <row r="136" spans="1:2" x14ac:dyDescent="0.45">
      <c r="A136" s="118">
        <v>2012</v>
      </c>
      <c r="B136" s="119">
        <v>9.9700000000000006</v>
      </c>
    </row>
    <row r="137" spans="1:2" x14ac:dyDescent="0.45">
      <c r="A137" s="118">
        <v>2013</v>
      </c>
      <c r="B137" s="119">
        <v>2.12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37"/>
  <sheetViews>
    <sheetView workbookViewId="0">
      <selection activeCell="Z12" sqref="Z12"/>
    </sheetView>
  </sheetViews>
  <sheetFormatPr defaultColWidth="9.1328125" defaultRowHeight="14.25" x14ac:dyDescent="0.45"/>
  <cols>
    <col min="1" max="1" width="6" style="118" bestFit="1" customWidth="1"/>
    <col min="2" max="2" width="6" style="119" bestFit="1" customWidth="1"/>
    <col min="3" max="16384" width="9.1328125" style="119"/>
  </cols>
  <sheetData>
    <row r="1" spans="1:2" x14ac:dyDescent="0.45">
      <c r="A1" s="118" t="s">
        <v>223</v>
      </c>
      <c r="B1" s="118" t="s">
        <v>83</v>
      </c>
    </row>
    <row r="2" spans="1:2" x14ac:dyDescent="0.45">
      <c r="A2" s="118">
        <v>1878</v>
      </c>
      <c r="B2" s="119">
        <v>8.65</v>
      </c>
    </row>
    <row r="3" spans="1:2" x14ac:dyDescent="0.45">
      <c r="A3" s="118">
        <v>1879</v>
      </c>
      <c r="B3" s="119">
        <v>6.59</v>
      </c>
    </row>
    <row r="4" spans="1:2" x14ac:dyDescent="0.45">
      <c r="A4" s="118">
        <v>1880</v>
      </c>
      <c r="B4" s="119">
        <v>9.2200000000000006</v>
      </c>
    </row>
    <row r="5" spans="1:2" x14ac:dyDescent="0.45">
      <c r="A5" s="118">
        <v>1881</v>
      </c>
      <c r="B5" s="119">
        <v>5.98</v>
      </c>
    </row>
    <row r="6" spans="1:2" x14ac:dyDescent="0.45">
      <c r="A6" s="118">
        <v>1882</v>
      </c>
      <c r="B6" s="119">
        <v>5.87</v>
      </c>
    </row>
    <row r="7" spans="1:2" x14ac:dyDescent="0.45">
      <c r="A7" s="118">
        <v>1883</v>
      </c>
      <c r="B7" s="119">
        <v>7.68</v>
      </c>
    </row>
    <row r="8" spans="1:2" x14ac:dyDescent="0.45">
      <c r="A8" s="118">
        <v>1884</v>
      </c>
      <c r="B8" s="119">
        <v>17.84</v>
      </c>
    </row>
    <row r="9" spans="1:2" x14ac:dyDescent="0.45">
      <c r="A9" s="118">
        <v>1885</v>
      </c>
      <c r="B9" s="119">
        <v>12.12</v>
      </c>
    </row>
    <row r="10" spans="1:2" x14ac:dyDescent="0.45">
      <c r="A10" s="118">
        <v>1886</v>
      </c>
      <c r="B10" s="119">
        <v>8.25</v>
      </c>
    </row>
    <row r="11" spans="1:2" x14ac:dyDescent="0.45">
      <c r="A11" s="118">
        <v>1887</v>
      </c>
      <c r="B11" s="119">
        <v>8.02</v>
      </c>
    </row>
    <row r="12" spans="1:2" x14ac:dyDescent="0.45">
      <c r="A12" s="118">
        <v>1888</v>
      </c>
      <c r="B12" s="119">
        <v>8.76</v>
      </c>
    </row>
    <row r="13" spans="1:2" x14ac:dyDescent="0.45">
      <c r="A13" s="118">
        <v>1889</v>
      </c>
      <c r="B13" s="119">
        <v>12.27</v>
      </c>
    </row>
    <row r="14" spans="1:2" x14ac:dyDescent="0.45">
      <c r="A14" s="118">
        <v>1890</v>
      </c>
      <c r="B14" s="119">
        <v>8.36</v>
      </c>
    </row>
    <row r="15" spans="1:2" x14ac:dyDescent="0.45">
      <c r="A15" s="118">
        <v>1891</v>
      </c>
      <c r="B15" s="119">
        <v>8.94</v>
      </c>
    </row>
    <row r="16" spans="1:2" x14ac:dyDescent="0.45">
      <c r="A16" s="118">
        <v>1892</v>
      </c>
      <c r="B16" s="119">
        <v>8.75</v>
      </c>
    </row>
    <row r="17" spans="1:2" x14ac:dyDescent="0.45">
      <c r="A17" s="118">
        <v>1893</v>
      </c>
      <c r="B17" s="119">
        <v>9.4</v>
      </c>
    </row>
    <row r="18" spans="1:2" x14ac:dyDescent="0.45">
      <c r="A18" s="118">
        <v>1894</v>
      </c>
      <c r="B18" s="119">
        <v>12.48</v>
      </c>
    </row>
    <row r="19" spans="1:2" x14ac:dyDescent="0.45">
      <c r="A19" s="118">
        <v>1895</v>
      </c>
      <c r="B19" s="119">
        <v>10.39</v>
      </c>
    </row>
    <row r="20" spans="1:2" x14ac:dyDescent="0.45">
      <c r="A20" s="118">
        <v>1896</v>
      </c>
      <c r="B20" s="119">
        <v>11.02</v>
      </c>
    </row>
    <row r="21" spans="1:2" x14ac:dyDescent="0.45">
      <c r="A21" s="118">
        <v>1897</v>
      </c>
      <c r="B21" s="119">
        <v>8.41</v>
      </c>
    </row>
    <row r="22" spans="1:2" x14ac:dyDescent="0.45">
      <c r="A22" s="118">
        <v>1898</v>
      </c>
      <c r="B22" s="119">
        <v>4.99</v>
      </c>
    </row>
    <row r="23" spans="1:2" x14ac:dyDescent="0.45">
      <c r="A23" s="118">
        <v>1899</v>
      </c>
      <c r="B23" s="119">
        <v>10.54</v>
      </c>
    </row>
    <row r="24" spans="1:2" x14ac:dyDescent="0.45">
      <c r="A24" s="118">
        <v>1900</v>
      </c>
      <c r="B24" s="119">
        <v>11.09</v>
      </c>
    </row>
    <row r="25" spans="1:2" x14ac:dyDescent="0.45">
      <c r="A25" s="118">
        <v>1901</v>
      </c>
      <c r="B25" s="119">
        <v>8.07</v>
      </c>
    </row>
    <row r="26" spans="1:2" x14ac:dyDescent="0.45">
      <c r="A26" s="118">
        <v>1902</v>
      </c>
      <c r="B26" s="119">
        <v>7.91</v>
      </c>
    </row>
    <row r="27" spans="1:2" x14ac:dyDescent="0.45">
      <c r="A27" s="118">
        <v>1903</v>
      </c>
      <c r="B27" s="119">
        <v>6.19</v>
      </c>
    </row>
    <row r="28" spans="1:2" x14ac:dyDescent="0.45">
      <c r="A28" s="118">
        <v>1904</v>
      </c>
      <c r="B28" s="119">
        <v>13.33</v>
      </c>
    </row>
    <row r="29" spans="1:2" x14ac:dyDescent="0.45">
      <c r="A29" s="118">
        <v>1905</v>
      </c>
      <c r="B29" s="119">
        <v>7.27</v>
      </c>
    </row>
    <row r="30" spans="1:2" x14ac:dyDescent="0.45">
      <c r="A30" s="118">
        <v>1906</v>
      </c>
      <c r="B30" s="119">
        <v>16.059999999999999</v>
      </c>
    </row>
    <row r="31" spans="1:2" x14ac:dyDescent="0.45">
      <c r="A31" s="118">
        <v>1907</v>
      </c>
      <c r="B31" s="119">
        <v>9</v>
      </c>
    </row>
    <row r="32" spans="1:2" x14ac:dyDescent="0.45">
      <c r="A32" s="118">
        <v>1908</v>
      </c>
      <c r="B32" s="119">
        <v>7.08</v>
      </c>
    </row>
    <row r="33" spans="1:2" x14ac:dyDescent="0.45">
      <c r="A33" s="118">
        <v>1909</v>
      </c>
      <c r="B33" s="119">
        <v>16.47</v>
      </c>
    </row>
    <row r="34" spans="1:2" x14ac:dyDescent="0.45">
      <c r="A34" s="118">
        <v>1910</v>
      </c>
      <c r="B34" s="119">
        <v>4.88</v>
      </c>
    </row>
    <row r="35" spans="1:2" x14ac:dyDescent="0.45">
      <c r="A35" s="118">
        <v>1911</v>
      </c>
      <c r="B35" s="119">
        <v>11.25</v>
      </c>
    </row>
    <row r="36" spans="1:2" x14ac:dyDescent="0.45">
      <c r="A36" s="118">
        <v>1912</v>
      </c>
      <c r="B36" s="119">
        <v>7.32</v>
      </c>
    </row>
    <row r="37" spans="1:2" x14ac:dyDescent="0.45">
      <c r="A37" s="118">
        <v>1913</v>
      </c>
      <c r="B37" s="119">
        <v>8.69</v>
      </c>
    </row>
    <row r="38" spans="1:2" x14ac:dyDescent="0.45">
      <c r="A38" s="118">
        <v>1914</v>
      </c>
      <c r="B38" s="119">
        <v>9.67</v>
      </c>
    </row>
    <row r="39" spans="1:2" x14ac:dyDescent="0.45">
      <c r="A39" s="118">
        <v>1915</v>
      </c>
      <c r="B39" s="119">
        <v>11.65</v>
      </c>
    </row>
    <row r="40" spans="1:2" x14ac:dyDescent="0.45">
      <c r="A40" s="118">
        <v>1916</v>
      </c>
      <c r="B40" s="119">
        <v>12.5</v>
      </c>
    </row>
    <row r="41" spans="1:2" x14ac:dyDescent="0.45">
      <c r="A41" s="118">
        <v>1917</v>
      </c>
      <c r="B41" s="119">
        <v>3.91</v>
      </c>
    </row>
    <row r="42" spans="1:2" x14ac:dyDescent="0.45">
      <c r="A42" s="118">
        <v>1918</v>
      </c>
      <c r="B42" s="119">
        <v>13.68</v>
      </c>
    </row>
    <row r="43" spans="1:2" x14ac:dyDescent="0.45">
      <c r="A43" s="118">
        <v>1919</v>
      </c>
      <c r="B43" s="119">
        <v>4.5</v>
      </c>
    </row>
    <row r="44" spans="1:2" x14ac:dyDescent="0.45">
      <c r="A44" s="118">
        <v>1920</v>
      </c>
      <c r="B44" s="119">
        <v>9.7799999999999994</v>
      </c>
    </row>
    <row r="45" spans="1:2" x14ac:dyDescent="0.45">
      <c r="A45" s="118">
        <v>1921</v>
      </c>
      <c r="B45" s="119">
        <v>9.08</v>
      </c>
    </row>
    <row r="46" spans="1:2" x14ac:dyDescent="0.45">
      <c r="A46" s="118">
        <v>1922</v>
      </c>
      <c r="B46" s="119">
        <v>10.23</v>
      </c>
    </row>
    <row r="47" spans="1:2" x14ac:dyDescent="0.45">
      <c r="A47" s="118">
        <v>1923</v>
      </c>
      <c r="B47" s="119">
        <v>6.99</v>
      </c>
    </row>
    <row r="48" spans="1:2" x14ac:dyDescent="0.45">
      <c r="A48" s="118">
        <v>1924</v>
      </c>
      <c r="B48" s="119">
        <v>7.26</v>
      </c>
    </row>
    <row r="49" spans="1:2" x14ac:dyDescent="0.45">
      <c r="A49" s="118">
        <v>1925</v>
      </c>
      <c r="B49" s="119">
        <v>10.24</v>
      </c>
    </row>
    <row r="50" spans="1:2" x14ac:dyDescent="0.45">
      <c r="A50" s="118">
        <v>1926</v>
      </c>
      <c r="B50" s="119">
        <v>9.42</v>
      </c>
    </row>
    <row r="51" spans="1:2" x14ac:dyDescent="0.45">
      <c r="A51" s="118">
        <v>1927</v>
      </c>
      <c r="B51" s="119">
        <v>11.07</v>
      </c>
    </row>
    <row r="52" spans="1:2" x14ac:dyDescent="0.45">
      <c r="A52" s="118">
        <v>1928</v>
      </c>
      <c r="B52" s="119">
        <v>5.54</v>
      </c>
    </row>
    <row r="53" spans="1:2" x14ac:dyDescent="0.45">
      <c r="A53" s="118">
        <v>1929</v>
      </c>
      <c r="B53" s="119">
        <v>4.9000000000000004</v>
      </c>
    </row>
    <row r="54" spans="1:2" x14ac:dyDescent="0.45">
      <c r="A54" s="118">
        <v>1930</v>
      </c>
      <c r="B54" s="119">
        <v>7.18</v>
      </c>
    </row>
    <row r="55" spans="1:2" x14ac:dyDescent="0.45">
      <c r="A55" s="118">
        <v>1931</v>
      </c>
      <c r="B55" s="119">
        <v>12.13</v>
      </c>
    </row>
    <row r="56" spans="1:2" x14ac:dyDescent="0.45">
      <c r="A56" s="118">
        <v>1932</v>
      </c>
      <c r="B56" s="119">
        <v>5.69</v>
      </c>
    </row>
    <row r="57" spans="1:2" x14ac:dyDescent="0.45">
      <c r="A57" s="118">
        <v>1933</v>
      </c>
      <c r="B57" s="119">
        <v>6.66</v>
      </c>
    </row>
    <row r="58" spans="1:2" x14ac:dyDescent="0.45">
      <c r="A58" s="118">
        <v>1934</v>
      </c>
      <c r="B58" s="119">
        <v>8.17</v>
      </c>
    </row>
    <row r="59" spans="1:2" x14ac:dyDescent="0.45">
      <c r="A59" s="118">
        <v>1935</v>
      </c>
      <c r="B59" s="119">
        <v>13.99</v>
      </c>
    </row>
    <row r="60" spans="1:2" x14ac:dyDescent="0.45">
      <c r="A60" s="118">
        <v>1936</v>
      </c>
      <c r="B60" s="119">
        <v>12.99</v>
      </c>
    </row>
    <row r="61" spans="1:2" x14ac:dyDescent="0.45">
      <c r="A61" s="118">
        <v>1937</v>
      </c>
      <c r="B61" s="119">
        <v>10.24</v>
      </c>
    </row>
    <row r="62" spans="1:2" x14ac:dyDescent="0.45">
      <c r="A62" s="118">
        <v>1938</v>
      </c>
      <c r="B62" s="119">
        <v>15.08</v>
      </c>
    </row>
    <row r="63" spans="1:2" x14ac:dyDescent="0.45">
      <c r="A63" s="118">
        <v>1939</v>
      </c>
      <c r="B63" s="119">
        <v>8</v>
      </c>
    </row>
    <row r="64" spans="1:2" x14ac:dyDescent="0.45">
      <c r="A64" s="118">
        <v>1940</v>
      </c>
      <c r="B64" s="119">
        <v>16.03</v>
      </c>
    </row>
    <row r="65" spans="1:2" x14ac:dyDescent="0.45">
      <c r="A65" s="118">
        <v>1941</v>
      </c>
      <c r="B65" s="119">
        <v>16.739999999999998</v>
      </c>
    </row>
    <row r="66" spans="1:2" x14ac:dyDescent="0.45">
      <c r="A66" s="118">
        <v>1942</v>
      </c>
      <c r="B66" s="119">
        <v>6.97</v>
      </c>
    </row>
    <row r="67" spans="1:2" x14ac:dyDescent="0.45">
      <c r="A67" s="118">
        <v>1943</v>
      </c>
      <c r="B67" s="119">
        <v>8.2100000000000009</v>
      </c>
    </row>
    <row r="68" spans="1:2" x14ac:dyDescent="0.45">
      <c r="A68" s="118">
        <v>1944</v>
      </c>
      <c r="B68" s="119">
        <v>8.8800000000000008</v>
      </c>
    </row>
    <row r="69" spans="1:2" x14ac:dyDescent="0.45">
      <c r="A69" s="118">
        <v>1945</v>
      </c>
      <c r="B69" s="119">
        <v>9.48</v>
      </c>
    </row>
    <row r="70" spans="1:2" x14ac:dyDescent="0.45">
      <c r="A70" s="118">
        <v>1946</v>
      </c>
      <c r="B70" s="119">
        <v>9.52</v>
      </c>
    </row>
    <row r="71" spans="1:2" x14ac:dyDescent="0.45">
      <c r="A71" s="118">
        <v>1947</v>
      </c>
      <c r="B71" s="119">
        <v>3.55</v>
      </c>
    </row>
    <row r="72" spans="1:2" x14ac:dyDescent="0.45">
      <c r="A72" s="118">
        <v>1948</v>
      </c>
      <c r="B72" s="119">
        <v>7.63</v>
      </c>
    </row>
    <row r="73" spans="1:2" x14ac:dyDescent="0.45">
      <c r="A73" s="118">
        <v>1949</v>
      </c>
      <c r="B73" s="119">
        <v>6.57</v>
      </c>
    </row>
    <row r="74" spans="1:2" x14ac:dyDescent="0.45">
      <c r="A74" s="118">
        <v>1950</v>
      </c>
      <c r="B74" s="119">
        <v>12.35</v>
      </c>
    </row>
    <row r="75" spans="1:2" x14ac:dyDescent="0.45">
      <c r="A75" s="118">
        <v>1951</v>
      </c>
      <c r="B75" s="119">
        <v>9.69</v>
      </c>
    </row>
    <row r="76" spans="1:2" x14ac:dyDescent="0.45">
      <c r="A76" s="118">
        <v>1952</v>
      </c>
      <c r="B76" s="119">
        <v>15.54</v>
      </c>
    </row>
    <row r="77" spans="1:2" x14ac:dyDescent="0.45">
      <c r="A77" s="118">
        <v>1953</v>
      </c>
      <c r="B77" s="119">
        <v>6.13</v>
      </c>
    </row>
    <row r="78" spans="1:2" x14ac:dyDescent="0.45">
      <c r="A78" s="118">
        <v>1954</v>
      </c>
      <c r="B78" s="119">
        <v>9.83</v>
      </c>
    </row>
    <row r="79" spans="1:2" x14ac:dyDescent="0.45">
      <c r="A79" s="118">
        <v>1955</v>
      </c>
      <c r="B79" s="119">
        <v>15.21</v>
      </c>
    </row>
    <row r="80" spans="1:2" x14ac:dyDescent="0.45">
      <c r="A80" s="118">
        <v>1956</v>
      </c>
      <c r="B80" s="119">
        <v>6.64</v>
      </c>
    </row>
    <row r="81" spans="1:2" x14ac:dyDescent="0.45">
      <c r="A81" s="118">
        <v>1957</v>
      </c>
      <c r="B81" s="119">
        <v>10.43</v>
      </c>
    </row>
    <row r="82" spans="1:2" x14ac:dyDescent="0.45">
      <c r="A82" s="118">
        <v>1958</v>
      </c>
      <c r="B82" s="119">
        <v>16.47</v>
      </c>
    </row>
    <row r="83" spans="1:2" x14ac:dyDescent="0.45">
      <c r="A83" s="118">
        <v>1959</v>
      </c>
      <c r="B83" s="119">
        <v>7.21</v>
      </c>
    </row>
    <row r="84" spans="1:2" x14ac:dyDescent="0.45">
      <c r="A84" s="118">
        <v>1960</v>
      </c>
      <c r="B84" s="119">
        <v>9.57</v>
      </c>
    </row>
    <row r="85" spans="1:2" x14ac:dyDescent="0.45">
      <c r="A85" s="118">
        <v>1961</v>
      </c>
      <c r="B85" s="119">
        <v>6.96</v>
      </c>
    </row>
    <row r="86" spans="1:2" x14ac:dyDescent="0.45">
      <c r="A86" s="118">
        <v>1962</v>
      </c>
      <c r="B86" s="119">
        <v>9.59</v>
      </c>
    </row>
    <row r="87" spans="1:2" x14ac:dyDescent="0.45">
      <c r="A87" s="118">
        <v>1963</v>
      </c>
      <c r="B87" s="119">
        <v>14.27</v>
      </c>
    </row>
    <row r="88" spans="1:2" x14ac:dyDescent="0.45">
      <c r="A88" s="118">
        <v>1964</v>
      </c>
      <c r="B88" s="119">
        <v>8.44</v>
      </c>
    </row>
    <row r="89" spans="1:2" x14ac:dyDescent="0.45">
      <c r="A89" s="118">
        <v>1965</v>
      </c>
      <c r="B89" s="119">
        <v>10.34</v>
      </c>
    </row>
    <row r="90" spans="1:2" x14ac:dyDescent="0.45">
      <c r="A90" s="118">
        <v>1966</v>
      </c>
      <c r="B90" s="119">
        <v>6.07</v>
      </c>
    </row>
    <row r="91" spans="1:2" x14ac:dyDescent="0.45">
      <c r="A91" s="118">
        <v>1967</v>
      </c>
      <c r="B91" s="119">
        <v>12.98</v>
      </c>
    </row>
    <row r="92" spans="1:2" x14ac:dyDescent="0.45">
      <c r="A92" s="118">
        <v>1968</v>
      </c>
      <c r="B92" s="119">
        <v>10.5</v>
      </c>
    </row>
    <row r="93" spans="1:2" x14ac:dyDescent="0.45">
      <c r="A93" s="118">
        <v>1969</v>
      </c>
      <c r="B93" s="119">
        <v>19.14</v>
      </c>
    </row>
    <row r="94" spans="1:2" x14ac:dyDescent="0.45">
      <c r="A94" s="118">
        <v>1970</v>
      </c>
      <c r="B94" s="119">
        <v>11.86</v>
      </c>
    </row>
    <row r="95" spans="1:2" x14ac:dyDescent="0.45">
      <c r="A95" s="118">
        <v>1971</v>
      </c>
      <c r="B95" s="119">
        <v>6.99</v>
      </c>
    </row>
    <row r="96" spans="1:2" x14ac:dyDescent="0.45">
      <c r="A96" s="118">
        <v>1972</v>
      </c>
      <c r="B96" s="119">
        <v>7.47</v>
      </c>
    </row>
    <row r="97" spans="1:2" x14ac:dyDescent="0.45">
      <c r="A97" s="118">
        <v>1973</v>
      </c>
      <c r="B97" s="119">
        <v>12.68</v>
      </c>
    </row>
    <row r="98" spans="1:2" x14ac:dyDescent="0.45">
      <c r="A98" s="118">
        <v>1974</v>
      </c>
      <c r="B98" s="119">
        <v>9.31</v>
      </c>
    </row>
    <row r="99" spans="1:2" x14ac:dyDescent="0.45">
      <c r="A99" s="118">
        <v>1975</v>
      </c>
      <c r="B99" s="119">
        <v>6.33</v>
      </c>
    </row>
    <row r="100" spans="1:2" x14ac:dyDescent="0.45">
      <c r="A100" s="118">
        <v>1976</v>
      </c>
      <c r="B100" s="119">
        <v>11.04</v>
      </c>
    </row>
    <row r="101" spans="1:2" x14ac:dyDescent="0.45">
      <c r="A101" s="118">
        <v>1977</v>
      </c>
      <c r="B101" s="119">
        <v>6.56</v>
      </c>
    </row>
    <row r="102" spans="1:2" x14ac:dyDescent="0.45">
      <c r="A102" s="118">
        <v>1978</v>
      </c>
      <c r="B102" s="119">
        <v>17.68</v>
      </c>
    </row>
    <row r="103" spans="1:2" x14ac:dyDescent="0.45">
      <c r="A103" s="118">
        <v>1979</v>
      </c>
      <c r="B103" s="119">
        <v>9.9499999999999993</v>
      </c>
    </row>
    <row r="104" spans="1:2" x14ac:dyDescent="0.45">
      <c r="A104" s="118">
        <v>1980</v>
      </c>
      <c r="B104" s="119">
        <v>10.28</v>
      </c>
    </row>
    <row r="105" spans="1:2" x14ac:dyDescent="0.45">
      <c r="A105" s="118">
        <v>1981</v>
      </c>
      <c r="B105" s="119">
        <v>10.01</v>
      </c>
    </row>
    <row r="106" spans="1:2" x14ac:dyDescent="0.45">
      <c r="A106" s="118">
        <v>1982</v>
      </c>
      <c r="B106" s="119">
        <v>16.079999999999998</v>
      </c>
    </row>
    <row r="107" spans="1:2" x14ac:dyDescent="0.45">
      <c r="A107" s="118">
        <v>1983</v>
      </c>
      <c r="B107" s="119">
        <v>21.61</v>
      </c>
    </row>
    <row r="108" spans="1:2" x14ac:dyDescent="0.45">
      <c r="A108" s="118">
        <v>1984</v>
      </c>
      <c r="B108" s="119">
        <v>6.77</v>
      </c>
    </row>
    <row r="109" spans="1:2" x14ac:dyDescent="0.45">
      <c r="A109" s="118">
        <v>1985</v>
      </c>
      <c r="B109" s="119">
        <v>8.4</v>
      </c>
    </row>
    <row r="110" spans="1:2" x14ac:dyDescent="0.45">
      <c r="A110" s="118">
        <v>1986</v>
      </c>
      <c r="B110" s="119">
        <v>12.41</v>
      </c>
    </row>
    <row r="111" spans="1:2" x14ac:dyDescent="0.45">
      <c r="A111" s="118">
        <v>1987</v>
      </c>
      <c r="B111" s="119">
        <v>9.19</v>
      </c>
    </row>
    <row r="112" spans="1:2" x14ac:dyDescent="0.45">
      <c r="A112" s="118">
        <v>1988</v>
      </c>
      <c r="B112" s="119">
        <v>9.39</v>
      </c>
    </row>
    <row r="113" spans="1:2" x14ac:dyDescent="0.45">
      <c r="A113" s="118">
        <v>1989</v>
      </c>
      <c r="B113" s="119">
        <v>6.91</v>
      </c>
    </row>
    <row r="114" spans="1:2" x14ac:dyDescent="0.45">
      <c r="A114" s="118">
        <v>1990</v>
      </c>
      <c r="B114" s="119">
        <v>8.73</v>
      </c>
    </row>
    <row r="115" spans="1:2" x14ac:dyDescent="0.45">
      <c r="A115" s="118">
        <v>1991</v>
      </c>
      <c r="B115" s="119">
        <v>10.49</v>
      </c>
    </row>
    <row r="116" spans="1:2" x14ac:dyDescent="0.45">
      <c r="A116" s="118">
        <v>1992</v>
      </c>
      <c r="B116" s="119">
        <v>14.08</v>
      </c>
    </row>
    <row r="117" spans="1:2" x14ac:dyDescent="0.45">
      <c r="A117" s="118">
        <v>1993</v>
      </c>
      <c r="B117" s="119">
        <v>13.75</v>
      </c>
    </row>
    <row r="118" spans="1:2" x14ac:dyDescent="0.45">
      <c r="A118" s="118">
        <v>1994</v>
      </c>
      <c r="B118" s="119">
        <v>10.119999999999999</v>
      </c>
    </row>
    <row r="119" spans="1:2" x14ac:dyDescent="0.45">
      <c r="A119" s="118">
        <v>1995</v>
      </c>
      <c r="B119" s="119">
        <v>17.29</v>
      </c>
    </row>
    <row r="120" spans="1:2" x14ac:dyDescent="0.45">
      <c r="A120" s="118">
        <v>1996</v>
      </c>
      <c r="B120" s="119">
        <v>16.97</v>
      </c>
    </row>
    <row r="121" spans="1:2" x14ac:dyDescent="0.45">
      <c r="A121" s="118">
        <v>1997</v>
      </c>
      <c r="B121" s="119">
        <v>7.68</v>
      </c>
    </row>
    <row r="122" spans="1:2" x14ac:dyDescent="0.45">
      <c r="A122" s="118">
        <v>1998</v>
      </c>
      <c r="B122" s="119">
        <v>17.649999999999999</v>
      </c>
    </row>
    <row r="123" spans="1:2" x14ac:dyDescent="0.45">
      <c r="A123" s="118">
        <v>1999</v>
      </c>
      <c r="B123" s="119">
        <v>6.17</v>
      </c>
    </row>
    <row r="124" spans="1:2" x14ac:dyDescent="0.45">
      <c r="A124" s="118">
        <v>2000</v>
      </c>
      <c r="B124" s="119">
        <v>15.24</v>
      </c>
    </row>
    <row r="125" spans="1:2" x14ac:dyDescent="0.45">
      <c r="A125" s="118">
        <v>2001</v>
      </c>
      <c r="B125" s="119">
        <v>12.02</v>
      </c>
    </row>
    <row r="126" spans="1:2" x14ac:dyDescent="0.45">
      <c r="A126" s="118">
        <v>2002</v>
      </c>
      <c r="B126" s="119">
        <v>6.75</v>
      </c>
    </row>
    <row r="127" spans="1:2" x14ac:dyDescent="0.45">
      <c r="A127" s="118">
        <v>2003</v>
      </c>
      <c r="B127" s="119">
        <v>9.14</v>
      </c>
    </row>
    <row r="128" spans="1:2" x14ac:dyDescent="0.45">
      <c r="A128" s="118">
        <v>2004</v>
      </c>
      <c r="B128" s="119">
        <v>10.63</v>
      </c>
    </row>
    <row r="129" spans="1:2" x14ac:dyDescent="0.45">
      <c r="A129" s="118">
        <v>2005</v>
      </c>
      <c r="B129" s="119">
        <v>11.68</v>
      </c>
    </row>
    <row r="130" spans="1:2" x14ac:dyDescent="0.45">
      <c r="A130" s="118">
        <v>2006</v>
      </c>
      <c r="B130" s="119">
        <v>13.94</v>
      </c>
    </row>
    <row r="131" spans="1:2" x14ac:dyDescent="0.45">
      <c r="A131" s="118">
        <v>2007</v>
      </c>
      <c r="B131" s="119">
        <v>7.03</v>
      </c>
    </row>
    <row r="132" spans="1:2" x14ac:dyDescent="0.45">
      <c r="A132" s="118">
        <v>2008</v>
      </c>
      <c r="B132" s="119">
        <v>8.4600000000000009</v>
      </c>
    </row>
    <row r="133" spans="1:2" x14ac:dyDescent="0.45">
      <c r="A133" s="118">
        <v>2009</v>
      </c>
      <c r="B133" s="119">
        <v>9.08</v>
      </c>
    </row>
    <row r="134" spans="1:2" x14ac:dyDescent="0.45">
      <c r="A134" s="118">
        <v>2010</v>
      </c>
      <c r="B134" s="119">
        <v>16.510000000000002</v>
      </c>
    </row>
    <row r="135" spans="1:2" x14ac:dyDescent="0.45">
      <c r="A135" s="118">
        <v>2011</v>
      </c>
      <c r="B135" s="119">
        <v>10.93</v>
      </c>
    </row>
    <row r="136" spans="1:2" x14ac:dyDescent="0.45">
      <c r="A136" s="118">
        <v>2012</v>
      </c>
      <c r="B136" s="119">
        <v>9.9700000000000006</v>
      </c>
    </row>
    <row r="137" spans="1:2" x14ac:dyDescent="0.45">
      <c r="A137" s="118">
        <v>2013</v>
      </c>
      <c r="B137" s="119">
        <v>2.12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9"/>
  <sheetViews>
    <sheetView zoomScaleNormal="100" workbookViewId="0">
      <selection activeCell="F36" sqref="F36"/>
    </sheetView>
  </sheetViews>
  <sheetFormatPr defaultRowHeight="14.25" x14ac:dyDescent="0.45"/>
  <cols>
    <col min="1" max="1" width="13.3984375" customWidth="1"/>
    <col min="2" max="3" width="12.73046875" customWidth="1"/>
  </cols>
  <sheetData>
    <row r="1" spans="1:3" ht="57" x14ac:dyDescent="0.45">
      <c r="A1" s="112"/>
      <c r="B1" s="112" t="s">
        <v>224</v>
      </c>
      <c r="C1" s="113" t="s">
        <v>225</v>
      </c>
    </row>
    <row r="2" spans="1:3" x14ac:dyDescent="0.45">
      <c r="A2" s="114" t="s">
        <v>226</v>
      </c>
      <c r="B2" s="115">
        <v>48.673000000000002</v>
      </c>
      <c r="C2" s="116">
        <v>1246.8912637718699</v>
      </c>
    </row>
    <row r="3" spans="1:3" x14ac:dyDescent="0.45">
      <c r="A3" s="114" t="s">
        <v>227</v>
      </c>
      <c r="B3" s="115">
        <v>76.918000000000006</v>
      </c>
      <c r="C3" s="116">
        <v>6850.0754562307302</v>
      </c>
    </row>
    <row r="4" spans="1:3" x14ac:dyDescent="0.45">
      <c r="A4" s="114" t="s">
        <v>228</v>
      </c>
      <c r="B4" s="115">
        <v>73.131</v>
      </c>
      <c r="C4" s="116">
        <v>6406.8166213983004</v>
      </c>
    </row>
    <row r="5" spans="1:3" x14ac:dyDescent="0.45">
      <c r="A5" s="114" t="s">
        <v>229</v>
      </c>
      <c r="B5" s="115">
        <v>51.093000000000004</v>
      </c>
      <c r="C5" s="116">
        <v>5519.1831786593002</v>
      </c>
    </row>
    <row r="6" spans="1:3" x14ac:dyDescent="0.45">
      <c r="A6" s="114" t="s">
        <v>230</v>
      </c>
      <c r="B6" s="115">
        <v>75.900999999999996</v>
      </c>
      <c r="C6" s="116">
        <v>15741.0457726686</v>
      </c>
    </row>
    <row r="7" spans="1:3" x14ac:dyDescent="0.45">
      <c r="A7" s="114" t="s">
        <v>231</v>
      </c>
      <c r="B7" s="115">
        <v>74.241</v>
      </c>
      <c r="C7" s="116">
        <v>4748.9285847709098</v>
      </c>
    </row>
    <row r="8" spans="1:3" x14ac:dyDescent="0.45">
      <c r="A8" s="114" t="s">
        <v>232</v>
      </c>
      <c r="B8" s="115">
        <v>81.906999999999996</v>
      </c>
      <c r="C8" s="116">
        <v>34642.388132262196</v>
      </c>
    </row>
    <row r="9" spans="1:3" x14ac:dyDescent="0.45">
      <c r="A9" s="114" t="s">
        <v>233</v>
      </c>
      <c r="B9" s="115">
        <v>80.853999999999999</v>
      </c>
      <c r="C9" s="116">
        <v>36871.071351888699</v>
      </c>
    </row>
    <row r="10" spans="1:3" x14ac:dyDescent="0.45">
      <c r="A10" s="114" t="s">
        <v>234</v>
      </c>
      <c r="B10" s="115">
        <v>70.739000000000004</v>
      </c>
      <c r="C10" s="116">
        <v>9387.3894968710702</v>
      </c>
    </row>
    <row r="11" spans="1:3" x14ac:dyDescent="0.45">
      <c r="A11" s="114" t="s">
        <v>235</v>
      </c>
      <c r="B11" s="115">
        <v>75.62</v>
      </c>
      <c r="C11" s="116">
        <v>21470.8042038124</v>
      </c>
    </row>
    <row r="12" spans="1:3" x14ac:dyDescent="0.45">
      <c r="A12" s="114" t="s">
        <v>236</v>
      </c>
      <c r="B12" s="115">
        <v>75.057000000000002</v>
      </c>
      <c r="C12" s="116">
        <v>23881.147075009201</v>
      </c>
    </row>
    <row r="13" spans="1:3" x14ac:dyDescent="0.45">
      <c r="A13" s="114" t="s">
        <v>237</v>
      </c>
      <c r="B13" s="115">
        <v>68.944000000000003</v>
      </c>
      <c r="C13" s="116">
        <v>1669.87427080975</v>
      </c>
    </row>
    <row r="14" spans="1:3" x14ac:dyDescent="0.45">
      <c r="A14" s="114" t="s">
        <v>238</v>
      </c>
      <c r="B14" s="115">
        <v>76.834999999999994</v>
      </c>
      <c r="C14" s="116">
        <v>16173.6500947241</v>
      </c>
    </row>
    <row r="15" spans="1:3" x14ac:dyDescent="0.45">
      <c r="A15" s="114" t="s">
        <v>239</v>
      </c>
      <c r="B15" s="115">
        <v>70.349000000000004</v>
      </c>
      <c r="C15" s="116">
        <v>13224.027285024</v>
      </c>
    </row>
    <row r="16" spans="1:3" x14ac:dyDescent="0.45">
      <c r="A16" s="114" t="s">
        <v>240</v>
      </c>
      <c r="B16" s="115">
        <v>80.009</v>
      </c>
      <c r="C16" s="116">
        <v>33047.962421755998</v>
      </c>
    </row>
    <row r="17" spans="1:3" x14ac:dyDescent="0.45">
      <c r="A17" s="114" t="s">
        <v>241</v>
      </c>
      <c r="B17" s="115">
        <v>76.072000000000003</v>
      </c>
      <c r="C17" s="116">
        <v>7255.0052259868298</v>
      </c>
    </row>
    <row r="18" spans="1:3" x14ac:dyDescent="0.45">
      <c r="A18" s="114" t="s">
        <v>242</v>
      </c>
      <c r="B18" s="115">
        <v>56.081000000000003</v>
      </c>
      <c r="C18" s="116">
        <v>1457.21564849264</v>
      </c>
    </row>
    <row r="19" spans="1:3" x14ac:dyDescent="0.45">
      <c r="A19" s="114" t="s">
        <v>243</v>
      </c>
      <c r="B19" s="115">
        <v>67.185000000000002</v>
      </c>
      <c r="C19" s="116">
        <v>5640.9045667108203</v>
      </c>
    </row>
    <row r="20" spans="1:3" x14ac:dyDescent="0.45">
      <c r="A20" s="114" t="s">
        <v>244</v>
      </c>
      <c r="B20" s="115">
        <v>66.617999999999995</v>
      </c>
      <c r="C20" s="116">
        <v>4171.3682133827597</v>
      </c>
    </row>
    <row r="21" spans="1:3" x14ac:dyDescent="0.45">
      <c r="A21" s="114" t="s">
        <v>245</v>
      </c>
      <c r="B21" s="115">
        <v>75.67</v>
      </c>
      <c r="C21" s="116">
        <v>7750.16258543403</v>
      </c>
    </row>
    <row r="22" spans="1:3" x14ac:dyDescent="0.45">
      <c r="A22" s="114" t="s">
        <v>246</v>
      </c>
      <c r="B22" s="115">
        <v>53.183</v>
      </c>
      <c r="C22" s="116">
        <v>13625.1153757631</v>
      </c>
    </row>
    <row r="23" spans="1:3" x14ac:dyDescent="0.45">
      <c r="A23" s="114" t="s">
        <v>247</v>
      </c>
      <c r="B23" s="115">
        <v>73.488</v>
      </c>
      <c r="C23" s="116">
        <v>10373.4063741753</v>
      </c>
    </row>
    <row r="24" spans="1:3" x14ac:dyDescent="0.45">
      <c r="A24" s="114" t="s">
        <v>248</v>
      </c>
      <c r="B24" s="115">
        <v>78.004999999999995</v>
      </c>
      <c r="C24" s="116">
        <v>43563.743549755498</v>
      </c>
    </row>
    <row r="25" spans="1:3" x14ac:dyDescent="0.45">
      <c r="A25" s="114" t="s">
        <v>249</v>
      </c>
      <c r="B25" s="115">
        <v>73.370999999999995</v>
      </c>
      <c r="C25" s="116">
        <v>11285.5666613832</v>
      </c>
    </row>
    <row r="26" spans="1:3" x14ac:dyDescent="0.45">
      <c r="A26" s="114" t="s">
        <v>250</v>
      </c>
      <c r="B26" s="115">
        <v>55.439</v>
      </c>
      <c r="C26" s="116">
        <v>1343.4854629620399</v>
      </c>
    </row>
    <row r="27" spans="1:3" x14ac:dyDescent="0.45">
      <c r="A27" s="114" t="s">
        <v>251</v>
      </c>
      <c r="B27" s="115">
        <v>50.411000000000001</v>
      </c>
      <c r="C27" s="116">
        <v>484.14864408568502</v>
      </c>
    </row>
    <row r="28" spans="1:3" x14ac:dyDescent="0.45">
      <c r="A28" s="114" t="s">
        <v>252</v>
      </c>
      <c r="B28" s="115">
        <v>63.125</v>
      </c>
      <c r="C28" s="116">
        <v>1949.5895842054799</v>
      </c>
    </row>
    <row r="29" spans="1:3" x14ac:dyDescent="0.45">
      <c r="A29" s="114" t="s">
        <v>253</v>
      </c>
      <c r="B29" s="115">
        <v>51.61</v>
      </c>
      <c r="C29" s="116">
        <v>2033.23287630612</v>
      </c>
    </row>
    <row r="30" spans="1:3" x14ac:dyDescent="0.45">
      <c r="A30" s="114" t="s">
        <v>254</v>
      </c>
      <c r="B30" s="115">
        <v>81.012</v>
      </c>
      <c r="C30" s="116">
        <v>35689.571189325601</v>
      </c>
    </row>
    <row r="31" spans="1:3" x14ac:dyDescent="0.45">
      <c r="A31" s="114" t="s">
        <v>255</v>
      </c>
      <c r="B31" s="115">
        <v>74.156000000000006</v>
      </c>
      <c r="C31" s="116">
        <v>3787.64164023372</v>
      </c>
    </row>
    <row r="32" spans="1:3" x14ac:dyDescent="0.45">
      <c r="A32" s="114" t="s">
        <v>256</v>
      </c>
      <c r="B32" s="115">
        <v>48.398000000000003</v>
      </c>
      <c r="C32" s="116">
        <v>694.72166936236897</v>
      </c>
    </row>
    <row r="33" spans="1:3" x14ac:dyDescent="0.45">
      <c r="A33" s="114" t="s">
        <v>257</v>
      </c>
      <c r="B33" s="115">
        <v>49.552999999999997</v>
      </c>
      <c r="C33" s="116">
        <v>1745.674492437</v>
      </c>
    </row>
    <row r="34" spans="1:3" x14ac:dyDescent="0.45">
      <c r="A34" s="114" t="s">
        <v>258</v>
      </c>
      <c r="B34" s="115">
        <v>79.12</v>
      </c>
      <c r="C34" s="116">
        <v>14620.8725123289</v>
      </c>
    </row>
    <row r="35" spans="1:3" x14ac:dyDescent="0.45">
      <c r="A35" s="114" t="s">
        <v>259</v>
      </c>
      <c r="B35" s="115">
        <v>73.456000000000003</v>
      </c>
      <c r="C35" s="116">
        <v>8848.0922665782491</v>
      </c>
    </row>
    <row r="36" spans="1:3" x14ac:dyDescent="0.45">
      <c r="A36" s="114" t="s">
        <v>260</v>
      </c>
      <c r="B36" s="115">
        <v>73.703000000000003</v>
      </c>
      <c r="C36" s="116">
        <v>7767.6350646419996</v>
      </c>
    </row>
    <row r="37" spans="1:3" x14ac:dyDescent="0.45">
      <c r="A37" s="114" t="s">
        <v>261</v>
      </c>
      <c r="B37" s="115">
        <v>61.061</v>
      </c>
      <c r="C37" s="116">
        <v>1023.89860572626</v>
      </c>
    </row>
    <row r="38" spans="1:3" x14ac:dyDescent="0.45">
      <c r="A38" s="114" t="s">
        <v>262</v>
      </c>
      <c r="B38" s="115">
        <v>48.396999999999998</v>
      </c>
      <c r="C38" s="116">
        <v>387.22283772044</v>
      </c>
    </row>
    <row r="39" spans="1:3" x14ac:dyDescent="0.45">
      <c r="A39" s="114" t="s">
        <v>263</v>
      </c>
      <c r="B39" s="115">
        <v>57.378999999999998</v>
      </c>
      <c r="C39" s="116">
        <v>4110.5342829315796</v>
      </c>
    </row>
    <row r="40" spans="1:3" x14ac:dyDescent="0.45">
      <c r="A40" s="114" t="s">
        <v>264</v>
      </c>
      <c r="B40" s="115">
        <v>79.311000000000007</v>
      </c>
      <c r="C40" s="116">
        <v>10427.739355215899</v>
      </c>
    </row>
    <row r="41" spans="1:3" x14ac:dyDescent="0.45">
      <c r="A41" s="114" t="s">
        <v>265</v>
      </c>
      <c r="B41" s="115">
        <v>55.377000000000002</v>
      </c>
      <c r="C41" s="116">
        <v>1397.87733174905</v>
      </c>
    </row>
    <row r="42" spans="1:3" x14ac:dyDescent="0.45">
      <c r="A42" s="114" t="s">
        <v>266</v>
      </c>
      <c r="B42" s="115">
        <v>76.64</v>
      </c>
      <c r="C42" s="116">
        <v>13920.272901558301</v>
      </c>
    </row>
    <row r="43" spans="1:3" x14ac:dyDescent="0.45">
      <c r="A43" s="114" t="s">
        <v>267</v>
      </c>
      <c r="B43" s="115">
        <v>79.143000000000001</v>
      </c>
      <c r="C43" s="116">
        <v>9565.8850903696803</v>
      </c>
    </row>
    <row r="44" spans="1:3" x14ac:dyDescent="0.45">
      <c r="A44" s="114" t="s">
        <v>268</v>
      </c>
      <c r="B44" s="115">
        <v>79.590999999999994</v>
      </c>
      <c r="C44" s="116">
        <v>25405.825805238801</v>
      </c>
    </row>
    <row r="45" spans="1:3" x14ac:dyDescent="0.45">
      <c r="A45" s="114" t="s">
        <v>269</v>
      </c>
      <c r="B45" s="115">
        <v>77.685000000000002</v>
      </c>
      <c r="C45" s="116">
        <v>22859.954748841199</v>
      </c>
    </row>
    <row r="46" spans="1:3" x14ac:dyDescent="0.45">
      <c r="A46" s="114" t="s">
        <v>270</v>
      </c>
      <c r="B46" s="115">
        <v>78.825999999999993</v>
      </c>
      <c r="C46" s="116">
        <v>32868.961382910602</v>
      </c>
    </row>
    <row r="47" spans="1:3" x14ac:dyDescent="0.45">
      <c r="A47" s="114" t="s">
        <v>271</v>
      </c>
      <c r="B47" s="115">
        <v>57.936999999999998</v>
      </c>
      <c r="C47" s="116">
        <v>2241.5106588837298</v>
      </c>
    </row>
    <row r="48" spans="1:3" x14ac:dyDescent="0.45">
      <c r="A48" s="114" t="s">
        <v>272</v>
      </c>
      <c r="B48" s="115">
        <v>73.396000000000001</v>
      </c>
      <c r="C48" s="116">
        <v>6838.8589189469103</v>
      </c>
    </row>
    <row r="49" spans="1:3" x14ac:dyDescent="0.45">
      <c r="A49" s="114" t="s">
        <v>273</v>
      </c>
      <c r="B49" s="115">
        <v>75.632000000000005</v>
      </c>
      <c r="C49" s="116">
        <v>7681.5391645892196</v>
      </c>
    </row>
    <row r="50" spans="1:3" x14ac:dyDescent="0.45">
      <c r="A50" s="114" t="s">
        <v>274</v>
      </c>
      <c r="B50" s="115">
        <v>73.234999999999999</v>
      </c>
      <c r="C50" s="116">
        <v>6116.6137308977604</v>
      </c>
    </row>
    <row r="51" spans="1:3" x14ac:dyDescent="0.45">
      <c r="A51" s="114" t="s">
        <v>275</v>
      </c>
      <c r="B51" s="115">
        <v>72.195999999999998</v>
      </c>
      <c r="C51" s="116">
        <v>5644.1634173198199</v>
      </c>
    </row>
    <row r="52" spans="1:3" x14ac:dyDescent="0.45">
      <c r="A52" s="114" t="s">
        <v>276</v>
      </c>
      <c r="B52" s="115">
        <v>51.088000000000001</v>
      </c>
      <c r="C52" s="116">
        <v>15459.9933057085</v>
      </c>
    </row>
    <row r="53" spans="1:3" x14ac:dyDescent="0.45">
      <c r="A53" s="114" t="s">
        <v>277</v>
      </c>
      <c r="B53" s="115">
        <v>61.597000000000001</v>
      </c>
      <c r="C53" s="116">
        <v>591.46168766818801</v>
      </c>
    </row>
    <row r="54" spans="1:3" x14ac:dyDescent="0.45">
      <c r="A54" s="114" t="s">
        <v>278</v>
      </c>
      <c r="B54" s="115">
        <v>74.825000000000003</v>
      </c>
      <c r="C54" s="116">
        <v>18016.324059697701</v>
      </c>
    </row>
    <row r="55" spans="1:3" x14ac:dyDescent="0.45">
      <c r="A55" s="114" t="s">
        <v>279</v>
      </c>
      <c r="B55" s="115">
        <v>59.274000000000001</v>
      </c>
      <c r="C55" s="116">
        <v>900.35069044776606</v>
      </c>
    </row>
    <row r="56" spans="1:3" x14ac:dyDescent="0.45">
      <c r="A56" s="114" t="s">
        <v>280</v>
      </c>
      <c r="B56" s="115">
        <v>69.245000000000005</v>
      </c>
      <c r="C56" s="116">
        <v>4122.4139823387404</v>
      </c>
    </row>
    <row r="57" spans="1:3" x14ac:dyDescent="0.45">
      <c r="A57" s="114" t="s">
        <v>281</v>
      </c>
      <c r="B57" s="115">
        <v>79.977000000000004</v>
      </c>
      <c r="C57" s="116">
        <v>31975.6054416712</v>
      </c>
    </row>
    <row r="58" spans="1:3" x14ac:dyDescent="0.45">
      <c r="A58" s="114" t="s">
        <v>282</v>
      </c>
      <c r="B58" s="115">
        <v>81.539000000000001</v>
      </c>
      <c r="C58" s="116">
        <v>30235.359941089599</v>
      </c>
    </row>
    <row r="59" spans="1:3" x14ac:dyDescent="0.45">
      <c r="A59" s="114" t="s">
        <v>283</v>
      </c>
      <c r="B59" s="115">
        <v>62.703000000000003</v>
      </c>
      <c r="C59" s="116">
        <v>13905.667632078999</v>
      </c>
    </row>
    <row r="60" spans="1:3" x14ac:dyDescent="0.45">
      <c r="A60" s="114" t="s">
        <v>284</v>
      </c>
      <c r="B60" s="115">
        <v>58.491</v>
      </c>
      <c r="C60" s="116">
        <v>798.55205284560702</v>
      </c>
    </row>
    <row r="61" spans="1:3" x14ac:dyDescent="0.45">
      <c r="A61" s="114" t="s">
        <v>285</v>
      </c>
      <c r="B61" s="115">
        <v>73.736999999999995</v>
      </c>
      <c r="C61" s="116">
        <v>4659.3832447998102</v>
      </c>
    </row>
    <row r="62" spans="1:3" x14ac:dyDescent="0.45">
      <c r="A62" s="114" t="s">
        <v>286</v>
      </c>
      <c r="B62" s="115">
        <v>80.414000000000001</v>
      </c>
      <c r="C62" s="116">
        <v>33734.808961206698</v>
      </c>
    </row>
    <row r="63" spans="1:3" x14ac:dyDescent="0.45">
      <c r="A63" s="114" t="s">
        <v>287</v>
      </c>
      <c r="B63" s="115">
        <v>64.227999999999994</v>
      </c>
      <c r="C63" s="116">
        <v>1641.30111721504</v>
      </c>
    </row>
    <row r="64" spans="1:3" x14ac:dyDescent="0.45">
      <c r="A64" s="114" t="s">
        <v>288</v>
      </c>
      <c r="B64" s="115">
        <v>79.915000000000006</v>
      </c>
      <c r="C64" s="116">
        <v>23605.618704504599</v>
      </c>
    </row>
    <row r="65" spans="1:3" x14ac:dyDescent="0.45">
      <c r="A65" s="114" t="s">
        <v>289</v>
      </c>
      <c r="B65" s="115">
        <v>75.956000000000003</v>
      </c>
      <c r="C65" s="116">
        <v>8766.1265965275707</v>
      </c>
    </row>
    <row r="66" spans="1:3" x14ac:dyDescent="0.45">
      <c r="A66" s="114" t="s">
        <v>290</v>
      </c>
      <c r="B66" s="115">
        <v>71.171999999999997</v>
      </c>
      <c r="C66" s="116">
        <v>5241.3399701983299</v>
      </c>
    </row>
    <row r="67" spans="1:3" x14ac:dyDescent="0.45">
      <c r="A67" s="114" t="s">
        <v>291</v>
      </c>
      <c r="B67" s="115">
        <v>54.097000000000001</v>
      </c>
      <c r="C67" s="116">
        <v>949.01823768103804</v>
      </c>
    </row>
    <row r="68" spans="1:3" x14ac:dyDescent="0.45">
      <c r="A68" s="114" t="s">
        <v>292</v>
      </c>
      <c r="B68" s="115">
        <v>48.131999999999998</v>
      </c>
      <c r="C68" s="116">
        <v>608.15570604341599</v>
      </c>
    </row>
    <row r="69" spans="1:3" x14ac:dyDescent="0.45">
      <c r="A69" s="114" t="s">
        <v>293</v>
      </c>
      <c r="B69" s="115">
        <v>69.927000000000007</v>
      </c>
      <c r="C69" s="116">
        <v>4082.5669752869799</v>
      </c>
    </row>
    <row r="70" spans="1:3" x14ac:dyDescent="0.45">
      <c r="A70" s="114" t="s">
        <v>294</v>
      </c>
      <c r="B70" s="115">
        <v>62.094999999999999</v>
      </c>
      <c r="C70" s="116">
        <v>1193.86547227648</v>
      </c>
    </row>
    <row r="71" spans="1:3" x14ac:dyDescent="0.45">
      <c r="A71" s="114" t="s">
        <v>295</v>
      </c>
      <c r="B71" s="115">
        <v>73.126000000000005</v>
      </c>
      <c r="C71" s="116">
        <v>3517.3177711097601</v>
      </c>
    </row>
    <row r="72" spans="1:3" x14ac:dyDescent="0.45">
      <c r="A72" s="114" t="s">
        <v>296</v>
      </c>
      <c r="B72" s="115">
        <v>82.759</v>
      </c>
      <c r="C72" s="116">
        <v>43928.426158980001</v>
      </c>
    </row>
    <row r="73" spans="1:3" x14ac:dyDescent="0.45">
      <c r="A73" s="114" t="s">
        <v>297</v>
      </c>
      <c r="B73" s="115">
        <v>74.414000000000001</v>
      </c>
      <c r="C73" s="116">
        <v>17329.595452535799</v>
      </c>
    </row>
    <row r="74" spans="1:3" x14ac:dyDescent="0.45">
      <c r="A74" s="114" t="s">
        <v>298</v>
      </c>
      <c r="B74" s="115">
        <v>81.804000000000002</v>
      </c>
      <c r="C74" s="116">
        <v>33948.124697364401</v>
      </c>
    </row>
    <row r="75" spans="1:3" x14ac:dyDescent="0.45">
      <c r="A75" s="114" t="s">
        <v>299</v>
      </c>
      <c r="B75" s="115">
        <v>65.438000000000002</v>
      </c>
      <c r="C75" s="116">
        <v>3162.6105770108102</v>
      </c>
    </row>
    <row r="76" spans="1:3" x14ac:dyDescent="0.45">
      <c r="A76" s="114" t="s">
        <v>300</v>
      </c>
      <c r="B76" s="115">
        <v>69.366</v>
      </c>
      <c r="C76" s="116">
        <v>4179.3469061666101</v>
      </c>
    </row>
    <row r="77" spans="1:3" x14ac:dyDescent="0.45">
      <c r="A77" s="114" t="s">
        <v>301</v>
      </c>
      <c r="B77" s="115">
        <v>72.974000000000004</v>
      </c>
      <c r="C77" s="116">
        <v>12474.9937581591</v>
      </c>
    </row>
    <row r="78" spans="1:3" x14ac:dyDescent="0.45">
      <c r="A78" s="114" t="s">
        <v>302</v>
      </c>
      <c r="B78" s="115">
        <v>69.042000000000002</v>
      </c>
      <c r="C78" s="116">
        <v>3707.7328456278401</v>
      </c>
    </row>
    <row r="79" spans="1:3" x14ac:dyDescent="0.45">
      <c r="A79" s="114" t="s">
        <v>303</v>
      </c>
      <c r="B79" s="115">
        <v>80.557000000000002</v>
      </c>
      <c r="C79" s="116">
        <v>34420.465983702801</v>
      </c>
    </row>
    <row r="80" spans="1:3" x14ac:dyDescent="0.45">
      <c r="A80" s="114" t="s">
        <v>304</v>
      </c>
      <c r="B80" s="115">
        <v>81.617999999999995</v>
      </c>
      <c r="C80" s="116">
        <v>26957.718655523</v>
      </c>
    </row>
    <row r="81" spans="1:3" x14ac:dyDescent="0.45">
      <c r="A81" s="114" t="s">
        <v>305</v>
      </c>
      <c r="B81" s="115">
        <v>81.855000000000004</v>
      </c>
      <c r="C81" s="116">
        <v>26559.135593817799</v>
      </c>
    </row>
    <row r="82" spans="1:3" x14ac:dyDescent="0.45">
      <c r="A82" s="114" t="s">
        <v>306</v>
      </c>
      <c r="B82" s="115">
        <v>73.126999999999995</v>
      </c>
      <c r="C82" s="116">
        <v>6969.5636108753197</v>
      </c>
    </row>
    <row r="83" spans="1:3" x14ac:dyDescent="0.45">
      <c r="A83" s="114" t="s">
        <v>307</v>
      </c>
      <c r="B83" s="115">
        <v>83.394000000000005</v>
      </c>
      <c r="C83" s="116">
        <v>30487.9385074249</v>
      </c>
    </row>
    <row r="84" spans="1:3" x14ac:dyDescent="0.45">
      <c r="A84" s="114" t="s">
        <v>308</v>
      </c>
      <c r="B84" s="115">
        <v>73.403000000000006</v>
      </c>
      <c r="C84" s="116">
        <v>5210.2742591594097</v>
      </c>
    </row>
    <row r="85" spans="1:3" x14ac:dyDescent="0.45">
      <c r="A85" s="114" t="s">
        <v>309</v>
      </c>
      <c r="B85" s="115">
        <v>67.016999999999996</v>
      </c>
      <c r="C85" s="116">
        <v>11523.6711006026</v>
      </c>
    </row>
    <row r="86" spans="1:3" x14ac:dyDescent="0.45">
      <c r="A86" s="114" t="s">
        <v>310</v>
      </c>
      <c r="B86" s="115">
        <v>57.134</v>
      </c>
      <c r="C86" s="116">
        <v>1496.46727985339</v>
      </c>
    </row>
    <row r="87" spans="1:3" x14ac:dyDescent="0.45">
      <c r="A87" s="114" t="s">
        <v>311</v>
      </c>
      <c r="B87" s="115">
        <v>68.846000000000004</v>
      </c>
      <c r="C87" s="116">
        <v>1548.61423344845</v>
      </c>
    </row>
    <row r="88" spans="1:3" x14ac:dyDescent="0.45">
      <c r="A88" s="114" t="s">
        <v>312</v>
      </c>
      <c r="B88" s="115">
        <v>80.641999999999996</v>
      </c>
      <c r="C88" s="116">
        <v>26206.2504808999</v>
      </c>
    </row>
    <row r="89" spans="1:3" x14ac:dyDescent="0.45">
      <c r="A89" s="114" t="s">
        <v>313</v>
      </c>
      <c r="B89" s="115">
        <v>74.575999999999993</v>
      </c>
      <c r="C89" s="116">
        <v>44729.861034886002</v>
      </c>
    </row>
    <row r="90" spans="1:3" x14ac:dyDescent="0.45">
      <c r="A90" s="114" t="s">
        <v>314</v>
      </c>
      <c r="B90" s="115">
        <v>67.713999999999999</v>
      </c>
      <c r="C90" s="116">
        <v>2111.7187025957501</v>
      </c>
    </row>
    <row r="91" spans="1:3" x14ac:dyDescent="0.45">
      <c r="A91" s="114" t="s">
        <v>315</v>
      </c>
      <c r="B91" s="115">
        <v>67.483999999999995</v>
      </c>
      <c r="C91" s="116">
        <v>2578.5014771174701</v>
      </c>
    </row>
    <row r="92" spans="1:3" x14ac:dyDescent="0.45">
      <c r="A92" s="114" t="s">
        <v>316</v>
      </c>
      <c r="B92" s="115">
        <v>73.338999999999999</v>
      </c>
      <c r="C92" s="116">
        <v>13854.8234314195</v>
      </c>
    </row>
    <row r="93" spans="1:3" x14ac:dyDescent="0.45">
      <c r="A93" s="114" t="s">
        <v>317</v>
      </c>
      <c r="B93" s="115">
        <v>72.64</v>
      </c>
      <c r="C93" s="116">
        <v>13488.8902835598</v>
      </c>
    </row>
    <row r="94" spans="1:3" x14ac:dyDescent="0.45">
      <c r="A94" s="114" t="s">
        <v>318</v>
      </c>
      <c r="B94" s="115">
        <v>48.195999999999998</v>
      </c>
      <c r="C94" s="116">
        <v>1874.8470074844299</v>
      </c>
    </row>
    <row r="95" spans="1:3" x14ac:dyDescent="0.45">
      <c r="A95" s="114" t="s">
        <v>319</v>
      </c>
      <c r="B95" s="115">
        <v>56.786000000000001</v>
      </c>
      <c r="C95" s="116">
        <v>425.36369883703401</v>
      </c>
    </row>
    <row r="96" spans="1:3" x14ac:dyDescent="0.45">
      <c r="A96" s="114" t="s">
        <v>320</v>
      </c>
      <c r="B96" s="115">
        <v>74.787999999999997</v>
      </c>
      <c r="C96" s="116">
        <v>4768.4099734245601</v>
      </c>
    </row>
    <row r="97" spans="1:3" x14ac:dyDescent="0.45">
      <c r="A97" s="114" t="s">
        <v>321</v>
      </c>
      <c r="B97" s="115">
        <v>72.230999999999995</v>
      </c>
      <c r="C97" s="116">
        <v>16400.332538932598</v>
      </c>
    </row>
    <row r="98" spans="1:3" x14ac:dyDescent="0.45">
      <c r="A98" s="114" t="s">
        <v>322</v>
      </c>
      <c r="B98" s="115">
        <v>79.962999999999994</v>
      </c>
      <c r="C98" s="116">
        <v>70061.729727083904</v>
      </c>
    </row>
    <row r="99" spans="1:3" x14ac:dyDescent="0.45">
      <c r="A99" s="114" t="s">
        <v>323</v>
      </c>
      <c r="B99" s="115">
        <v>80.933999999999997</v>
      </c>
      <c r="C99" s="116">
        <v>88084.114014654595</v>
      </c>
    </row>
    <row r="100" spans="1:3" x14ac:dyDescent="0.45">
      <c r="A100" s="114" t="s">
        <v>324</v>
      </c>
      <c r="B100" s="115">
        <v>74.846999999999994</v>
      </c>
      <c r="C100" s="116">
        <v>8896.0872692486791</v>
      </c>
    </row>
    <row r="101" spans="1:3" x14ac:dyDescent="0.45">
      <c r="A101" s="114" t="s">
        <v>325</v>
      </c>
      <c r="B101" s="115">
        <v>66.718000000000004</v>
      </c>
      <c r="C101" s="116">
        <v>976.32002623467997</v>
      </c>
    </row>
    <row r="102" spans="1:3" x14ac:dyDescent="0.45">
      <c r="A102" s="114" t="s">
        <v>326</v>
      </c>
      <c r="B102" s="115">
        <v>54.21</v>
      </c>
      <c r="C102" s="116">
        <v>865.54531568237201</v>
      </c>
    </row>
    <row r="103" spans="1:3" x14ac:dyDescent="0.45">
      <c r="A103" s="114" t="s">
        <v>327</v>
      </c>
      <c r="B103" s="115">
        <v>74.221000000000004</v>
      </c>
      <c r="C103" s="116">
        <v>13836.955920927299</v>
      </c>
    </row>
    <row r="104" spans="1:3" x14ac:dyDescent="0.45">
      <c r="A104" s="114" t="s">
        <v>328</v>
      </c>
      <c r="B104" s="115">
        <v>76.847999999999999</v>
      </c>
      <c r="C104" s="116">
        <v>5818.9235158420697</v>
      </c>
    </row>
    <row r="105" spans="1:3" x14ac:dyDescent="0.45">
      <c r="A105" s="114" t="s">
        <v>329</v>
      </c>
      <c r="B105" s="115">
        <v>51.444000000000003</v>
      </c>
      <c r="C105" s="116">
        <v>1116.70899961344</v>
      </c>
    </row>
    <row r="106" spans="1:3" x14ac:dyDescent="0.45">
      <c r="A106" s="114" t="s">
        <v>330</v>
      </c>
      <c r="B106" s="115">
        <v>79.634</v>
      </c>
      <c r="C106" s="116">
        <v>22116.147896123399</v>
      </c>
    </row>
    <row r="107" spans="1:3" x14ac:dyDescent="0.45">
      <c r="A107" s="114" t="s">
        <v>331</v>
      </c>
      <c r="B107" s="115">
        <v>58.582000000000001</v>
      </c>
      <c r="C107" s="116">
        <v>1838.7935405063099</v>
      </c>
    </row>
    <row r="108" spans="1:3" x14ac:dyDescent="0.45">
      <c r="A108" s="114" t="s">
        <v>332</v>
      </c>
      <c r="B108" s="115">
        <v>73.373000000000005</v>
      </c>
      <c r="C108" s="116">
        <v>12771.755287649001</v>
      </c>
    </row>
    <row r="109" spans="1:3" x14ac:dyDescent="0.45">
      <c r="A109" s="114" t="s">
        <v>333</v>
      </c>
      <c r="B109" s="115">
        <v>76.953999999999994</v>
      </c>
      <c r="C109" s="116">
        <v>11684.303449843601</v>
      </c>
    </row>
    <row r="110" spans="1:3" x14ac:dyDescent="0.45">
      <c r="A110" s="114" t="s">
        <v>334</v>
      </c>
      <c r="B110" s="115">
        <v>69.316999999999993</v>
      </c>
      <c r="C110" s="116">
        <v>2964.1351094085899</v>
      </c>
    </row>
    <row r="111" spans="1:3" x14ac:dyDescent="0.45">
      <c r="A111" s="114" t="s">
        <v>335</v>
      </c>
      <c r="B111" s="115">
        <v>68.498000000000005</v>
      </c>
      <c r="C111" s="116">
        <v>3865.3708787394398</v>
      </c>
    </row>
    <row r="112" spans="1:3" x14ac:dyDescent="0.45">
      <c r="A112" s="114" t="s">
        <v>336</v>
      </c>
      <c r="B112" s="115">
        <v>74.572999999999993</v>
      </c>
      <c r="C112" s="116">
        <v>10022.8256032384</v>
      </c>
    </row>
    <row r="113" spans="1:3" x14ac:dyDescent="0.45">
      <c r="A113" s="114" t="s">
        <v>337</v>
      </c>
      <c r="B113" s="115">
        <v>72.150000000000006</v>
      </c>
      <c r="C113" s="116">
        <v>4409.3795045962797</v>
      </c>
    </row>
    <row r="114" spans="1:3" x14ac:dyDescent="0.45">
      <c r="A114" s="114" t="s">
        <v>338</v>
      </c>
      <c r="B114" s="115">
        <v>50.238999999999997</v>
      </c>
      <c r="C114" s="116">
        <v>999.71134765831505</v>
      </c>
    </row>
    <row r="115" spans="1:3" x14ac:dyDescent="0.45">
      <c r="A115" s="114" t="s">
        <v>339</v>
      </c>
      <c r="B115" s="115">
        <v>65.192999999999998</v>
      </c>
      <c r="C115" s="116">
        <v>1590.14816435698</v>
      </c>
    </row>
    <row r="116" spans="1:3" x14ac:dyDescent="0.45">
      <c r="A116" s="114" t="s">
        <v>340</v>
      </c>
      <c r="B116" s="115">
        <v>80.733999999999995</v>
      </c>
      <c r="C116" s="116">
        <v>1306.7064642620901</v>
      </c>
    </row>
    <row r="117" spans="1:3" x14ac:dyDescent="0.45">
      <c r="A117" s="114" t="s">
        <v>341</v>
      </c>
      <c r="B117" s="115">
        <v>76.652000000000001</v>
      </c>
      <c r="C117" s="116">
        <v>36895.836566232298</v>
      </c>
    </row>
    <row r="118" spans="1:3" x14ac:dyDescent="0.45">
      <c r="A118" s="114" t="s">
        <v>342</v>
      </c>
      <c r="B118" s="115">
        <v>74.043999999999997</v>
      </c>
      <c r="C118" s="116">
        <v>2887.9629908007801</v>
      </c>
    </row>
    <row r="119" spans="1:3" x14ac:dyDescent="0.45">
      <c r="A119" s="114" t="s">
        <v>343</v>
      </c>
      <c r="B119" s="115">
        <v>54.674999999999997</v>
      </c>
      <c r="C119" s="116">
        <v>668.027215260758</v>
      </c>
    </row>
    <row r="120" spans="1:3" x14ac:dyDescent="0.45">
      <c r="A120" s="114" t="s">
        <v>344</v>
      </c>
      <c r="B120" s="115">
        <v>51.878999999999998</v>
      </c>
      <c r="C120" s="116">
        <v>2396.6197150437802</v>
      </c>
    </row>
    <row r="121" spans="1:3" x14ac:dyDescent="0.45">
      <c r="A121" s="114" t="s">
        <v>345</v>
      </c>
      <c r="B121" s="115">
        <v>81.096999999999994</v>
      </c>
      <c r="C121" s="116">
        <v>46882.052300299903</v>
      </c>
    </row>
    <row r="122" spans="1:3" x14ac:dyDescent="0.45">
      <c r="A122" s="114" t="s">
        <v>346</v>
      </c>
      <c r="B122" s="115">
        <v>72.974000000000004</v>
      </c>
      <c r="C122" s="116">
        <v>24334.004909283001</v>
      </c>
    </row>
    <row r="123" spans="1:3" x14ac:dyDescent="0.45">
      <c r="A123" s="114" t="s">
        <v>347</v>
      </c>
      <c r="B123" s="115">
        <v>65.436999999999998</v>
      </c>
      <c r="C123" s="116">
        <v>2640.2577997726899</v>
      </c>
    </row>
    <row r="124" spans="1:3" x14ac:dyDescent="0.45">
      <c r="A124" s="114" t="s">
        <v>348</v>
      </c>
      <c r="B124" s="115">
        <v>76.128</v>
      </c>
      <c r="C124" s="116">
        <v>12502.2532596371</v>
      </c>
    </row>
    <row r="125" spans="1:3" x14ac:dyDescent="0.45">
      <c r="A125" s="114" t="s">
        <v>349</v>
      </c>
      <c r="B125" s="115">
        <v>62.790999999999997</v>
      </c>
      <c r="C125" s="116">
        <v>2203.5997444906602</v>
      </c>
    </row>
    <row r="126" spans="1:3" x14ac:dyDescent="0.45">
      <c r="A126" s="114" t="s">
        <v>350</v>
      </c>
      <c r="B126" s="115">
        <v>72.477000000000004</v>
      </c>
      <c r="C126" s="116">
        <v>4687.6917655677698</v>
      </c>
    </row>
    <row r="127" spans="1:3" x14ac:dyDescent="0.45">
      <c r="A127" s="114" t="s">
        <v>351</v>
      </c>
      <c r="B127" s="115">
        <v>73.989999999999995</v>
      </c>
      <c r="C127" s="116">
        <v>8864.5802885610192</v>
      </c>
    </row>
    <row r="128" spans="1:3" x14ac:dyDescent="0.45">
      <c r="A128" s="114" t="s">
        <v>352</v>
      </c>
      <c r="B128" s="115">
        <v>68.748999999999995</v>
      </c>
      <c r="C128" s="116">
        <v>3441.4235950975899</v>
      </c>
    </row>
    <row r="129" spans="1:3" x14ac:dyDescent="0.45">
      <c r="A129" s="114" t="s">
        <v>353</v>
      </c>
      <c r="B129" s="115">
        <v>76.126000000000005</v>
      </c>
      <c r="C129" s="116">
        <v>17928.334170276699</v>
      </c>
    </row>
    <row r="130" spans="1:3" x14ac:dyDescent="0.45">
      <c r="A130" s="114" t="s">
        <v>354</v>
      </c>
      <c r="B130" s="115">
        <v>79.498999999999995</v>
      </c>
      <c r="C130" s="116">
        <v>19905.954788494</v>
      </c>
    </row>
    <row r="131" spans="1:3" x14ac:dyDescent="0.45">
      <c r="A131" s="114" t="s">
        <v>355</v>
      </c>
      <c r="B131" s="115">
        <v>78.370999999999995</v>
      </c>
      <c r="C131" s="116">
        <v>93818.238644163197</v>
      </c>
    </row>
    <row r="132" spans="1:3" x14ac:dyDescent="0.45">
      <c r="A132" s="114" t="s">
        <v>356</v>
      </c>
      <c r="B132" s="115">
        <v>73.978999999999999</v>
      </c>
      <c r="C132" s="116">
        <v>10964.4165597028</v>
      </c>
    </row>
    <row r="133" spans="1:3" x14ac:dyDescent="0.45">
      <c r="A133" s="114" t="s">
        <v>357</v>
      </c>
      <c r="B133" s="115">
        <v>68.822999999999993</v>
      </c>
      <c r="C133" s="116">
        <v>14737.633597472601</v>
      </c>
    </row>
    <row r="134" spans="1:3" x14ac:dyDescent="0.45">
      <c r="A134" s="114" t="s">
        <v>358</v>
      </c>
      <c r="B134" s="117">
        <v>55.442</v>
      </c>
      <c r="C134" s="116">
        <v>1123.54932921931</v>
      </c>
    </row>
    <row r="135" spans="1:3" x14ac:dyDescent="0.45">
      <c r="A135" s="114" t="s">
        <v>359</v>
      </c>
      <c r="B135" s="115">
        <v>74.641000000000005</v>
      </c>
      <c r="C135" s="116">
        <v>10598.284527166799</v>
      </c>
    </row>
    <row r="136" spans="1:3" x14ac:dyDescent="0.45">
      <c r="A136" s="114" t="s">
        <v>360</v>
      </c>
      <c r="B136" s="115">
        <v>72.283000000000001</v>
      </c>
      <c r="C136" s="116">
        <v>6919.0351866216297</v>
      </c>
    </row>
    <row r="137" spans="1:3" x14ac:dyDescent="0.45">
      <c r="A137" s="114" t="s">
        <v>361</v>
      </c>
      <c r="B137" s="115">
        <v>72.444000000000003</v>
      </c>
      <c r="C137" s="116">
        <v>4998.46060951032</v>
      </c>
    </row>
    <row r="138" spans="1:3" x14ac:dyDescent="0.45">
      <c r="A138" s="114" t="s">
        <v>362</v>
      </c>
      <c r="B138" s="115">
        <v>64.665999999999997</v>
      </c>
      <c r="C138" s="116">
        <v>1890.42761423612</v>
      </c>
    </row>
    <row r="139" spans="1:3" x14ac:dyDescent="0.45">
      <c r="A139" s="114" t="s">
        <v>363</v>
      </c>
      <c r="B139" s="115">
        <v>73.911000000000001</v>
      </c>
      <c r="C139" s="116">
        <v>21364.373679256401</v>
      </c>
    </row>
    <row r="140" spans="1:3" x14ac:dyDescent="0.45">
      <c r="A140" s="114" t="s">
        <v>364</v>
      </c>
      <c r="B140" s="115">
        <v>59.317999999999998</v>
      </c>
      <c r="C140" s="116">
        <v>1766.99899116757</v>
      </c>
    </row>
    <row r="141" spans="1:3" x14ac:dyDescent="0.45">
      <c r="A141" s="114" t="s">
        <v>365</v>
      </c>
      <c r="B141" s="115">
        <v>74.522000000000006</v>
      </c>
      <c r="C141" s="116">
        <v>9719.4334675106402</v>
      </c>
    </row>
    <row r="142" spans="1:3" x14ac:dyDescent="0.45">
      <c r="A142" s="114" t="s">
        <v>366</v>
      </c>
      <c r="B142" s="115">
        <v>47.793999999999997</v>
      </c>
      <c r="C142" s="116">
        <v>924.40833036860499</v>
      </c>
    </row>
    <row r="143" spans="1:3" x14ac:dyDescent="0.45">
      <c r="A143" s="114" t="s">
        <v>367</v>
      </c>
      <c r="B143" s="115">
        <v>81.126000000000005</v>
      </c>
      <c r="C143" s="116">
        <v>49683.2670995027</v>
      </c>
    </row>
    <row r="144" spans="1:3" x14ac:dyDescent="0.45">
      <c r="A144" s="114" t="s">
        <v>368</v>
      </c>
      <c r="B144" s="115">
        <v>75.445999999999998</v>
      </c>
      <c r="C144" s="116">
        <v>20364.907992967499</v>
      </c>
    </row>
    <row r="145" spans="1:3" x14ac:dyDescent="0.45">
      <c r="A145" s="114" t="s">
        <v>369</v>
      </c>
      <c r="B145" s="115">
        <v>79.340999999999994</v>
      </c>
      <c r="C145" s="116">
        <v>24873.731920551501</v>
      </c>
    </row>
    <row r="146" spans="1:3" x14ac:dyDescent="0.45">
      <c r="A146" s="114" t="s">
        <v>370</v>
      </c>
      <c r="B146" s="115">
        <v>67.852000000000004</v>
      </c>
      <c r="C146" s="116">
        <v>2011.50036406906</v>
      </c>
    </row>
    <row r="147" spans="1:3" x14ac:dyDescent="0.45">
      <c r="A147" s="114" t="s">
        <v>371</v>
      </c>
      <c r="B147" s="115">
        <v>51.219000000000001</v>
      </c>
      <c r="C147" s="116">
        <v>943.03545346007297</v>
      </c>
    </row>
    <row r="148" spans="1:3" x14ac:dyDescent="0.45">
      <c r="A148" s="114" t="s">
        <v>372</v>
      </c>
      <c r="B148" s="115">
        <v>52.796999999999997</v>
      </c>
      <c r="C148" s="116">
        <v>9482.0906633483501</v>
      </c>
    </row>
    <row r="149" spans="1:3" x14ac:dyDescent="0.45">
      <c r="A149" s="114" t="s">
        <v>373</v>
      </c>
      <c r="B149" s="115">
        <v>81.403999999999996</v>
      </c>
      <c r="C149" s="116">
        <v>26766.861768965398</v>
      </c>
    </row>
    <row r="150" spans="1:3" x14ac:dyDescent="0.45">
      <c r="A150" s="114" t="s">
        <v>374</v>
      </c>
      <c r="B150" s="115">
        <v>74.941000000000003</v>
      </c>
      <c r="C150" s="116">
        <v>4901.3384293941399</v>
      </c>
    </row>
    <row r="151" spans="1:3" x14ac:dyDescent="0.45">
      <c r="A151" s="114" t="s">
        <v>375</v>
      </c>
      <c r="B151" s="115">
        <v>61.451999999999998</v>
      </c>
      <c r="C151" s="116">
        <v>3181.9258911778002</v>
      </c>
    </row>
    <row r="152" spans="1:3" x14ac:dyDescent="0.45">
      <c r="A152" s="114" t="s">
        <v>376</v>
      </c>
      <c r="B152" s="115">
        <v>70.563000000000002</v>
      </c>
      <c r="C152" s="116">
        <v>8706.3139714571407</v>
      </c>
    </row>
    <row r="153" spans="1:3" x14ac:dyDescent="0.45">
      <c r="A153" s="114" t="s">
        <v>377</v>
      </c>
      <c r="B153" s="115">
        <v>48.718000000000004</v>
      </c>
      <c r="C153" s="116">
        <v>4728.5938167762497</v>
      </c>
    </row>
    <row r="154" spans="1:3" x14ac:dyDescent="0.45">
      <c r="A154" s="114" t="s">
        <v>378</v>
      </c>
      <c r="B154" s="115">
        <v>81.438999999999993</v>
      </c>
      <c r="C154" s="116">
        <v>34395.314132985201</v>
      </c>
    </row>
    <row r="155" spans="1:3" x14ac:dyDescent="0.45">
      <c r="A155" s="114" t="s">
        <v>379</v>
      </c>
      <c r="B155" s="115">
        <v>82.337999999999994</v>
      </c>
      <c r="C155" s="116">
        <v>37942.468433511203</v>
      </c>
    </row>
    <row r="156" spans="1:3" x14ac:dyDescent="0.45">
      <c r="A156" s="114" t="s">
        <v>380</v>
      </c>
      <c r="B156" s="115">
        <v>75.849999999999994</v>
      </c>
      <c r="C156" s="116">
        <v>4520</v>
      </c>
    </row>
    <row r="157" spans="1:3" x14ac:dyDescent="0.45">
      <c r="A157" s="114" t="s">
        <v>381</v>
      </c>
      <c r="B157" s="115">
        <v>67.528999999999996</v>
      </c>
      <c r="C157" s="116">
        <v>1842.56944444444</v>
      </c>
    </row>
    <row r="158" spans="1:3" x14ac:dyDescent="0.45">
      <c r="A158" s="114" t="s">
        <v>382</v>
      </c>
      <c r="B158" s="115">
        <v>58.198999999999998</v>
      </c>
      <c r="C158" s="116">
        <v>1348.36497915782</v>
      </c>
    </row>
    <row r="159" spans="1:3" x14ac:dyDescent="0.45">
      <c r="A159" s="114" t="s">
        <v>383</v>
      </c>
      <c r="B159" s="115">
        <v>74.126000000000005</v>
      </c>
      <c r="C159" s="116">
        <v>7982.6111904023901</v>
      </c>
    </row>
    <row r="160" spans="1:3" x14ac:dyDescent="0.45">
      <c r="A160" s="114" t="s">
        <v>384</v>
      </c>
      <c r="B160" s="115">
        <v>62.475000000000001</v>
      </c>
      <c r="C160" s="116">
        <v>3228.4111568130202</v>
      </c>
    </row>
    <row r="161" spans="1:3" x14ac:dyDescent="0.45">
      <c r="A161" s="114" t="s">
        <v>385</v>
      </c>
      <c r="B161" s="115">
        <v>57.061999999999998</v>
      </c>
      <c r="C161" s="116">
        <v>933.18012832357499</v>
      </c>
    </row>
    <row r="162" spans="1:3" x14ac:dyDescent="0.45">
      <c r="A162" s="114" t="s">
        <v>386</v>
      </c>
      <c r="B162" s="115">
        <v>72.316999999999993</v>
      </c>
      <c r="C162" s="116">
        <v>4885.70866717441</v>
      </c>
    </row>
    <row r="163" spans="1:3" x14ac:dyDescent="0.45">
      <c r="A163" s="114" t="s">
        <v>387</v>
      </c>
      <c r="B163" s="115">
        <v>70.123999999999995</v>
      </c>
      <c r="C163" s="116">
        <v>17459.849752842201</v>
      </c>
    </row>
    <row r="164" spans="1:3" x14ac:dyDescent="0.45">
      <c r="A164" s="114" t="s">
        <v>388</v>
      </c>
      <c r="B164" s="115">
        <v>74.515000000000001</v>
      </c>
      <c r="C164" s="116">
        <v>7520.8255283302296</v>
      </c>
    </row>
    <row r="165" spans="1:3" x14ac:dyDescent="0.45">
      <c r="A165" s="114" t="s">
        <v>389</v>
      </c>
      <c r="B165" s="115">
        <v>73.978999999999999</v>
      </c>
      <c r="C165" s="116">
        <v>9148.3311483060697</v>
      </c>
    </row>
    <row r="166" spans="1:3" x14ac:dyDescent="0.45">
      <c r="A166" s="114" t="s">
        <v>390</v>
      </c>
      <c r="B166" s="115">
        <v>64.986000000000004</v>
      </c>
      <c r="C166" s="116">
        <v>7256.5522475846601</v>
      </c>
    </row>
    <row r="167" spans="1:3" x14ac:dyDescent="0.45">
      <c r="A167" s="114" t="s">
        <v>391</v>
      </c>
      <c r="B167" s="115">
        <v>54.116</v>
      </c>
      <c r="C167" s="116">
        <v>1277.80560024325</v>
      </c>
    </row>
    <row r="168" spans="1:3" x14ac:dyDescent="0.45">
      <c r="A168" s="114" t="s">
        <v>392</v>
      </c>
      <c r="B168" s="115">
        <v>68.494</v>
      </c>
      <c r="C168" s="116">
        <v>6379.5811237656399</v>
      </c>
    </row>
    <row r="169" spans="1:3" x14ac:dyDescent="0.45">
      <c r="A169" s="114" t="s">
        <v>393</v>
      </c>
      <c r="B169" s="115">
        <v>76.546000000000006</v>
      </c>
      <c r="C169" s="116">
        <v>31984.851148594498</v>
      </c>
    </row>
    <row r="170" spans="1:3" x14ac:dyDescent="0.45">
      <c r="A170" s="114" t="s">
        <v>394</v>
      </c>
      <c r="B170" s="115">
        <v>80.17</v>
      </c>
      <c r="C170" s="116">
        <v>31330.4772417653</v>
      </c>
    </row>
    <row r="171" spans="1:3" x14ac:dyDescent="0.45">
      <c r="A171" s="114" t="s">
        <v>395</v>
      </c>
      <c r="B171" s="115">
        <v>78.531000000000006</v>
      </c>
      <c r="C171" s="116">
        <v>41728.140891156698</v>
      </c>
    </row>
    <row r="172" spans="1:3" x14ac:dyDescent="0.45">
      <c r="A172" s="114" t="s">
        <v>396</v>
      </c>
      <c r="B172" s="115">
        <v>77.004999999999995</v>
      </c>
      <c r="C172" s="116">
        <v>12741.7920245887</v>
      </c>
    </row>
    <row r="173" spans="1:3" x14ac:dyDescent="0.45">
      <c r="A173" s="114" t="s">
        <v>397</v>
      </c>
      <c r="B173" s="115">
        <v>68.287000000000006</v>
      </c>
      <c r="C173" s="116">
        <v>2947.2040023746699</v>
      </c>
    </row>
    <row r="174" spans="1:3" x14ac:dyDescent="0.45">
      <c r="A174" s="114" t="s">
        <v>398</v>
      </c>
      <c r="B174" s="115">
        <v>71.016999999999996</v>
      </c>
      <c r="C174" s="116">
        <v>4028.2320552086398</v>
      </c>
    </row>
    <row r="175" spans="1:3" x14ac:dyDescent="0.45">
      <c r="A175" s="114" t="s">
        <v>399</v>
      </c>
      <c r="B175" s="115">
        <v>74.402000000000001</v>
      </c>
      <c r="C175" s="116">
        <v>10958.0483576565</v>
      </c>
    </row>
    <row r="176" spans="1:3" x14ac:dyDescent="0.45">
      <c r="A176" s="114" t="s">
        <v>400</v>
      </c>
      <c r="B176" s="115">
        <v>75.180999999999997</v>
      </c>
      <c r="C176" s="116">
        <v>2961.8346049001502</v>
      </c>
    </row>
    <row r="177" spans="1:3" x14ac:dyDescent="0.45">
      <c r="A177" s="114" t="s">
        <v>401</v>
      </c>
      <c r="B177" s="115">
        <v>65.492999999999995</v>
      </c>
      <c r="C177" s="116">
        <v>2102.2164613979098</v>
      </c>
    </row>
    <row r="178" spans="1:3" x14ac:dyDescent="0.45">
      <c r="A178" s="114" t="s">
        <v>402</v>
      </c>
      <c r="B178" s="115">
        <v>49.024999999999999</v>
      </c>
      <c r="C178" s="116">
        <v>1476.9348293190501</v>
      </c>
    </row>
    <row r="179" spans="1:3" x14ac:dyDescent="0.45">
      <c r="A179" s="114" t="s">
        <v>403</v>
      </c>
      <c r="B179" s="115">
        <v>51.384</v>
      </c>
      <c r="C179" s="116">
        <v>511.25840754995198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79"/>
  <sheetViews>
    <sheetView zoomScaleNormal="100" workbookViewId="0">
      <selection activeCell="C32" sqref="C32"/>
    </sheetView>
  </sheetViews>
  <sheetFormatPr defaultRowHeight="14.25" x14ac:dyDescent="0.45"/>
  <cols>
    <col min="1" max="1" width="13.3984375" customWidth="1"/>
    <col min="2" max="3" width="12.73046875" customWidth="1"/>
  </cols>
  <sheetData>
    <row r="1" spans="1:3" ht="57" x14ac:dyDescent="0.45">
      <c r="A1" s="112"/>
      <c r="B1" s="113" t="s">
        <v>225</v>
      </c>
      <c r="C1" s="112" t="s">
        <v>224</v>
      </c>
    </row>
    <row r="2" spans="1:3" x14ac:dyDescent="0.45">
      <c r="A2" s="114" t="s">
        <v>226</v>
      </c>
      <c r="B2" s="116">
        <v>1246.8912637718699</v>
      </c>
      <c r="C2" s="115">
        <v>48.673000000000002</v>
      </c>
    </row>
    <row r="3" spans="1:3" x14ac:dyDescent="0.45">
      <c r="A3" s="114" t="s">
        <v>227</v>
      </c>
      <c r="B3" s="116">
        <v>6850.0754562307302</v>
      </c>
      <c r="C3" s="115">
        <v>76.918000000000006</v>
      </c>
    </row>
    <row r="4" spans="1:3" x14ac:dyDescent="0.45">
      <c r="A4" s="114" t="s">
        <v>228</v>
      </c>
      <c r="B4" s="116">
        <v>6406.8166213983004</v>
      </c>
      <c r="C4" s="115">
        <v>73.131</v>
      </c>
    </row>
    <row r="5" spans="1:3" x14ac:dyDescent="0.45">
      <c r="A5" s="114" t="s">
        <v>229</v>
      </c>
      <c r="B5" s="116">
        <v>5519.1831786593002</v>
      </c>
      <c r="C5" s="115">
        <v>51.093000000000004</v>
      </c>
    </row>
    <row r="6" spans="1:3" x14ac:dyDescent="0.45">
      <c r="A6" s="114" t="s">
        <v>230</v>
      </c>
      <c r="B6" s="116">
        <v>15741.0457726686</v>
      </c>
      <c r="C6" s="115">
        <v>75.900999999999996</v>
      </c>
    </row>
    <row r="7" spans="1:3" x14ac:dyDescent="0.45">
      <c r="A7" s="114" t="s">
        <v>231</v>
      </c>
      <c r="B7" s="116">
        <v>4748.9285847709098</v>
      </c>
      <c r="C7" s="115">
        <v>74.241</v>
      </c>
    </row>
    <row r="8" spans="1:3" x14ac:dyDescent="0.45">
      <c r="A8" s="114" t="s">
        <v>232</v>
      </c>
      <c r="B8" s="116">
        <v>34642.388132262196</v>
      </c>
      <c r="C8" s="115">
        <v>81.906999999999996</v>
      </c>
    </row>
    <row r="9" spans="1:3" x14ac:dyDescent="0.45">
      <c r="A9" s="114" t="s">
        <v>233</v>
      </c>
      <c r="B9" s="116">
        <v>36871.071351888699</v>
      </c>
      <c r="C9" s="115">
        <v>80.853999999999999</v>
      </c>
    </row>
    <row r="10" spans="1:3" x14ac:dyDescent="0.45">
      <c r="A10" s="114" t="s">
        <v>234</v>
      </c>
      <c r="B10" s="116">
        <v>9387.3894968710702</v>
      </c>
      <c r="C10" s="115">
        <v>70.739000000000004</v>
      </c>
    </row>
    <row r="11" spans="1:3" x14ac:dyDescent="0.45">
      <c r="A11" s="114" t="s">
        <v>235</v>
      </c>
      <c r="B11" s="116">
        <v>21470.8042038124</v>
      </c>
      <c r="C11" s="115">
        <v>75.62</v>
      </c>
    </row>
    <row r="12" spans="1:3" x14ac:dyDescent="0.45">
      <c r="A12" s="114" t="s">
        <v>236</v>
      </c>
      <c r="B12" s="116">
        <v>23881.147075009201</v>
      </c>
      <c r="C12" s="115">
        <v>75.057000000000002</v>
      </c>
    </row>
    <row r="13" spans="1:3" x14ac:dyDescent="0.45">
      <c r="A13" s="114" t="s">
        <v>237</v>
      </c>
      <c r="B13" s="116">
        <v>1669.87427080975</v>
      </c>
      <c r="C13" s="115">
        <v>68.944000000000003</v>
      </c>
    </row>
    <row r="14" spans="1:3" x14ac:dyDescent="0.45">
      <c r="A14" s="114" t="s">
        <v>238</v>
      </c>
      <c r="B14" s="116">
        <v>16173.6500947241</v>
      </c>
      <c r="C14" s="115">
        <v>76.834999999999994</v>
      </c>
    </row>
    <row r="15" spans="1:3" x14ac:dyDescent="0.45">
      <c r="A15" s="114" t="s">
        <v>239</v>
      </c>
      <c r="B15" s="116">
        <v>13224.027285024</v>
      </c>
      <c r="C15" s="115">
        <v>70.349000000000004</v>
      </c>
    </row>
    <row r="16" spans="1:3" x14ac:dyDescent="0.45">
      <c r="A16" s="114" t="s">
        <v>240</v>
      </c>
      <c r="B16" s="116">
        <v>33047.962421755998</v>
      </c>
      <c r="C16" s="115">
        <v>80.009</v>
      </c>
    </row>
    <row r="17" spans="1:3" x14ac:dyDescent="0.45">
      <c r="A17" s="114" t="s">
        <v>241</v>
      </c>
      <c r="B17" s="116">
        <v>7255.0052259868298</v>
      </c>
      <c r="C17" s="115">
        <v>76.072000000000003</v>
      </c>
    </row>
    <row r="18" spans="1:3" x14ac:dyDescent="0.45">
      <c r="A18" s="114" t="s">
        <v>242</v>
      </c>
      <c r="B18" s="116">
        <v>1457.21564849264</v>
      </c>
      <c r="C18" s="115">
        <v>56.081000000000003</v>
      </c>
    </row>
    <row r="19" spans="1:3" x14ac:dyDescent="0.45">
      <c r="A19" s="114" t="s">
        <v>243</v>
      </c>
      <c r="B19" s="116">
        <v>5640.9045667108203</v>
      </c>
      <c r="C19" s="115">
        <v>67.185000000000002</v>
      </c>
    </row>
    <row r="20" spans="1:3" x14ac:dyDescent="0.45">
      <c r="A20" s="114" t="s">
        <v>244</v>
      </c>
      <c r="B20" s="116">
        <v>4171.3682133827597</v>
      </c>
      <c r="C20" s="115">
        <v>66.617999999999995</v>
      </c>
    </row>
    <row r="21" spans="1:3" x14ac:dyDescent="0.45">
      <c r="A21" s="114" t="s">
        <v>245</v>
      </c>
      <c r="B21" s="116">
        <v>7750.16258543403</v>
      </c>
      <c r="C21" s="115">
        <v>75.67</v>
      </c>
    </row>
    <row r="22" spans="1:3" x14ac:dyDescent="0.45">
      <c r="A22" s="114" t="s">
        <v>246</v>
      </c>
      <c r="B22" s="116">
        <v>13625.1153757631</v>
      </c>
      <c r="C22" s="115">
        <v>53.183</v>
      </c>
    </row>
    <row r="23" spans="1:3" x14ac:dyDescent="0.45">
      <c r="A23" s="114" t="s">
        <v>247</v>
      </c>
      <c r="B23" s="116">
        <v>10373.4063741753</v>
      </c>
      <c r="C23" s="115">
        <v>73.488</v>
      </c>
    </row>
    <row r="24" spans="1:3" x14ac:dyDescent="0.45">
      <c r="A24" s="114" t="s">
        <v>248</v>
      </c>
      <c r="B24" s="116">
        <v>43563.743549755498</v>
      </c>
      <c r="C24" s="115">
        <v>78.004999999999995</v>
      </c>
    </row>
    <row r="25" spans="1:3" x14ac:dyDescent="0.45">
      <c r="A25" s="114" t="s">
        <v>249</v>
      </c>
      <c r="B25" s="116">
        <v>11285.5666613832</v>
      </c>
      <c r="C25" s="115">
        <v>73.370999999999995</v>
      </c>
    </row>
    <row r="26" spans="1:3" x14ac:dyDescent="0.45">
      <c r="A26" s="114" t="s">
        <v>250</v>
      </c>
      <c r="B26" s="116">
        <v>1343.4854629620399</v>
      </c>
      <c r="C26" s="115">
        <v>55.439</v>
      </c>
    </row>
    <row r="27" spans="1:3" x14ac:dyDescent="0.45">
      <c r="A27" s="114" t="s">
        <v>251</v>
      </c>
      <c r="B27" s="116">
        <v>484.14864408568502</v>
      </c>
      <c r="C27" s="115">
        <v>50.411000000000001</v>
      </c>
    </row>
    <row r="28" spans="1:3" x14ac:dyDescent="0.45">
      <c r="A28" s="114" t="s">
        <v>252</v>
      </c>
      <c r="B28" s="116">
        <v>1949.5895842054799</v>
      </c>
      <c r="C28" s="115">
        <v>63.125</v>
      </c>
    </row>
    <row r="29" spans="1:3" x14ac:dyDescent="0.45">
      <c r="A29" s="114" t="s">
        <v>253</v>
      </c>
      <c r="B29" s="116">
        <v>2033.23287630612</v>
      </c>
      <c r="C29" s="115">
        <v>51.61</v>
      </c>
    </row>
    <row r="30" spans="1:3" x14ac:dyDescent="0.45">
      <c r="A30" s="114" t="s">
        <v>254</v>
      </c>
      <c r="B30" s="116">
        <v>35689.571189325601</v>
      </c>
      <c r="C30" s="115">
        <v>81.012</v>
      </c>
    </row>
    <row r="31" spans="1:3" x14ac:dyDescent="0.45">
      <c r="A31" s="114" t="s">
        <v>255</v>
      </c>
      <c r="B31" s="116">
        <v>3787.64164023372</v>
      </c>
      <c r="C31" s="115">
        <v>74.156000000000006</v>
      </c>
    </row>
    <row r="32" spans="1:3" x14ac:dyDescent="0.45">
      <c r="A32" s="114" t="s">
        <v>256</v>
      </c>
      <c r="B32" s="116">
        <v>694.72166936236897</v>
      </c>
      <c r="C32" s="115">
        <v>48.398000000000003</v>
      </c>
    </row>
    <row r="33" spans="1:3" x14ac:dyDescent="0.45">
      <c r="A33" s="114" t="s">
        <v>257</v>
      </c>
      <c r="B33" s="116">
        <v>1745.674492437</v>
      </c>
      <c r="C33" s="115">
        <v>49.552999999999997</v>
      </c>
    </row>
    <row r="34" spans="1:3" x14ac:dyDescent="0.45">
      <c r="A34" s="114" t="s">
        <v>258</v>
      </c>
      <c r="B34" s="116">
        <v>14620.8725123289</v>
      </c>
      <c r="C34" s="115">
        <v>79.12</v>
      </c>
    </row>
    <row r="35" spans="1:3" x14ac:dyDescent="0.45">
      <c r="A35" s="114" t="s">
        <v>259</v>
      </c>
      <c r="B35" s="116">
        <v>8848.0922665782491</v>
      </c>
      <c r="C35" s="115">
        <v>73.456000000000003</v>
      </c>
    </row>
    <row r="36" spans="1:3" x14ac:dyDescent="0.45">
      <c r="A36" s="114" t="s">
        <v>260</v>
      </c>
      <c r="B36" s="116">
        <v>7767.6350646419996</v>
      </c>
      <c r="C36" s="115">
        <v>73.703000000000003</v>
      </c>
    </row>
    <row r="37" spans="1:3" x14ac:dyDescent="0.45">
      <c r="A37" s="114" t="s">
        <v>261</v>
      </c>
      <c r="B37" s="116">
        <v>1023.89860572626</v>
      </c>
      <c r="C37" s="115">
        <v>61.061</v>
      </c>
    </row>
    <row r="38" spans="1:3" x14ac:dyDescent="0.45">
      <c r="A38" s="114" t="s">
        <v>262</v>
      </c>
      <c r="B38" s="116">
        <v>387.22283772044</v>
      </c>
      <c r="C38" s="115">
        <v>48.396999999999998</v>
      </c>
    </row>
    <row r="39" spans="1:3" x14ac:dyDescent="0.45">
      <c r="A39" s="114" t="s">
        <v>263</v>
      </c>
      <c r="B39" s="116">
        <v>4110.5342829315796</v>
      </c>
      <c r="C39" s="115">
        <v>57.378999999999998</v>
      </c>
    </row>
    <row r="40" spans="1:3" x14ac:dyDescent="0.45">
      <c r="A40" s="114" t="s">
        <v>264</v>
      </c>
      <c r="B40" s="116">
        <v>10427.739355215899</v>
      </c>
      <c r="C40" s="115">
        <v>79.311000000000007</v>
      </c>
    </row>
    <row r="41" spans="1:3" x14ac:dyDescent="0.45">
      <c r="A41" s="114" t="s">
        <v>265</v>
      </c>
      <c r="B41" s="116">
        <v>1397.87733174905</v>
      </c>
      <c r="C41" s="115">
        <v>55.377000000000002</v>
      </c>
    </row>
    <row r="42" spans="1:3" x14ac:dyDescent="0.45">
      <c r="A42" s="114" t="s">
        <v>266</v>
      </c>
      <c r="B42" s="116">
        <v>13920.272901558301</v>
      </c>
      <c r="C42" s="115">
        <v>76.64</v>
      </c>
    </row>
    <row r="43" spans="1:3" x14ac:dyDescent="0.45">
      <c r="A43" s="114" t="s">
        <v>267</v>
      </c>
      <c r="B43" s="116">
        <v>9565.8850903696803</v>
      </c>
      <c r="C43" s="115">
        <v>79.143000000000001</v>
      </c>
    </row>
    <row r="44" spans="1:3" x14ac:dyDescent="0.45">
      <c r="A44" s="114" t="s">
        <v>268</v>
      </c>
      <c r="B44" s="116">
        <v>25405.825805238801</v>
      </c>
      <c r="C44" s="115">
        <v>79.590999999999994</v>
      </c>
    </row>
    <row r="45" spans="1:3" x14ac:dyDescent="0.45">
      <c r="A45" s="114" t="s">
        <v>269</v>
      </c>
      <c r="B45" s="116">
        <v>22859.954748841199</v>
      </c>
      <c r="C45" s="115">
        <v>77.685000000000002</v>
      </c>
    </row>
    <row r="46" spans="1:3" x14ac:dyDescent="0.45">
      <c r="A46" s="114" t="s">
        <v>270</v>
      </c>
      <c r="B46" s="116">
        <v>32868.961382910602</v>
      </c>
      <c r="C46" s="115">
        <v>78.825999999999993</v>
      </c>
    </row>
    <row r="47" spans="1:3" x14ac:dyDescent="0.45">
      <c r="A47" s="114" t="s">
        <v>271</v>
      </c>
      <c r="B47" s="116">
        <v>2241.5106588837298</v>
      </c>
      <c r="C47" s="115">
        <v>57.936999999999998</v>
      </c>
    </row>
    <row r="48" spans="1:3" x14ac:dyDescent="0.45">
      <c r="A48" s="114" t="s">
        <v>272</v>
      </c>
      <c r="B48" s="116">
        <v>6838.8589189469103</v>
      </c>
      <c r="C48" s="115">
        <v>73.396000000000001</v>
      </c>
    </row>
    <row r="49" spans="1:3" x14ac:dyDescent="0.45">
      <c r="A49" s="114" t="s">
        <v>273</v>
      </c>
      <c r="B49" s="116">
        <v>7681.5391645892196</v>
      </c>
      <c r="C49" s="115">
        <v>75.632000000000005</v>
      </c>
    </row>
    <row r="50" spans="1:3" x14ac:dyDescent="0.45">
      <c r="A50" s="114" t="s">
        <v>274</v>
      </c>
      <c r="B50" s="116">
        <v>6116.6137308977604</v>
      </c>
      <c r="C50" s="115">
        <v>73.234999999999999</v>
      </c>
    </row>
    <row r="51" spans="1:3" x14ac:dyDescent="0.45">
      <c r="A51" s="114" t="s">
        <v>275</v>
      </c>
      <c r="B51" s="116">
        <v>5644.1634173198199</v>
      </c>
      <c r="C51" s="115">
        <v>72.195999999999998</v>
      </c>
    </row>
    <row r="52" spans="1:3" x14ac:dyDescent="0.45">
      <c r="A52" s="114" t="s">
        <v>276</v>
      </c>
      <c r="B52" s="116">
        <v>15459.9933057085</v>
      </c>
      <c r="C52" s="115">
        <v>51.088000000000001</v>
      </c>
    </row>
    <row r="53" spans="1:3" x14ac:dyDescent="0.45">
      <c r="A53" s="114" t="s">
        <v>277</v>
      </c>
      <c r="B53" s="116">
        <v>591.46168766818801</v>
      </c>
      <c r="C53" s="115">
        <v>61.597000000000001</v>
      </c>
    </row>
    <row r="54" spans="1:3" x14ac:dyDescent="0.45">
      <c r="A54" s="114" t="s">
        <v>278</v>
      </c>
      <c r="B54" s="116">
        <v>18016.324059697701</v>
      </c>
      <c r="C54" s="115">
        <v>74.825000000000003</v>
      </c>
    </row>
    <row r="55" spans="1:3" x14ac:dyDescent="0.45">
      <c r="A55" s="114" t="s">
        <v>279</v>
      </c>
      <c r="B55" s="116">
        <v>900.35069044776606</v>
      </c>
      <c r="C55" s="115">
        <v>59.274000000000001</v>
      </c>
    </row>
    <row r="56" spans="1:3" x14ac:dyDescent="0.45">
      <c r="A56" s="114" t="s">
        <v>280</v>
      </c>
      <c r="B56" s="116">
        <v>4122.4139823387404</v>
      </c>
      <c r="C56" s="115">
        <v>69.245000000000005</v>
      </c>
    </row>
    <row r="57" spans="1:3" x14ac:dyDescent="0.45">
      <c r="A57" s="114" t="s">
        <v>281</v>
      </c>
      <c r="B57" s="116">
        <v>31975.6054416712</v>
      </c>
      <c r="C57" s="115">
        <v>79.977000000000004</v>
      </c>
    </row>
    <row r="58" spans="1:3" x14ac:dyDescent="0.45">
      <c r="A58" s="114" t="s">
        <v>282</v>
      </c>
      <c r="B58" s="116">
        <v>30235.359941089599</v>
      </c>
      <c r="C58" s="115">
        <v>81.539000000000001</v>
      </c>
    </row>
    <row r="59" spans="1:3" x14ac:dyDescent="0.45">
      <c r="A59" s="114" t="s">
        <v>283</v>
      </c>
      <c r="B59" s="116">
        <v>13905.667632078999</v>
      </c>
      <c r="C59" s="115">
        <v>62.703000000000003</v>
      </c>
    </row>
    <row r="60" spans="1:3" x14ac:dyDescent="0.45">
      <c r="A60" s="114" t="s">
        <v>284</v>
      </c>
      <c r="B60" s="116">
        <v>798.55205284560702</v>
      </c>
      <c r="C60" s="115">
        <v>58.491</v>
      </c>
    </row>
    <row r="61" spans="1:3" x14ac:dyDescent="0.45">
      <c r="A61" s="114" t="s">
        <v>285</v>
      </c>
      <c r="B61" s="116">
        <v>4659.3832447998102</v>
      </c>
      <c r="C61" s="115">
        <v>73.736999999999995</v>
      </c>
    </row>
    <row r="62" spans="1:3" x14ac:dyDescent="0.45">
      <c r="A62" s="114" t="s">
        <v>286</v>
      </c>
      <c r="B62" s="116">
        <v>33734.808961206698</v>
      </c>
      <c r="C62" s="115">
        <v>80.414000000000001</v>
      </c>
    </row>
    <row r="63" spans="1:3" x14ac:dyDescent="0.45">
      <c r="A63" s="114" t="s">
        <v>287</v>
      </c>
      <c r="B63" s="116">
        <v>1641.30111721504</v>
      </c>
      <c r="C63" s="115">
        <v>64.227999999999994</v>
      </c>
    </row>
    <row r="64" spans="1:3" x14ac:dyDescent="0.45">
      <c r="A64" s="114" t="s">
        <v>288</v>
      </c>
      <c r="B64" s="116">
        <v>23605.618704504599</v>
      </c>
      <c r="C64" s="115">
        <v>79.915000000000006</v>
      </c>
    </row>
    <row r="65" spans="1:3" x14ac:dyDescent="0.45">
      <c r="A65" s="114" t="s">
        <v>289</v>
      </c>
      <c r="B65" s="116">
        <v>8766.1265965275707</v>
      </c>
      <c r="C65" s="115">
        <v>75.956000000000003</v>
      </c>
    </row>
    <row r="66" spans="1:3" x14ac:dyDescent="0.45">
      <c r="A66" s="114" t="s">
        <v>290</v>
      </c>
      <c r="B66" s="116">
        <v>5241.3399701983299</v>
      </c>
      <c r="C66" s="115">
        <v>71.171999999999997</v>
      </c>
    </row>
    <row r="67" spans="1:3" x14ac:dyDescent="0.45">
      <c r="A67" s="114" t="s">
        <v>291</v>
      </c>
      <c r="B67" s="116">
        <v>949.01823768103804</v>
      </c>
      <c r="C67" s="115">
        <v>54.097000000000001</v>
      </c>
    </row>
    <row r="68" spans="1:3" x14ac:dyDescent="0.45">
      <c r="A68" s="114" t="s">
        <v>292</v>
      </c>
      <c r="B68" s="116">
        <v>608.15570604341599</v>
      </c>
      <c r="C68" s="115">
        <v>48.131999999999998</v>
      </c>
    </row>
    <row r="69" spans="1:3" x14ac:dyDescent="0.45">
      <c r="A69" s="114" t="s">
        <v>293</v>
      </c>
      <c r="B69" s="116">
        <v>4082.5669752869799</v>
      </c>
      <c r="C69" s="115">
        <v>69.927000000000007</v>
      </c>
    </row>
    <row r="70" spans="1:3" x14ac:dyDescent="0.45">
      <c r="A70" s="114" t="s">
        <v>294</v>
      </c>
      <c r="B70" s="116">
        <v>1193.86547227648</v>
      </c>
      <c r="C70" s="115">
        <v>62.094999999999999</v>
      </c>
    </row>
    <row r="71" spans="1:3" x14ac:dyDescent="0.45">
      <c r="A71" s="114" t="s">
        <v>295</v>
      </c>
      <c r="B71" s="116">
        <v>3517.3177711097601</v>
      </c>
      <c r="C71" s="115">
        <v>73.126000000000005</v>
      </c>
    </row>
    <row r="72" spans="1:3" x14ac:dyDescent="0.45">
      <c r="A72" s="114" t="s">
        <v>296</v>
      </c>
      <c r="B72" s="116">
        <v>43928.426158980001</v>
      </c>
      <c r="C72" s="115">
        <v>82.759</v>
      </c>
    </row>
    <row r="73" spans="1:3" x14ac:dyDescent="0.45">
      <c r="A73" s="114" t="s">
        <v>297</v>
      </c>
      <c r="B73" s="116">
        <v>17329.595452535799</v>
      </c>
      <c r="C73" s="115">
        <v>74.414000000000001</v>
      </c>
    </row>
    <row r="74" spans="1:3" x14ac:dyDescent="0.45">
      <c r="A74" s="114" t="s">
        <v>298</v>
      </c>
      <c r="B74" s="116">
        <v>33948.124697364401</v>
      </c>
      <c r="C74" s="115">
        <v>81.804000000000002</v>
      </c>
    </row>
    <row r="75" spans="1:3" x14ac:dyDescent="0.45">
      <c r="A75" s="114" t="s">
        <v>299</v>
      </c>
      <c r="B75" s="116">
        <v>3162.6105770108102</v>
      </c>
      <c r="C75" s="115">
        <v>65.438000000000002</v>
      </c>
    </row>
    <row r="76" spans="1:3" x14ac:dyDescent="0.45">
      <c r="A76" s="114" t="s">
        <v>300</v>
      </c>
      <c r="B76" s="116">
        <v>4179.3469061666101</v>
      </c>
      <c r="C76" s="115">
        <v>69.366</v>
      </c>
    </row>
    <row r="77" spans="1:3" x14ac:dyDescent="0.45">
      <c r="A77" s="114" t="s">
        <v>301</v>
      </c>
      <c r="B77" s="116">
        <v>12474.9937581591</v>
      </c>
      <c r="C77" s="115">
        <v>72.974000000000004</v>
      </c>
    </row>
    <row r="78" spans="1:3" x14ac:dyDescent="0.45">
      <c r="A78" s="114" t="s">
        <v>302</v>
      </c>
      <c r="B78" s="116">
        <v>3707.7328456278401</v>
      </c>
      <c r="C78" s="115">
        <v>69.042000000000002</v>
      </c>
    </row>
    <row r="79" spans="1:3" x14ac:dyDescent="0.45">
      <c r="A79" s="114" t="s">
        <v>303</v>
      </c>
      <c r="B79" s="116">
        <v>34420.465983702801</v>
      </c>
      <c r="C79" s="115">
        <v>80.557000000000002</v>
      </c>
    </row>
    <row r="80" spans="1:3" x14ac:dyDescent="0.45">
      <c r="A80" s="114" t="s">
        <v>304</v>
      </c>
      <c r="B80" s="116">
        <v>26957.718655523</v>
      </c>
      <c r="C80" s="115">
        <v>81.617999999999995</v>
      </c>
    </row>
    <row r="81" spans="1:3" x14ac:dyDescent="0.45">
      <c r="A81" s="114" t="s">
        <v>305</v>
      </c>
      <c r="B81" s="116">
        <v>26559.135593817799</v>
      </c>
      <c r="C81" s="115">
        <v>81.855000000000004</v>
      </c>
    </row>
    <row r="82" spans="1:3" x14ac:dyDescent="0.45">
      <c r="A82" s="114" t="s">
        <v>306</v>
      </c>
      <c r="B82" s="116">
        <v>6969.5636108753197</v>
      </c>
      <c r="C82" s="115">
        <v>73.126999999999995</v>
      </c>
    </row>
    <row r="83" spans="1:3" x14ac:dyDescent="0.45">
      <c r="A83" s="114" t="s">
        <v>307</v>
      </c>
      <c r="B83" s="116">
        <v>30487.9385074249</v>
      </c>
      <c r="C83" s="115">
        <v>83.394000000000005</v>
      </c>
    </row>
    <row r="84" spans="1:3" x14ac:dyDescent="0.45">
      <c r="A84" s="114" t="s">
        <v>308</v>
      </c>
      <c r="B84" s="116">
        <v>5210.2742591594097</v>
      </c>
      <c r="C84" s="115">
        <v>73.403000000000006</v>
      </c>
    </row>
    <row r="85" spans="1:3" x14ac:dyDescent="0.45">
      <c r="A85" s="114" t="s">
        <v>309</v>
      </c>
      <c r="B85" s="116">
        <v>11523.6711006026</v>
      </c>
      <c r="C85" s="115">
        <v>67.016999999999996</v>
      </c>
    </row>
    <row r="86" spans="1:3" x14ac:dyDescent="0.45">
      <c r="A86" s="114" t="s">
        <v>310</v>
      </c>
      <c r="B86" s="116">
        <v>1496.46727985339</v>
      </c>
      <c r="C86" s="115">
        <v>57.134</v>
      </c>
    </row>
    <row r="87" spans="1:3" x14ac:dyDescent="0.45">
      <c r="A87" s="114" t="s">
        <v>311</v>
      </c>
      <c r="B87" s="116">
        <v>1548.61423344845</v>
      </c>
      <c r="C87" s="115">
        <v>68.846000000000004</v>
      </c>
    </row>
    <row r="88" spans="1:3" x14ac:dyDescent="0.45">
      <c r="A88" s="114" t="s">
        <v>312</v>
      </c>
      <c r="B88" s="116">
        <v>26206.2504808999</v>
      </c>
      <c r="C88" s="115">
        <v>80.641999999999996</v>
      </c>
    </row>
    <row r="89" spans="1:3" x14ac:dyDescent="0.45">
      <c r="A89" s="114" t="s">
        <v>313</v>
      </c>
      <c r="B89" s="116">
        <v>44729.861034886002</v>
      </c>
      <c r="C89" s="115">
        <v>74.575999999999993</v>
      </c>
    </row>
    <row r="90" spans="1:3" x14ac:dyDescent="0.45">
      <c r="A90" s="114" t="s">
        <v>314</v>
      </c>
      <c r="B90" s="116">
        <v>2111.7187025957501</v>
      </c>
      <c r="C90" s="115">
        <v>67.713999999999999</v>
      </c>
    </row>
    <row r="91" spans="1:3" x14ac:dyDescent="0.45">
      <c r="A91" s="114" t="s">
        <v>315</v>
      </c>
      <c r="B91" s="116">
        <v>2578.5014771174701</v>
      </c>
      <c r="C91" s="115">
        <v>67.483999999999995</v>
      </c>
    </row>
    <row r="92" spans="1:3" x14ac:dyDescent="0.45">
      <c r="A92" s="114" t="s">
        <v>316</v>
      </c>
      <c r="B92" s="116">
        <v>13854.8234314195</v>
      </c>
      <c r="C92" s="115">
        <v>73.338999999999999</v>
      </c>
    </row>
    <row r="93" spans="1:3" x14ac:dyDescent="0.45">
      <c r="A93" s="114" t="s">
        <v>317</v>
      </c>
      <c r="B93" s="116">
        <v>13488.8902835598</v>
      </c>
      <c r="C93" s="115">
        <v>72.64</v>
      </c>
    </row>
    <row r="94" spans="1:3" x14ac:dyDescent="0.45">
      <c r="A94" s="114" t="s">
        <v>318</v>
      </c>
      <c r="B94" s="116">
        <v>1874.8470074844299</v>
      </c>
      <c r="C94" s="115">
        <v>48.195999999999998</v>
      </c>
    </row>
    <row r="95" spans="1:3" x14ac:dyDescent="0.45">
      <c r="A95" s="114" t="s">
        <v>319</v>
      </c>
      <c r="B95" s="116">
        <v>425.36369883703401</v>
      </c>
      <c r="C95" s="115">
        <v>56.786000000000001</v>
      </c>
    </row>
    <row r="96" spans="1:3" x14ac:dyDescent="0.45">
      <c r="A96" s="114" t="s">
        <v>320</v>
      </c>
      <c r="B96" s="116">
        <v>4768.4099734245601</v>
      </c>
      <c r="C96" s="115">
        <v>74.787999999999997</v>
      </c>
    </row>
    <row r="97" spans="1:3" x14ac:dyDescent="0.45">
      <c r="A97" s="114" t="s">
        <v>321</v>
      </c>
      <c r="B97" s="116">
        <v>16400.332538932598</v>
      </c>
      <c r="C97" s="115">
        <v>72.230999999999995</v>
      </c>
    </row>
    <row r="98" spans="1:3" x14ac:dyDescent="0.45">
      <c r="A98" s="114" t="s">
        <v>322</v>
      </c>
      <c r="B98" s="116">
        <v>70061.729727083904</v>
      </c>
      <c r="C98" s="115">
        <v>79.962999999999994</v>
      </c>
    </row>
    <row r="99" spans="1:3" x14ac:dyDescent="0.45">
      <c r="A99" s="114" t="s">
        <v>323</v>
      </c>
      <c r="B99" s="116">
        <v>88084.114014654595</v>
      </c>
      <c r="C99" s="115">
        <v>80.933999999999997</v>
      </c>
    </row>
    <row r="100" spans="1:3" x14ac:dyDescent="0.45">
      <c r="A100" s="114" t="s">
        <v>324</v>
      </c>
      <c r="B100" s="116">
        <v>8896.0872692486791</v>
      </c>
      <c r="C100" s="115">
        <v>74.846999999999994</v>
      </c>
    </row>
    <row r="101" spans="1:3" x14ac:dyDescent="0.45">
      <c r="A101" s="114" t="s">
        <v>325</v>
      </c>
      <c r="B101" s="116">
        <v>976.32002623467997</v>
      </c>
      <c r="C101" s="115">
        <v>66.718000000000004</v>
      </c>
    </row>
    <row r="102" spans="1:3" x14ac:dyDescent="0.45">
      <c r="A102" s="114" t="s">
        <v>326</v>
      </c>
      <c r="B102" s="116">
        <v>865.54531568237201</v>
      </c>
      <c r="C102" s="115">
        <v>54.21</v>
      </c>
    </row>
    <row r="103" spans="1:3" x14ac:dyDescent="0.45">
      <c r="A103" s="114" t="s">
        <v>327</v>
      </c>
      <c r="B103" s="116">
        <v>13836.955920927299</v>
      </c>
      <c r="C103" s="115">
        <v>74.221000000000004</v>
      </c>
    </row>
    <row r="104" spans="1:3" x14ac:dyDescent="0.45">
      <c r="A104" s="114" t="s">
        <v>328</v>
      </c>
      <c r="B104" s="116">
        <v>5818.9235158420697</v>
      </c>
      <c r="C104" s="115">
        <v>76.847999999999999</v>
      </c>
    </row>
    <row r="105" spans="1:3" x14ac:dyDescent="0.45">
      <c r="A105" s="114" t="s">
        <v>329</v>
      </c>
      <c r="B105" s="116">
        <v>1116.70899961344</v>
      </c>
      <c r="C105" s="115">
        <v>51.444000000000003</v>
      </c>
    </row>
    <row r="106" spans="1:3" x14ac:dyDescent="0.45">
      <c r="A106" s="114" t="s">
        <v>330</v>
      </c>
      <c r="B106" s="116">
        <v>22116.147896123399</v>
      </c>
      <c r="C106" s="115">
        <v>79.634</v>
      </c>
    </row>
    <row r="107" spans="1:3" x14ac:dyDescent="0.45">
      <c r="A107" s="114" t="s">
        <v>331</v>
      </c>
      <c r="B107" s="116">
        <v>1838.7935405063099</v>
      </c>
      <c r="C107" s="115">
        <v>58.582000000000001</v>
      </c>
    </row>
    <row r="108" spans="1:3" x14ac:dyDescent="0.45">
      <c r="A108" s="114" t="s">
        <v>332</v>
      </c>
      <c r="B108" s="116">
        <v>12771.755287649001</v>
      </c>
      <c r="C108" s="115">
        <v>73.373000000000005</v>
      </c>
    </row>
    <row r="109" spans="1:3" x14ac:dyDescent="0.45">
      <c r="A109" s="114" t="s">
        <v>333</v>
      </c>
      <c r="B109" s="116">
        <v>11684.303449843601</v>
      </c>
      <c r="C109" s="115">
        <v>76.953999999999994</v>
      </c>
    </row>
    <row r="110" spans="1:3" x14ac:dyDescent="0.45">
      <c r="A110" s="114" t="s">
        <v>334</v>
      </c>
      <c r="B110" s="116">
        <v>2964.1351094085899</v>
      </c>
      <c r="C110" s="115">
        <v>69.316999999999993</v>
      </c>
    </row>
    <row r="111" spans="1:3" x14ac:dyDescent="0.45">
      <c r="A111" s="114" t="s">
        <v>335</v>
      </c>
      <c r="B111" s="116">
        <v>3865.3708787394398</v>
      </c>
      <c r="C111" s="115">
        <v>68.498000000000005</v>
      </c>
    </row>
    <row r="112" spans="1:3" x14ac:dyDescent="0.45">
      <c r="A112" s="114" t="s">
        <v>336</v>
      </c>
      <c r="B112" s="116">
        <v>10022.8256032384</v>
      </c>
      <c r="C112" s="115">
        <v>74.572999999999993</v>
      </c>
    </row>
    <row r="113" spans="1:3" x14ac:dyDescent="0.45">
      <c r="A113" s="114" t="s">
        <v>337</v>
      </c>
      <c r="B113" s="116">
        <v>4409.3795045962797</v>
      </c>
      <c r="C113" s="115">
        <v>72.150000000000006</v>
      </c>
    </row>
    <row r="114" spans="1:3" x14ac:dyDescent="0.45">
      <c r="A114" s="114" t="s">
        <v>338</v>
      </c>
      <c r="B114" s="116">
        <v>999.71134765831505</v>
      </c>
      <c r="C114" s="115">
        <v>50.238999999999997</v>
      </c>
    </row>
    <row r="115" spans="1:3" x14ac:dyDescent="0.45">
      <c r="A115" s="114" t="s">
        <v>339</v>
      </c>
      <c r="B115" s="116">
        <v>1590.14816435698</v>
      </c>
      <c r="C115" s="115">
        <v>65.192999999999998</v>
      </c>
    </row>
    <row r="116" spans="1:3" x14ac:dyDescent="0.45">
      <c r="A116" s="114" t="s">
        <v>340</v>
      </c>
      <c r="B116" s="116">
        <v>1306.7064642620901</v>
      </c>
      <c r="C116" s="115">
        <v>80.733999999999995</v>
      </c>
    </row>
    <row r="117" spans="1:3" x14ac:dyDescent="0.45">
      <c r="A117" s="114" t="s">
        <v>341</v>
      </c>
      <c r="B117" s="116">
        <v>36895.836566232298</v>
      </c>
      <c r="C117" s="115">
        <v>76.652000000000001</v>
      </c>
    </row>
    <row r="118" spans="1:3" x14ac:dyDescent="0.45">
      <c r="A118" s="114" t="s">
        <v>342</v>
      </c>
      <c r="B118" s="116">
        <v>2887.9629908007801</v>
      </c>
      <c r="C118" s="115">
        <v>74.043999999999997</v>
      </c>
    </row>
    <row r="119" spans="1:3" x14ac:dyDescent="0.45">
      <c r="A119" s="114" t="s">
        <v>343</v>
      </c>
      <c r="B119" s="116">
        <v>668.027215260758</v>
      </c>
      <c r="C119" s="115">
        <v>54.674999999999997</v>
      </c>
    </row>
    <row r="120" spans="1:3" x14ac:dyDescent="0.45">
      <c r="A120" s="114" t="s">
        <v>344</v>
      </c>
      <c r="B120" s="116">
        <v>2396.6197150437802</v>
      </c>
      <c r="C120" s="115">
        <v>51.878999999999998</v>
      </c>
    </row>
    <row r="121" spans="1:3" x14ac:dyDescent="0.45">
      <c r="A121" s="114" t="s">
        <v>345</v>
      </c>
      <c r="B121" s="116">
        <v>46882.052300299903</v>
      </c>
      <c r="C121" s="115">
        <v>81.096999999999994</v>
      </c>
    </row>
    <row r="122" spans="1:3" x14ac:dyDescent="0.45">
      <c r="A122" s="114" t="s">
        <v>346</v>
      </c>
      <c r="B122" s="116">
        <v>24334.004909283001</v>
      </c>
      <c r="C122" s="115">
        <v>72.974000000000004</v>
      </c>
    </row>
    <row r="123" spans="1:3" x14ac:dyDescent="0.45">
      <c r="A123" s="114" t="s">
        <v>347</v>
      </c>
      <c r="B123" s="116">
        <v>2640.2577997726899</v>
      </c>
      <c r="C123" s="115">
        <v>65.436999999999998</v>
      </c>
    </row>
    <row r="124" spans="1:3" x14ac:dyDescent="0.45">
      <c r="A124" s="114" t="s">
        <v>348</v>
      </c>
      <c r="B124" s="116">
        <v>12502.2532596371</v>
      </c>
      <c r="C124" s="115">
        <v>76.128</v>
      </c>
    </row>
    <row r="125" spans="1:3" x14ac:dyDescent="0.45">
      <c r="A125" s="114" t="s">
        <v>349</v>
      </c>
      <c r="B125" s="116">
        <v>2203.5997444906602</v>
      </c>
      <c r="C125" s="115">
        <v>62.790999999999997</v>
      </c>
    </row>
    <row r="126" spans="1:3" x14ac:dyDescent="0.45">
      <c r="A126" s="114" t="s">
        <v>350</v>
      </c>
      <c r="B126" s="116">
        <v>4687.6917655677698</v>
      </c>
      <c r="C126" s="115">
        <v>72.477000000000004</v>
      </c>
    </row>
    <row r="127" spans="1:3" x14ac:dyDescent="0.45">
      <c r="A127" s="114" t="s">
        <v>351</v>
      </c>
      <c r="B127" s="116">
        <v>8864.5802885610192</v>
      </c>
      <c r="C127" s="115">
        <v>73.989999999999995</v>
      </c>
    </row>
    <row r="128" spans="1:3" x14ac:dyDescent="0.45">
      <c r="A128" s="114" t="s">
        <v>352</v>
      </c>
      <c r="B128" s="116">
        <v>3441.4235950975899</v>
      </c>
      <c r="C128" s="115">
        <v>68.748999999999995</v>
      </c>
    </row>
    <row r="129" spans="1:3" x14ac:dyDescent="0.45">
      <c r="A129" s="114" t="s">
        <v>353</v>
      </c>
      <c r="B129" s="116">
        <v>17928.334170276699</v>
      </c>
      <c r="C129" s="115">
        <v>76.126000000000005</v>
      </c>
    </row>
    <row r="130" spans="1:3" x14ac:dyDescent="0.45">
      <c r="A130" s="114" t="s">
        <v>354</v>
      </c>
      <c r="B130" s="116">
        <v>19905.954788494</v>
      </c>
      <c r="C130" s="115">
        <v>79.498999999999995</v>
      </c>
    </row>
    <row r="131" spans="1:3" x14ac:dyDescent="0.45">
      <c r="A131" s="114" t="s">
        <v>355</v>
      </c>
      <c r="B131" s="116">
        <v>93818.238644163197</v>
      </c>
      <c r="C131" s="115">
        <v>78.370999999999995</v>
      </c>
    </row>
    <row r="132" spans="1:3" x14ac:dyDescent="0.45">
      <c r="A132" s="114" t="s">
        <v>356</v>
      </c>
      <c r="B132" s="116">
        <v>10964.4165597028</v>
      </c>
      <c r="C132" s="115">
        <v>73.978999999999999</v>
      </c>
    </row>
    <row r="133" spans="1:3" x14ac:dyDescent="0.45">
      <c r="A133" s="114" t="s">
        <v>357</v>
      </c>
      <c r="B133" s="116">
        <v>14737.633597472601</v>
      </c>
      <c r="C133" s="115">
        <v>68.822999999999993</v>
      </c>
    </row>
    <row r="134" spans="1:3" x14ac:dyDescent="0.45">
      <c r="A134" s="114" t="s">
        <v>358</v>
      </c>
      <c r="B134" s="116">
        <v>1123.54932921931</v>
      </c>
      <c r="C134" s="117">
        <v>55.442</v>
      </c>
    </row>
    <row r="135" spans="1:3" x14ac:dyDescent="0.45">
      <c r="A135" s="114" t="s">
        <v>359</v>
      </c>
      <c r="B135" s="116">
        <v>10598.284527166799</v>
      </c>
      <c r="C135" s="115">
        <v>74.641000000000005</v>
      </c>
    </row>
    <row r="136" spans="1:3" x14ac:dyDescent="0.45">
      <c r="A136" s="114" t="s">
        <v>360</v>
      </c>
      <c r="B136" s="116">
        <v>6919.0351866216297</v>
      </c>
      <c r="C136" s="115">
        <v>72.283000000000001</v>
      </c>
    </row>
    <row r="137" spans="1:3" x14ac:dyDescent="0.45">
      <c r="A137" s="114" t="s">
        <v>361</v>
      </c>
      <c r="B137" s="116">
        <v>4998.46060951032</v>
      </c>
      <c r="C137" s="115">
        <v>72.444000000000003</v>
      </c>
    </row>
    <row r="138" spans="1:3" x14ac:dyDescent="0.45">
      <c r="A138" s="114" t="s">
        <v>362</v>
      </c>
      <c r="B138" s="116">
        <v>1890.42761423612</v>
      </c>
      <c r="C138" s="115">
        <v>64.665999999999997</v>
      </c>
    </row>
    <row r="139" spans="1:3" x14ac:dyDescent="0.45">
      <c r="A139" s="114" t="s">
        <v>363</v>
      </c>
      <c r="B139" s="116">
        <v>21364.373679256401</v>
      </c>
      <c r="C139" s="115">
        <v>73.911000000000001</v>
      </c>
    </row>
    <row r="140" spans="1:3" x14ac:dyDescent="0.45">
      <c r="A140" s="114" t="s">
        <v>364</v>
      </c>
      <c r="B140" s="116">
        <v>1766.99899116757</v>
      </c>
      <c r="C140" s="115">
        <v>59.317999999999998</v>
      </c>
    </row>
    <row r="141" spans="1:3" x14ac:dyDescent="0.45">
      <c r="A141" s="114" t="s">
        <v>365</v>
      </c>
      <c r="B141" s="116">
        <v>9719.4334675106402</v>
      </c>
      <c r="C141" s="115">
        <v>74.522000000000006</v>
      </c>
    </row>
    <row r="142" spans="1:3" x14ac:dyDescent="0.45">
      <c r="A142" s="114" t="s">
        <v>366</v>
      </c>
      <c r="B142" s="116">
        <v>924.40833036860499</v>
      </c>
      <c r="C142" s="115">
        <v>47.793999999999997</v>
      </c>
    </row>
    <row r="143" spans="1:3" x14ac:dyDescent="0.45">
      <c r="A143" s="114" t="s">
        <v>367</v>
      </c>
      <c r="B143" s="116">
        <v>49683.2670995027</v>
      </c>
      <c r="C143" s="115">
        <v>81.126000000000005</v>
      </c>
    </row>
    <row r="144" spans="1:3" x14ac:dyDescent="0.45">
      <c r="A144" s="114" t="s">
        <v>368</v>
      </c>
      <c r="B144" s="116">
        <v>20364.907992967499</v>
      </c>
      <c r="C144" s="115">
        <v>75.445999999999998</v>
      </c>
    </row>
    <row r="145" spans="1:3" x14ac:dyDescent="0.45">
      <c r="A145" s="114" t="s">
        <v>369</v>
      </c>
      <c r="B145" s="116">
        <v>24873.731920551501</v>
      </c>
      <c r="C145" s="115">
        <v>79.340999999999994</v>
      </c>
    </row>
    <row r="146" spans="1:3" x14ac:dyDescent="0.45">
      <c r="A146" s="114" t="s">
        <v>370</v>
      </c>
      <c r="B146" s="116">
        <v>2011.50036406906</v>
      </c>
      <c r="C146" s="115">
        <v>67.852000000000004</v>
      </c>
    </row>
    <row r="147" spans="1:3" x14ac:dyDescent="0.45">
      <c r="A147" s="114" t="s">
        <v>371</v>
      </c>
      <c r="B147" s="116">
        <v>943.03545346007297</v>
      </c>
      <c r="C147" s="115">
        <v>51.219000000000001</v>
      </c>
    </row>
    <row r="148" spans="1:3" x14ac:dyDescent="0.45">
      <c r="A148" s="114" t="s">
        <v>372</v>
      </c>
      <c r="B148" s="116">
        <v>9482.0906633483501</v>
      </c>
      <c r="C148" s="115">
        <v>52.796999999999997</v>
      </c>
    </row>
    <row r="149" spans="1:3" x14ac:dyDescent="0.45">
      <c r="A149" s="114" t="s">
        <v>373</v>
      </c>
      <c r="B149" s="116">
        <v>26766.861768965398</v>
      </c>
      <c r="C149" s="115">
        <v>81.403999999999996</v>
      </c>
    </row>
    <row r="150" spans="1:3" x14ac:dyDescent="0.45">
      <c r="A150" s="114" t="s">
        <v>374</v>
      </c>
      <c r="B150" s="116">
        <v>4901.3384293941399</v>
      </c>
      <c r="C150" s="115">
        <v>74.941000000000003</v>
      </c>
    </row>
    <row r="151" spans="1:3" x14ac:dyDescent="0.45">
      <c r="A151" s="114" t="s">
        <v>375</v>
      </c>
      <c r="B151" s="116">
        <v>3181.9258911778002</v>
      </c>
      <c r="C151" s="115">
        <v>61.451999999999998</v>
      </c>
    </row>
    <row r="152" spans="1:3" x14ac:dyDescent="0.45">
      <c r="A152" s="114" t="s">
        <v>376</v>
      </c>
      <c r="B152" s="116">
        <v>8706.3139714571407</v>
      </c>
      <c r="C152" s="115">
        <v>70.563000000000002</v>
      </c>
    </row>
    <row r="153" spans="1:3" x14ac:dyDescent="0.45">
      <c r="A153" s="114" t="s">
        <v>377</v>
      </c>
      <c r="B153" s="116">
        <v>4728.5938167762497</v>
      </c>
      <c r="C153" s="115">
        <v>48.718000000000004</v>
      </c>
    </row>
    <row r="154" spans="1:3" x14ac:dyDescent="0.45">
      <c r="A154" s="114" t="s">
        <v>378</v>
      </c>
      <c r="B154" s="116">
        <v>34395.314132985201</v>
      </c>
      <c r="C154" s="115">
        <v>81.438999999999993</v>
      </c>
    </row>
    <row r="155" spans="1:3" x14ac:dyDescent="0.45">
      <c r="A155" s="114" t="s">
        <v>379</v>
      </c>
      <c r="B155" s="116">
        <v>37942.468433511203</v>
      </c>
      <c r="C155" s="115">
        <v>82.337999999999994</v>
      </c>
    </row>
    <row r="156" spans="1:3" x14ac:dyDescent="0.45">
      <c r="A156" s="114" t="s">
        <v>380</v>
      </c>
      <c r="B156" s="116">
        <v>4520</v>
      </c>
      <c r="C156" s="115">
        <v>75.849999999999994</v>
      </c>
    </row>
    <row r="157" spans="1:3" x14ac:dyDescent="0.45">
      <c r="A157" s="114" t="s">
        <v>381</v>
      </c>
      <c r="B157" s="116">
        <v>1842.56944444444</v>
      </c>
      <c r="C157" s="115">
        <v>67.528999999999996</v>
      </c>
    </row>
    <row r="158" spans="1:3" x14ac:dyDescent="0.45">
      <c r="A158" s="114" t="s">
        <v>382</v>
      </c>
      <c r="B158" s="116">
        <v>1348.36497915782</v>
      </c>
      <c r="C158" s="115">
        <v>58.198999999999998</v>
      </c>
    </row>
    <row r="159" spans="1:3" x14ac:dyDescent="0.45">
      <c r="A159" s="114" t="s">
        <v>383</v>
      </c>
      <c r="B159" s="116">
        <v>7982.6111904023901</v>
      </c>
      <c r="C159" s="115">
        <v>74.126000000000005</v>
      </c>
    </row>
    <row r="160" spans="1:3" x14ac:dyDescent="0.45">
      <c r="A160" s="114" t="s">
        <v>384</v>
      </c>
      <c r="B160" s="116">
        <v>3228.4111568130202</v>
      </c>
      <c r="C160" s="115">
        <v>62.475000000000001</v>
      </c>
    </row>
    <row r="161" spans="1:3" x14ac:dyDescent="0.45">
      <c r="A161" s="114" t="s">
        <v>385</v>
      </c>
      <c r="B161" s="116">
        <v>933.18012832357499</v>
      </c>
      <c r="C161" s="115">
        <v>57.061999999999998</v>
      </c>
    </row>
    <row r="162" spans="1:3" x14ac:dyDescent="0.45">
      <c r="A162" s="114" t="s">
        <v>386</v>
      </c>
      <c r="B162" s="116">
        <v>4885.70866717441</v>
      </c>
      <c r="C162" s="115">
        <v>72.316999999999993</v>
      </c>
    </row>
    <row r="163" spans="1:3" x14ac:dyDescent="0.45">
      <c r="A163" s="114" t="s">
        <v>387</v>
      </c>
      <c r="B163" s="116">
        <v>17459.849752842201</v>
      </c>
      <c r="C163" s="115">
        <v>70.123999999999995</v>
      </c>
    </row>
    <row r="164" spans="1:3" x14ac:dyDescent="0.45">
      <c r="A164" s="114" t="s">
        <v>388</v>
      </c>
      <c r="B164" s="116">
        <v>7520.8255283302296</v>
      </c>
      <c r="C164" s="115">
        <v>74.515000000000001</v>
      </c>
    </row>
    <row r="165" spans="1:3" x14ac:dyDescent="0.45">
      <c r="A165" s="114" t="s">
        <v>389</v>
      </c>
      <c r="B165" s="116">
        <v>9148.3311483060697</v>
      </c>
      <c r="C165" s="115">
        <v>73.978999999999999</v>
      </c>
    </row>
    <row r="166" spans="1:3" x14ac:dyDescent="0.45">
      <c r="A166" s="114" t="s">
        <v>390</v>
      </c>
      <c r="B166" s="116">
        <v>7256.5522475846601</v>
      </c>
      <c r="C166" s="115">
        <v>64.986000000000004</v>
      </c>
    </row>
    <row r="167" spans="1:3" x14ac:dyDescent="0.45">
      <c r="A167" s="114" t="s">
        <v>391</v>
      </c>
      <c r="B167" s="116">
        <v>1277.80560024325</v>
      </c>
      <c r="C167" s="115">
        <v>54.116</v>
      </c>
    </row>
    <row r="168" spans="1:3" x14ac:dyDescent="0.45">
      <c r="A168" s="114" t="s">
        <v>392</v>
      </c>
      <c r="B168" s="116">
        <v>6379.5811237656399</v>
      </c>
      <c r="C168" s="115">
        <v>68.494</v>
      </c>
    </row>
    <row r="169" spans="1:3" x14ac:dyDescent="0.45">
      <c r="A169" s="114" t="s">
        <v>393</v>
      </c>
      <c r="B169" s="116">
        <v>31984.851148594498</v>
      </c>
      <c r="C169" s="115">
        <v>76.546000000000006</v>
      </c>
    </row>
    <row r="170" spans="1:3" x14ac:dyDescent="0.45">
      <c r="A170" s="114" t="s">
        <v>394</v>
      </c>
      <c r="B170" s="116">
        <v>31330.4772417653</v>
      </c>
      <c r="C170" s="115">
        <v>80.17</v>
      </c>
    </row>
    <row r="171" spans="1:3" x14ac:dyDescent="0.45">
      <c r="A171" s="114" t="s">
        <v>395</v>
      </c>
      <c r="B171" s="116">
        <v>41728.140891156698</v>
      </c>
      <c r="C171" s="115">
        <v>78.531000000000006</v>
      </c>
    </row>
    <row r="172" spans="1:3" x14ac:dyDescent="0.45">
      <c r="A172" s="114" t="s">
        <v>396</v>
      </c>
      <c r="B172" s="116">
        <v>12741.7920245887</v>
      </c>
      <c r="C172" s="115">
        <v>77.004999999999995</v>
      </c>
    </row>
    <row r="173" spans="1:3" x14ac:dyDescent="0.45">
      <c r="A173" s="114" t="s">
        <v>397</v>
      </c>
      <c r="B173" s="116">
        <v>2947.2040023746699</v>
      </c>
      <c r="C173" s="115">
        <v>68.287000000000006</v>
      </c>
    </row>
    <row r="174" spans="1:3" x14ac:dyDescent="0.45">
      <c r="A174" s="114" t="s">
        <v>398</v>
      </c>
      <c r="B174" s="116">
        <v>4028.2320552086398</v>
      </c>
      <c r="C174" s="115">
        <v>71.016999999999996</v>
      </c>
    </row>
    <row r="175" spans="1:3" x14ac:dyDescent="0.45">
      <c r="A175" s="114" t="s">
        <v>399</v>
      </c>
      <c r="B175" s="116">
        <v>10958.0483576565</v>
      </c>
      <c r="C175" s="115">
        <v>74.402000000000001</v>
      </c>
    </row>
    <row r="176" spans="1:3" x14ac:dyDescent="0.45">
      <c r="A176" s="114" t="s">
        <v>400</v>
      </c>
      <c r="B176" s="116">
        <v>2961.8346049001502</v>
      </c>
      <c r="C176" s="115">
        <v>75.180999999999997</v>
      </c>
    </row>
    <row r="177" spans="1:3" x14ac:dyDescent="0.45">
      <c r="A177" s="114" t="s">
        <v>401</v>
      </c>
      <c r="B177" s="116">
        <v>2102.2164613979098</v>
      </c>
      <c r="C177" s="115">
        <v>65.492999999999995</v>
      </c>
    </row>
    <row r="178" spans="1:3" x14ac:dyDescent="0.45">
      <c r="A178" s="114" t="s">
        <v>402</v>
      </c>
      <c r="B178" s="116">
        <v>1476.9348293190501</v>
      </c>
      <c r="C178" s="115">
        <v>49.024999999999999</v>
      </c>
    </row>
    <row r="179" spans="1:3" x14ac:dyDescent="0.45">
      <c r="A179" s="114" t="s">
        <v>403</v>
      </c>
      <c r="B179" s="116">
        <v>511.25840754995198</v>
      </c>
      <c r="C179" s="115">
        <v>51.384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6"/>
  <sheetViews>
    <sheetView workbookViewId="0">
      <selection activeCell="W2" sqref="W2"/>
    </sheetView>
  </sheetViews>
  <sheetFormatPr defaultRowHeight="14.25" x14ac:dyDescent="0.45"/>
  <cols>
    <col min="2" max="2" width="12.3984375" bestFit="1" customWidth="1"/>
    <col min="3" max="3" width="12.73046875" bestFit="1" customWidth="1"/>
    <col min="14" max="14" width="12.73046875" bestFit="1" customWidth="1"/>
    <col min="15" max="15" width="12.3984375" bestFit="1" customWidth="1"/>
  </cols>
  <sheetData>
    <row r="1" spans="1:15" ht="57" x14ac:dyDescent="0.45">
      <c r="A1" s="112"/>
      <c r="B1" s="112" t="s">
        <v>224</v>
      </c>
      <c r="C1" s="113" t="s">
        <v>225</v>
      </c>
      <c r="N1" s="113" t="s">
        <v>225</v>
      </c>
      <c r="O1" s="112" t="s">
        <v>224</v>
      </c>
    </row>
    <row r="2" spans="1:15" x14ac:dyDescent="0.45">
      <c r="A2" s="114" t="s">
        <v>226</v>
      </c>
      <c r="B2" s="115">
        <v>48.673000000000002</v>
      </c>
      <c r="C2" s="116">
        <v>1246.8912637718699</v>
      </c>
      <c r="N2" s="116">
        <v>1246.8912637718699</v>
      </c>
      <c r="O2" s="115">
        <v>48.673000000000002</v>
      </c>
    </row>
    <row r="3" spans="1:15" x14ac:dyDescent="0.45">
      <c r="A3" s="114" t="s">
        <v>227</v>
      </c>
      <c r="B3" s="115">
        <v>76.918000000000006</v>
      </c>
      <c r="C3" s="116">
        <v>6850.0754562307302</v>
      </c>
      <c r="N3" s="116">
        <v>6850.0754562307302</v>
      </c>
      <c r="O3" s="115">
        <v>76.918000000000006</v>
      </c>
    </row>
    <row r="4" spans="1:15" x14ac:dyDescent="0.45">
      <c r="A4" s="114" t="s">
        <v>228</v>
      </c>
      <c r="B4" s="115">
        <v>73.131</v>
      </c>
      <c r="C4" s="116">
        <v>6406.8166213983004</v>
      </c>
      <c r="N4" s="116">
        <v>6406.8166213983004</v>
      </c>
      <c r="O4" s="115">
        <v>73.131</v>
      </c>
    </row>
    <row r="5" spans="1:15" x14ac:dyDescent="0.45">
      <c r="A5" s="114" t="s">
        <v>229</v>
      </c>
      <c r="B5" s="115">
        <v>51.093000000000004</v>
      </c>
      <c r="C5" s="116">
        <v>5519.1831786593002</v>
      </c>
      <c r="N5" s="116">
        <v>5519.1831786593002</v>
      </c>
      <c r="O5" s="115">
        <v>51.093000000000004</v>
      </c>
    </row>
    <row r="6" spans="1:15" x14ac:dyDescent="0.45">
      <c r="A6" s="114" t="s">
        <v>230</v>
      </c>
      <c r="B6" s="115">
        <v>75.900999999999996</v>
      </c>
      <c r="C6" s="116">
        <v>15741.0457726686</v>
      </c>
      <c r="N6" s="116">
        <v>15741.0457726686</v>
      </c>
      <c r="O6" s="115">
        <v>75.900999999999996</v>
      </c>
    </row>
    <row r="7" spans="1:15" x14ac:dyDescent="0.45">
      <c r="A7" s="114" t="s">
        <v>231</v>
      </c>
      <c r="B7" s="115">
        <v>74.241</v>
      </c>
      <c r="C7" s="116">
        <v>4748.9285847709098</v>
      </c>
      <c r="N7" s="116">
        <v>4748.9285847709098</v>
      </c>
      <c r="O7" s="115">
        <v>74.241</v>
      </c>
    </row>
    <row r="8" spans="1:15" x14ac:dyDescent="0.45">
      <c r="A8" s="114" t="s">
        <v>232</v>
      </c>
      <c r="B8" s="115">
        <v>81.906999999999996</v>
      </c>
      <c r="C8" s="116">
        <v>34642.388132262196</v>
      </c>
      <c r="N8" s="116">
        <v>34642.388132262196</v>
      </c>
      <c r="O8" s="115">
        <v>81.906999999999996</v>
      </c>
    </row>
    <row r="9" spans="1:15" x14ac:dyDescent="0.45">
      <c r="A9" s="114" t="s">
        <v>233</v>
      </c>
      <c r="B9" s="115">
        <v>80.853999999999999</v>
      </c>
      <c r="C9" s="116">
        <v>36871.071351888699</v>
      </c>
      <c r="N9" s="116">
        <v>36871.071351888699</v>
      </c>
      <c r="O9" s="115">
        <v>80.853999999999999</v>
      </c>
    </row>
    <row r="10" spans="1:15" x14ac:dyDescent="0.45">
      <c r="A10" s="114" t="s">
        <v>234</v>
      </c>
      <c r="B10" s="115">
        <v>70.739000000000004</v>
      </c>
      <c r="C10" s="116">
        <v>9387.3894968710702</v>
      </c>
      <c r="N10" s="116">
        <v>9387.3894968710702</v>
      </c>
      <c r="O10" s="115">
        <v>70.739000000000004</v>
      </c>
    </row>
    <row r="11" spans="1:15" x14ac:dyDescent="0.45">
      <c r="A11" s="114" t="s">
        <v>235</v>
      </c>
      <c r="B11" s="115">
        <v>75.62</v>
      </c>
      <c r="C11" s="116">
        <v>21470.8042038124</v>
      </c>
      <c r="N11" s="116">
        <v>21470.8042038124</v>
      </c>
      <c r="O11" s="115">
        <v>75.62</v>
      </c>
    </row>
    <row r="12" spans="1:15" x14ac:dyDescent="0.45">
      <c r="A12" s="114" t="s">
        <v>236</v>
      </c>
      <c r="B12" s="115">
        <v>75.057000000000002</v>
      </c>
      <c r="C12" s="116">
        <v>23881.147075009201</v>
      </c>
      <c r="N12" s="116">
        <v>23881.147075009201</v>
      </c>
      <c r="O12" s="115">
        <v>75.057000000000002</v>
      </c>
    </row>
    <row r="13" spans="1:15" x14ac:dyDescent="0.45">
      <c r="A13" s="114" t="s">
        <v>237</v>
      </c>
      <c r="B13" s="115">
        <v>68.944000000000003</v>
      </c>
      <c r="C13" s="116">
        <v>1669.87427080975</v>
      </c>
      <c r="N13" s="116">
        <v>1669.87427080975</v>
      </c>
      <c r="O13" s="115">
        <v>68.944000000000003</v>
      </c>
    </row>
    <row r="14" spans="1:15" x14ac:dyDescent="0.45">
      <c r="A14" s="114" t="s">
        <v>238</v>
      </c>
      <c r="B14" s="115">
        <v>76.834999999999994</v>
      </c>
      <c r="C14" s="116">
        <v>16173.6500947241</v>
      </c>
      <c r="N14" s="116">
        <v>16173.6500947241</v>
      </c>
      <c r="O14" s="115">
        <v>76.834999999999994</v>
      </c>
    </row>
    <row r="15" spans="1:15" x14ac:dyDescent="0.45">
      <c r="A15" s="114" t="s">
        <v>239</v>
      </c>
      <c r="B15" s="115">
        <v>70.349000000000004</v>
      </c>
      <c r="C15" s="116">
        <v>13224.027285024</v>
      </c>
      <c r="N15" s="116">
        <v>13224.027285024</v>
      </c>
      <c r="O15" s="115">
        <v>70.349000000000004</v>
      </c>
    </row>
    <row r="16" spans="1:15" x14ac:dyDescent="0.45">
      <c r="A16" s="114" t="s">
        <v>240</v>
      </c>
      <c r="B16" s="115">
        <v>80.009</v>
      </c>
      <c r="C16" s="116">
        <v>33047.962421755998</v>
      </c>
      <c r="N16" s="116">
        <v>33047.962421755998</v>
      </c>
      <c r="O16" s="115">
        <v>80.009</v>
      </c>
    </row>
    <row r="17" spans="1:15" x14ac:dyDescent="0.45">
      <c r="A17" s="114" t="s">
        <v>241</v>
      </c>
      <c r="B17" s="115">
        <v>76.072000000000003</v>
      </c>
      <c r="C17" s="116">
        <v>7255.0052259868298</v>
      </c>
      <c r="N17" s="116">
        <v>7255.0052259868298</v>
      </c>
      <c r="O17" s="115">
        <v>76.072000000000003</v>
      </c>
    </row>
    <row r="18" spans="1:15" x14ac:dyDescent="0.45">
      <c r="A18" s="114" t="s">
        <v>242</v>
      </c>
      <c r="B18" s="115">
        <v>56.081000000000003</v>
      </c>
      <c r="C18" s="116">
        <v>1457.21564849264</v>
      </c>
      <c r="N18" s="116">
        <v>1457.21564849264</v>
      </c>
      <c r="O18" s="115">
        <v>56.081000000000003</v>
      </c>
    </row>
    <row r="19" spans="1:15" x14ac:dyDescent="0.45">
      <c r="A19" s="114" t="s">
        <v>243</v>
      </c>
      <c r="B19" s="115">
        <v>67.185000000000002</v>
      </c>
      <c r="C19" s="116">
        <v>5640.9045667108203</v>
      </c>
      <c r="N19" s="116">
        <v>5640.9045667108203</v>
      </c>
      <c r="O19" s="115">
        <v>67.185000000000002</v>
      </c>
    </row>
    <row r="20" spans="1:15" x14ac:dyDescent="0.45">
      <c r="A20" s="114" t="s">
        <v>244</v>
      </c>
      <c r="B20" s="115">
        <v>66.617999999999995</v>
      </c>
      <c r="C20" s="116">
        <v>4171.3682133827597</v>
      </c>
      <c r="N20" s="116">
        <v>4171.3682133827597</v>
      </c>
      <c r="O20" s="115">
        <v>66.617999999999995</v>
      </c>
    </row>
    <row r="21" spans="1:15" x14ac:dyDescent="0.45">
      <c r="A21" s="114" t="s">
        <v>245</v>
      </c>
      <c r="B21" s="115">
        <v>75.67</v>
      </c>
      <c r="C21" s="116">
        <v>7750.16258543403</v>
      </c>
      <c r="N21" s="116">
        <v>7750.16258543403</v>
      </c>
      <c r="O21" s="115">
        <v>75.67</v>
      </c>
    </row>
    <row r="22" spans="1:15" x14ac:dyDescent="0.45">
      <c r="A22" s="114" t="s">
        <v>246</v>
      </c>
      <c r="B22" s="115">
        <v>53.183</v>
      </c>
      <c r="C22" s="116">
        <v>13625.1153757631</v>
      </c>
      <c r="N22" s="116">
        <v>13625.1153757631</v>
      </c>
      <c r="O22" s="115">
        <v>53.183</v>
      </c>
    </row>
    <row r="23" spans="1:15" x14ac:dyDescent="0.45">
      <c r="A23" s="114" t="s">
        <v>247</v>
      </c>
      <c r="B23" s="115">
        <v>73.488</v>
      </c>
      <c r="C23" s="116">
        <v>10373.4063741753</v>
      </c>
      <c r="N23" s="116">
        <v>10373.4063741753</v>
      </c>
      <c r="O23" s="115">
        <v>73.488</v>
      </c>
    </row>
    <row r="24" spans="1:15" x14ac:dyDescent="0.45">
      <c r="A24" s="114" t="s">
        <v>248</v>
      </c>
      <c r="B24" s="115">
        <v>78.004999999999995</v>
      </c>
      <c r="C24" s="116">
        <v>43563.743549755498</v>
      </c>
      <c r="N24" s="116">
        <v>43563.743549755498</v>
      </c>
      <c r="O24" s="115">
        <v>78.004999999999995</v>
      </c>
    </row>
    <row r="25" spans="1:15" x14ac:dyDescent="0.45">
      <c r="A25" s="114" t="s">
        <v>249</v>
      </c>
      <c r="B25" s="115">
        <v>73.370999999999995</v>
      </c>
      <c r="C25" s="116">
        <v>11285.5666613832</v>
      </c>
      <c r="N25" s="116">
        <v>11285.5666613832</v>
      </c>
      <c r="O25" s="115">
        <v>73.370999999999995</v>
      </c>
    </row>
    <row r="26" spans="1:15" x14ac:dyDescent="0.45">
      <c r="A26" s="114" t="s">
        <v>250</v>
      </c>
      <c r="B26" s="115">
        <v>55.439</v>
      </c>
      <c r="C26" s="116">
        <v>1343.4854629620399</v>
      </c>
      <c r="N26" s="116">
        <v>1343.4854629620399</v>
      </c>
      <c r="O26" s="115">
        <v>55.439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showGridLines="0" workbookViewId="0">
      <selection activeCell="Z23" sqref="Z23"/>
    </sheetView>
  </sheetViews>
  <sheetFormatPr defaultColWidth="9.1328125" defaultRowHeight="14.25" x14ac:dyDescent="0.45"/>
  <cols>
    <col min="1" max="16384" width="9.1328125" style="100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3:U24"/>
  <sheetViews>
    <sheetView workbookViewId="0">
      <selection activeCell="J35" sqref="J35"/>
    </sheetView>
  </sheetViews>
  <sheetFormatPr defaultRowHeight="14.25" x14ac:dyDescent="0.45"/>
  <cols>
    <col min="2" max="2" width="7.265625" bestFit="1" customWidth="1"/>
    <col min="3" max="3" width="12.59765625" customWidth="1"/>
    <col min="11" max="11" width="11.265625" customWidth="1"/>
    <col min="19" max="19" width="6.265625" customWidth="1"/>
    <col min="21" max="21" width="10.59765625" customWidth="1"/>
  </cols>
  <sheetData>
    <row r="3" spans="2:21" s="124" customFormat="1" ht="31.5" customHeight="1" x14ac:dyDescent="0.45">
      <c r="B3" s="124" t="s">
        <v>447</v>
      </c>
      <c r="C3" s="124" t="s">
        <v>446</v>
      </c>
      <c r="J3" s="124" t="s">
        <v>448</v>
      </c>
      <c r="K3" s="124" t="s">
        <v>449</v>
      </c>
      <c r="T3" s="124" t="s">
        <v>450</v>
      </c>
      <c r="U3" s="124" t="s">
        <v>451</v>
      </c>
    </row>
    <row r="4" spans="2:21" x14ac:dyDescent="0.45">
      <c r="B4">
        <v>3</v>
      </c>
      <c r="C4">
        <f>B4*5+4</f>
        <v>19</v>
      </c>
      <c r="J4">
        <v>20</v>
      </c>
      <c r="K4">
        <v>2</v>
      </c>
      <c r="T4" s="162">
        <v>0</v>
      </c>
      <c r="U4">
        <v>2</v>
      </c>
    </row>
    <row r="5" spans="2:21" x14ac:dyDescent="0.45">
      <c r="B5">
        <v>7</v>
      </c>
      <c r="C5">
        <f>B5*5+5</f>
        <v>40</v>
      </c>
      <c r="J5">
        <v>24</v>
      </c>
      <c r="K5">
        <v>1</v>
      </c>
      <c r="T5" s="162">
        <v>0.05</v>
      </c>
      <c r="U5">
        <v>1</v>
      </c>
    </row>
    <row r="6" spans="2:21" x14ac:dyDescent="0.45">
      <c r="B6">
        <v>5</v>
      </c>
      <c r="C6">
        <f>B6*5+0</f>
        <v>25</v>
      </c>
      <c r="J6">
        <v>28</v>
      </c>
      <c r="K6">
        <v>3</v>
      </c>
      <c r="T6" s="162">
        <v>0.1</v>
      </c>
      <c r="U6">
        <v>3</v>
      </c>
    </row>
    <row r="7" spans="2:21" x14ac:dyDescent="0.45">
      <c r="B7">
        <v>4</v>
      </c>
      <c r="C7">
        <f>B7*5+3</f>
        <v>23</v>
      </c>
      <c r="J7">
        <v>30</v>
      </c>
      <c r="K7">
        <v>4</v>
      </c>
      <c r="T7" s="162">
        <v>0.15</v>
      </c>
      <c r="U7">
        <v>4</v>
      </c>
    </row>
    <row r="8" spans="2:21" x14ac:dyDescent="0.45">
      <c r="B8">
        <v>9</v>
      </c>
      <c r="C8">
        <f>B8*5+11</f>
        <v>56</v>
      </c>
      <c r="J8">
        <v>32</v>
      </c>
      <c r="K8">
        <v>5</v>
      </c>
      <c r="T8" s="162">
        <v>0.2</v>
      </c>
      <c r="U8">
        <v>5</v>
      </c>
    </row>
    <row r="9" spans="2:21" x14ac:dyDescent="0.45">
      <c r="B9">
        <v>8</v>
      </c>
      <c r="C9">
        <f>B9*5+1</f>
        <v>41</v>
      </c>
      <c r="J9">
        <v>35</v>
      </c>
      <c r="K9">
        <v>7</v>
      </c>
      <c r="T9" s="162">
        <v>0.25</v>
      </c>
      <c r="U9">
        <v>7</v>
      </c>
    </row>
    <row r="10" spans="2:21" x14ac:dyDescent="0.45">
      <c r="B10">
        <v>3</v>
      </c>
      <c r="C10">
        <f>B10*5+7</f>
        <v>22</v>
      </c>
      <c r="J10">
        <v>41</v>
      </c>
      <c r="K10">
        <v>6</v>
      </c>
      <c r="T10" s="162">
        <v>0.3</v>
      </c>
      <c r="U10">
        <v>6</v>
      </c>
    </row>
    <row r="11" spans="2:21" x14ac:dyDescent="0.45">
      <c r="B11">
        <v>1</v>
      </c>
      <c r="C11">
        <f>B11*5+2</f>
        <v>7</v>
      </c>
      <c r="J11">
        <v>45</v>
      </c>
      <c r="K11">
        <v>8</v>
      </c>
      <c r="T11" s="162">
        <v>0.35</v>
      </c>
      <c r="U11">
        <v>8</v>
      </c>
    </row>
    <row r="12" spans="2:21" x14ac:dyDescent="0.45">
      <c r="J12">
        <v>48</v>
      </c>
      <c r="K12">
        <v>5</v>
      </c>
      <c r="T12" s="162">
        <v>0.4</v>
      </c>
      <c r="U12">
        <v>5</v>
      </c>
    </row>
    <row r="13" spans="2:21" x14ac:dyDescent="0.45">
      <c r="J13">
        <v>50</v>
      </c>
      <c r="K13">
        <v>9</v>
      </c>
      <c r="T13" s="162">
        <v>0.45</v>
      </c>
      <c r="U13">
        <v>9</v>
      </c>
    </row>
    <row r="14" spans="2:21" x14ac:dyDescent="0.45">
      <c r="J14">
        <v>53</v>
      </c>
      <c r="K14">
        <v>9</v>
      </c>
      <c r="T14" s="162">
        <v>0.5</v>
      </c>
      <c r="U14">
        <v>9</v>
      </c>
    </row>
    <row r="15" spans="2:21" x14ac:dyDescent="0.45">
      <c r="J15">
        <v>55</v>
      </c>
      <c r="K15">
        <v>12</v>
      </c>
      <c r="T15" s="162">
        <v>0.55000000000000004</v>
      </c>
      <c r="U15">
        <v>12</v>
      </c>
    </row>
    <row r="16" spans="2:21" x14ac:dyDescent="0.45">
      <c r="J16">
        <v>62</v>
      </c>
      <c r="K16">
        <v>10</v>
      </c>
      <c r="T16" s="162">
        <v>0.6</v>
      </c>
      <c r="U16">
        <v>10</v>
      </c>
    </row>
    <row r="17" spans="10:21" x14ac:dyDescent="0.45">
      <c r="J17">
        <v>64</v>
      </c>
      <c r="K17">
        <v>8</v>
      </c>
      <c r="T17" s="162">
        <v>0.65</v>
      </c>
      <c r="U17">
        <v>8</v>
      </c>
    </row>
    <row r="18" spans="10:21" x14ac:dyDescent="0.45">
      <c r="J18">
        <v>65</v>
      </c>
      <c r="K18">
        <v>11</v>
      </c>
      <c r="T18" s="162">
        <v>0.7</v>
      </c>
      <c r="U18">
        <v>11</v>
      </c>
    </row>
    <row r="19" spans="10:21" x14ac:dyDescent="0.45">
      <c r="J19">
        <v>67</v>
      </c>
      <c r="K19">
        <v>13</v>
      </c>
      <c r="T19" s="162">
        <v>0.75</v>
      </c>
      <c r="U19">
        <v>13</v>
      </c>
    </row>
    <row r="20" spans="10:21" x14ac:dyDescent="0.45">
      <c r="T20" s="162">
        <v>0.8</v>
      </c>
      <c r="U20">
        <v>6</v>
      </c>
    </row>
    <row r="21" spans="10:21" x14ac:dyDescent="0.45">
      <c r="T21" s="162">
        <v>0.85</v>
      </c>
      <c r="U21">
        <v>7</v>
      </c>
    </row>
    <row r="22" spans="10:21" x14ac:dyDescent="0.45">
      <c r="T22" s="162">
        <v>0.9</v>
      </c>
      <c r="U22">
        <v>5</v>
      </c>
    </row>
    <row r="23" spans="10:21" x14ac:dyDescent="0.45">
      <c r="T23" s="162">
        <v>0.95</v>
      </c>
      <c r="U23">
        <v>1</v>
      </c>
    </row>
    <row r="24" spans="10:21" x14ac:dyDescent="0.45">
      <c r="T24" s="162">
        <v>1</v>
      </c>
      <c r="U24">
        <v>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K54"/>
  <sheetViews>
    <sheetView workbookViewId="0">
      <selection activeCell="H11" sqref="H11"/>
    </sheetView>
  </sheetViews>
  <sheetFormatPr defaultRowHeight="14.25" x14ac:dyDescent="0.45"/>
  <cols>
    <col min="1" max="1" width="2.265625" customWidth="1"/>
    <col min="2" max="2" width="15.59765625" bestFit="1" customWidth="1"/>
  </cols>
  <sheetData>
    <row r="1" spans="2:11" ht="14.65" thickBot="1" x14ac:dyDescent="0.5"/>
    <row r="2" spans="2:11" x14ac:dyDescent="0.45">
      <c r="B2" s="77" t="s">
        <v>406</v>
      </c>
      <c r="C2" s="78" t="s">
        <v>407</v>
      </c>
      <c r="D2" s="78" t="s">
        <v>408</v>
      </c>
      <c r="E2" s="78" t="s">
        <v>409</v>
      </c>
      <c r="F2" s="78" t="s">
        <v>410</v>
      </c>
      <c r="G2" s="78" t="s">
        <v>411</v>
      </c>
      <c r="H2" s="78" t="s">
        <v>412</v>
      </c>
      <c r="I2" s="78" t="s">
        <v>413</v>
      </c>
      <c r="J2" s="78" t="s">
        <v>414</v>
      </c>
      <c r="K2" s="144" t="s">
        <v>415</v>
      </c>
    </row>
    <row r="3" spans="2:11" x14ac:dyDescent="0.45">
      <c r="B3" s="145">
        <v>41278</v>
      </c>
      <c r="C3" s="146">
        <v>25000</v>
      </c>
      <c r="D3" s="146">
        <v>20000</v>
      </c>
      <c r="E3" s="146">
        <v>14000</v>
      </c>
      <c r="F3" s="146">
        <v>7000</v>
      </c>
      <c r="G3" s="146">
        <v>7700</v>
      </c>
      <c r="H3" s="146">
        <v>13090</v>
      </c>
      <c r="I3" s="146">
        <v>15353.333333333299</v>
      </c>
      <c r="J3" s="146">
        <v>18398.333333333299</v>
      </c>
      <c r="K3" s="147">
        <v>21443.333333333299</v>
      </c>
    </row>
    <row r="4" spans="2:11" x14ac:dyDescent="0.45">
      <c r="B4" s="145">
        <f>B3+7</f>
        <v>41285</v>
      </c>
      <c r="C4" s="146">
        <v>30000</v>
      </c>
      <c r="D4" s="146">
        <v>24000</v>
      </c>
      <c r="E4" s="146">
        <v>16800</v>
      </c>
      <c r="F4" s="146">
        <v>8400</v>
      </c>
      <c r="G4" s="146">
        <v>9240</v>
      </c>
      <c r="H4" s="146">
        <v>15708</v>
      </c>
      <c r="I4" s="146">
        <v>18424</v>
      </c>
      <c r="J4" s="146">
        <v>22078</v>
      </c>
      <c r="K4" s="147">
        <v>25732</v>
      </c>
    </row>
    <row r="5" spans="2:11" x14ac:dyDescent="0.45">
      <c r="B5" s="145">
        <f t="shared" ref="B5:B54" si="0">B4+7</f>
        <v>41292</v>
      </c>
      <c r="C5" s="146">
        <v>40000</v>
      </c>
      <c r="D5" s="146">
        <v>32000</v>
      </c>
      <c r="E5" s="146">
        <v>22400</v>
      </c>
      <c r="F5" s="146">
        <v>11200</v>
      </c>
      <c r="G5" s="146">
        <v>12320</v>
      </c>
      <c r="H5" s="146">
        <v>20944</v>
      </c>
      <c r="I5" s="146">
        <v>24565.333333333299</v>
      </c>
      <c r="J5" s="146">
        <v>29437.333333333299</v>
      </c>
      <c r="K5" s="147">
        <v>34309.333333333299</v>
      </c>
    </row>
    <row r="6" spans="2:11" x14ac:dyDescent="0.45">
      <c r="B6" s="145">
        <f t="shared" si="0"/>
        <v>41299</v>
      </c>
      <c r="C6" s="146">
        <v>50000</v>
      </c>
      <c r="D6" s="146">
        <v>40000</v>
      </c>
      <c r="E6" s="146">
        <v>28000</v>
      </c>
      <c r="F6" s="146">
        <v>14000</v>
      </c>
      <c r="G6" s="146">
        <v>15400</v>
      </c>
      <c r="H6" s="146">
        <v>26180</v>
      </c>
      <c r="I6" s="146">
        <v>30706.666666666701</v>
      </c>
      <c r="J6" s="146">
        <v>36796.666666666701</v>
      </c>
      <c r="K6" s="147">
        <v>42886.666666666701</v>
      </c>
    </row>
    <row r="7" spans="2:11" x14ac:dyDescent="0.45">
      <c r="B7" s="145">
        <f t="shared" si="0"/>
        <v>41306</v>
      </c>
      <c r="C7" s="146">
        <v>60000</v>
      </c>
      <c r="D7" s="146">
        <v>48000</v>
      </c>
      <c r="E7" s="146">
        <v>33600</v>
      </c>
      <c r="F7" s="146">
        <v>16800</v>
      </c>
      <c r="G7" s="146">
        <v>18480</v>
      </c>
      <c r="H7" s="146">
        <v>31416</v>
      </c>
      <c r="I7" s="146">
        <v>36848</v>
      </c>
      <c r="J7" s="146">
        <v>44156</v>
      </c>
      <c r="K7" s="147">
        <v>51464</v>
      </c>
    </row>
    <row r="8" spans="2:11" x14ac:dyDescent="0.45">
      <c r="B8" s="145">
        <f t="shared" si="0"/>
        <v>41313</v>
      </c>
      <c r="C8" s="146">
        <v>30000</v>
      </c>
      <c r="D8" s="146">
        <v>24000</v>
      </c>
      <c r="E8" s="146">
        <v>16800</v>
      </c>
      <c r="F8" s="146">
        <v>8400</v>
      </c>
      <c r="G8" s="146">
        <v>9240</v>
      </c>
      <c r="H8" s="146">
        <v>15708</v>
      </c>
      <c r="I8" s="146">
        <v>18424</v>
      </c>
      <c r="J8" s="146">
        <v>22078</v>
      </c>
      <c r="K8" s="147">
        <v>25732</v>
      </c>
    </row>
    <row r="9" spans="2:11" x14ac:dyDescent="0.45">
      <c r="B9" s="145">
        <f t="shared" si="0"/>
        <v>41320</v>
      </c>
      <c r="C9" s="146">
        <v>25000</v>
      </c>
      <c r="D9" s="146">
        <v>20000</v>
      </c>
      <c r="E9" s="146">
        <v>14000</v>
      </c>
      <c r="F9" s="146">
        <v>7000</v>
      </c>
      <c r="G9" s="146">
        <v>7700</v>
      </c>
      <c r="H9" s="146">
        <v>13090</v>
      </c>
      <c r="I9" s="146">
        <v>15353.333333333299</v>
      </c>
      <c r="J9" s="146">
        <v>18398.333333333299</v>
      </c>
      <c r="K9" s="147">
        <v>21443.333333333299</v>
      </c>
    </row>
    <row r="10" spans="2:11" x14ac:dyDescent="0.45">
      <c r="B10" s="145">
        <f t="shared" si="0"/>
        <v>41327</v>
      </c>
      <c r="C10" s="146">
        <v>15000</v>
      </c>
      <c r="D10" s="146">
        <v>12000</v>
      </c>
      <c r="E10" s="146">
        <v>8400</v>
      </c>
      <c r="F10" s="146">
        <v>4200</v>
      </c>
      <c r="G10" s="146">
        <v>4620</v>
      </c>
      <c r="H10" s="146">
        <v>7854</v>
      </c>
      <c r="I10" s="146">
        <v>9212</v>
      </c>
      <c r="J10" s="146">
        <v>11039</v>
      </c>
      <c r="K10" s="147">
        <v>12866</v>
      </c>
    </row>
    <row r="11" spans="2:11" x14ac:dyDescent="0.45">
      <c r="B11" s="145">
        <f t="shared" si="0"/>
        <v>41334</v>
      </c>
      <c r="C11" s="146">
        <v>10000</v>
      </c>
      <c r="D11" s="146">
        <v>8000</v>
      </c>
      <c r="E11" s="146">
        <v>5600</v>
      </c>
      <c r="F11" s="146">
        <v>2800</v>
      </c>
      <c r="G11" s="146">
        <v>3080</v>
      </c>
      <c r="H11" s="146">
        <v>5236</v>
      </c>
      <c r="I11" s="146">
        <v>6141.3333333333303</v>
      </c>
      <c r="J11" s="146">
        <v>7359.3333333333303</v>
      </c>
      <c r="K11" s="147">
        <v>8577.3333333333303</v>
      </c>
    </row>
    <row r="12" spans="2:11" x14ac:dyDescent="0.45">
      <c r="B12" s="145">
        <f t="shared" si="0"/>
        <v>41341</v>
      </c>
      <c r="C12" s="146">
        <v>40000</v>
      </c>
      <c r="D12" s="146">
        <v>32000</v>
      </c>
      <c r="E12" s="146">
        <v>22400</v>
      </c>
      <c r="F12" s="146">
        <v>11200</v>
      </c>
      <c r="G12" s="146">
        <v>12320</v>
      </c>
      <c r="H12" s="146">
        <v>20944</v>
      </c>
      <c r="I12" s="146">
        <v>24565.333333333299</v>
      </c>
      <c r="J12" s="146">
        <v>29437.333333333299</v>
      </c>
      <c r="K12" s="147">
        <v>34309.333333333299</v>
      </c>
    </row>
    <row r="13" spans="2:11" x14ac:dyDescent="0.45">
      <c r="B13" s="145">
        <f t="shared" si="0"/>
        <v>41348</v>
      </c>
      <c r="C13" s="146">
        <v>25000</v>
      </c>
      <c r="D13" s="146">
        <v>20000</v>
      </c>
      <c r="E13" s="146">
        <v>14000</v>
      </c>
      <c r="F13" s="146">
        <v>7000</v>
      </c>
      <c r="G13" s="146">
        <v>7700</v>
      </c>
      <c r="H13" s="146">
        <v>13090</v>
      </c>
      <c r="I13" s="146">
        <v>15353.333333333299</v>
      </c>
      <c r="J13" s="146">
        <v>18398.333333333299</v>
      </c>
      <c r="K13" s="147">
        <v>21443.333333333299</v>
      </c>
    </row>
    <row r="14" spans="2:11" x14ac:dyDescent="0.45">
      <c r="B14" s="145">
        <f t="shared" si="0"/>
        <v>41355</v>
      </c>
      <c r="C14" s="146">
        <v>30000</v>
      </c>
      <c r="D14" s="146">
        <v>24000</v>
      </c>
      <c r="E14" s="146">
        <v>16800</v>
      </c>
      <c r="F14" s="146">
        <v>8400</v>
      </c>
      <c r="G14" s="146">
        <v>9240</v>
      </c>
      <c r="H14" s="146">
        <v>15708</v>
      </c>
      <c r="I14" s="146">
        <v>18424</v>
      </c>
      <c r="J14" s="146">
        <v>22078</v>
      </c>
      <c r="K14" s="147">
        <v>25732</v>
      </c>
    </row>
    <row r="15" spans="2:11" x14ac:dyDescent="0.45">
      <c r="B15" s="145">
        <f t="shared" si="0"/>
        <v>41362</v>
      </c>
      <c r="C15" s="146">
        <v>50000</v>
      </c>
      <c r="D15" s="146">
        <v>40000</v>
      </c>
      <c r="E15" s="146">
        <v>28000</v>
      </c>
      <c r="F15" s="146">
        <v>14000</v>
      </c>
      <c r="G15" s="146">
        <v>15400</v>
      </c>
      <c r="H15" s="146">
        <v>26180</v>
      </c>
      <c r="I15" s="146">
        <v>30706.666666666701</v>
      </c>
      <c r="J15" s="146">
        <v>36796.666666666701</v>
      </c>
      <c r="K15" s="147">
        <v>42886.666666666701</v>
      </c>
    </row>
    <row r="16" spans="2:11" x14ac:dyDescent="0.45">
      <c r="B16" s="145">
        <f t="shared" si="0"/>
        <v>41369</v>
      </c>
      <c r="C16" s="146">
        <v>60000</v>
      </c>
      <c r="D16" s="146">
        <v>48000</v>
      </c>
      <c r="E16" s="146">
        <v>33600</v>
      </c>
      <c r="F16" s="146">
        <v>16800</v>
      </c>
      <c r="G16" s="146">
        <v>18480</v>
      </c>
      <c r="H16" s="146">
        <v>31416</v>
      </c>
      <c r="I16" s="146">
        <v>36848</v>
      </c>
      <c r="J16" s="146">
        <v>44156</v>
      </c>
      <c r="K16" s="147">
        <v>51464</v>
      </c>
    </row>
    <row r="17" spans="2:11" x14ac:dyDescent="0.45">
      <c r="B17" s="145">
        <f t="shared" si="0"/>
        <v>41376</v>
      </c>
      <c r="C17" s="146">
        <v>30000</v>
      </c>
      <c r="D17" s="146">
        <v>24000</v>
      </c>
      <c r="E17" s="146">
        <v>16800</v>
      </c>
      <c r="F17" s="146">
        <v>8400</v>
      </c>
      <c r="G17" s="146">
        <v>9240</v>
      </c>
      <c r="H17" s="146">
        <v>15708</v>
      </c>
      <c r="I17" s="146">
        <v>18424</v>
      </c>
      <c r="J17" s="146">
        <v>22078</v>
      </c>
      <c r="K17" s="147">
        <v>25732</v>
      </c>
    </row>
    <row r="18" spans="2:11" x14ac:dyDescent="0.45">
      <c r="B18" s="145">
        <f t="shared" si="0"/>
        <v>41383</v>
      </c>
      <c r="C18" s="146">
        <v>25000</v>
      </c>
      <c r="D18" s="146">
        <v>20000</v>
      </c>
      <c r="E18" s="146">
        <v>14000</v>
      </c>
      <c r="F18" s="146">
        <v>7000</v>
      </c>
      <c r="G18" s="146">
        <v>7700</v>
      </c>
      <c r="H18" s="146">
        <v>13090</v>
      </c>
      <c r="I18" s="146">
        <v>15353.333333333299</v>
      </c>
      <c r="J18" s="146">
        <v>18398.333333333299</v>
      </c>
      <c r="K18" s="147">
        <v>21443.333333333299</v>
      </c>
    </row>
    <row r="19" spans="2:11" x14ac:dyDescent="0.45">
      <c r="B19" s="145">
        <f t="shared" si="0"/>
        <v>41390</v>
      </c>
      <c r="C19" s="146">
        <v>15000</v>
      </c>
      <c r="D19" s="146">
        <v>12000</v>
      </c>
      <c r="E19" s="146">
        <v>8400</v>
      </c>
      <c r="F19" s="146">
        <v>4200</v>
      </c>
      <c r="G19" s="146">
        <v>4620</v>
      </c>
      <c r="H19" s="146">
        <v>7854</v>
      </c>
      <c r="I19" s="146">
        <v>9212</v>
      </c>
      <c r="J19" s="146">
        <v>11039</v>
      </c>
      <c r="K19" s="147">
        <v>12866</v>
      </c>
    </row>
    <row r="20" spans="2:11" x14ac:dyDescent="0.45">
      <c r="B20" s="145">
        <f t="shared" si="0"/>
        <v>41397</v>
      </c>
      <c r="C20" s="146">
        <v>10000</v>
      </c>
      <c r="D20" s="146">
        <v>8000</v>
      </c>
      <c r="E20" s="146">
        <v>5600</v>
      </c>
      <c r="F20" s="146">
        <v>2800</v>
      </c>
      <c r="G20" s="146">
        <v>3080</v>
      </c>
      <c r="H20" s="146">
        <v>5236</v>
      </c>
      <c r="I20" s="146">
        <v>6141.3333333333303</v>
      </c>
      <c r="J20" s="146">
        <v>7359.3333333333303</v>
      </c>
      <c r="K20" s="147">
        <v>8577.3333333333303</v>
      </c>
    </row>
    <row r="21" spans="2:11" x14ac:dyDescent="0.45">
      <c r="B21" s="145">
        <f t="shared" si="0"/>
        <v>41404</v>
      </c>
      <c r="C21" s="146">
        <v>40000</v>
      </c>
      <c r="D21" s="146">
        <v>32000</v>
      </c>
      <c r="E21" s="146">
        <v>22400</v>
      </c>
      <c r="F21" s="146">
        <v>11200</v>
      </c>
      <c r="G21" s="146">
        <v>12320</v>
      </c>
      <c r="H21" s="146">
        <v>20944</v>
      </c>
      <c r="I21" s="146">
        <v>24565.333333333299</v>
      </c>
      <c r="J21" s="146">
        <v>29437.333333333299</v>
      </c>
      <c r="K21" s="147">
        <v>34309.333333333299</v>
      </c>
    </row>
    <row r="22" spans="2:11" x14ac:dyDescent="0.45">
      <c r="B22" s="145">
        <f t="shared" si="0"/>
        <v>41411</v>
      </c>
      <c r="C22" s="146">
        <v>15000</v>
      </c>
      <c r="D22" s="146">
        <v>12000</v>
      </c>
      <c r="E22" s="146">
        <v>8400</v>
      </c>
      <c r="F22" s="146">
        <v>4200</v>
      </c>
      <c r="G22" s="146">
        <v>4620</v>
      </c>
      <c r="H22" s="146">
        <v>7854</v>
      </c>
      <c r="I22" s="146">
        <v>9212</v>
      </c>
      <c r="J22" s="146">
        <v>11039</v>
      </c>
      <c r="K22" s="147">
        <v>12866</v>
      </c>
    </row>
    <row r="23" spans="2:11" x14ac:dyDescent="0.45">
      <c r="B23" s="145">
        <f t="shared" si="0"/>
        <v>41418</v>
      </c>
      <c r="C23" s="146">
        <v>10000</v>
      </c>
      <c r="D23" s="146">
        <v>8000</v>
      </c>
      <c r="E23" s="146">
        <v>5600</v>
      </c>
      <c r="F23" s="146">
        <v>2800</v>
      </c>
      <c r="G23" s="146">
        <v>3080</v>
      </c>
      <c r="H23" s="146">
        <v>5236</v>
      </c>
      <c r="I23" s="146">
        <v>6141.3333333333303</v>
      </c>
      <c r="J23" s="146">
        <v>7359.3333333333303</v>
      </c>
      <c r="K23" s="147">
        <v>8577.3333333333303</v>
      </c>
    </row>
    <row r="24" spans="2:11" x14ac:dyDescent="0.45">
      <c r="B24" s="145">
        <f t="shared" si="0"/>
        <v>41425</v>
      </c>
      <c r="C24" s="146">
        <v>40000</v>
      </c>
      <c r="D24" s="146">
        <v>32000</v>
      </c>
      <c r="E24" s="146">
        <v>22400</v>
      </c>
      <c r="F24" s="146">
        <v>11200</v>
      </c>
      <c r="G24" s="146">
        <v>12320</v>
      </c>
      <c r="H24" s="146">
        <v>20944</v>
      </c>
      <c r="I24" s="146">
        <v>24565.333333333299</v>
      </c>
      <c r="J24" s="146">
        <v>29437.333333333299</v>
      </c>
      <c r="K24" s="147">
        <v>34309.333333333299</v>
      </c>
    </row>
    <row r="25" spans="2:11" x14ac:dyDescent="0.45">
      <c r="B25" s="145">
        <f t="shared" si="0"/>
        <v>41432</v>
      </c>
      <c r="C25" s="146">
        <v>25000</v>
      </c>
      <c r="D25" s="146">
        <v>20000</v>
      </c>
      <c r="E25" s="146">
        <v>14000</v>
      </c>
      <c r="F25" s="146">
        <v>7000</v>
      </c>
      <c r="G25" s="146">
        <v>7700</v>
      </c>
      <c r="H25" s="146">
        <v>13090</v>
      </c>
      <c r="I25" s="146">
        <v>15353.333333333299</v>
      </c>
      <c r="J25" s="146">
        <v>18398.333333333299</v>
      </c>
      <c r="K25" s="147">
        <v>21443.333333333299</v>
      </c>
    </row>
    <row r="26" spans="2:11" x14ac:dyDescent="0.45">
      <c r="B26" s="145">
        <f t="shared" si="0"/>
        <v>41439</v>
      </c>
      <c r="C26" s="146">
        <v>30000</v>
      </c>
      <c r="D26" s="146">
        <v>24000</v>
      </c>
      <c r="E26" s="146">
        <v>16800</v>
      </c>
      <c r="F26" s="146">
        <v>8400</v>
      </c>
      <c r="G26" s="146">
        <v>9240</v>
      </c>
      <c r="H26" s="146">
        <v>15708</v>
      </c>
      <c r="I26" s="146">
        <v>18424</v>
      </c>
      <c r="J26" s="146">
        <v>22078</v>
      </c>
      <c r="K26" s="147">
        <v>25732</v>
      </c>
    </row>
    <row r="27" spans="2:11" x14ac:dyDescent="0.45">
      <c r="B27" s="145">
        <f t="shared" si="0"/>
        <v>41446</v>
      </c>
      <c r="C27" s="146">
        <v>50000</v>
      </c>
      <c r="D27" s="146">
        <v>40000</v>
      </c>
      <c r="E27" s="146">
        <v>28000</v>
      </c>
      <c r="F27" s="146">
        <v>14000</v>
      </c>
      <c r="G27" s="146">
        <v>15400</v>
      </c>
      <c r="H27" s="146">
        <v>26180</v>
      </c>
      <c r="I27" s="146">
        <v>30706.666666666701</v>
      </c>
      <c r="J27" s="146">
        <v>36796.666666666701</v>
      </c>
      <c r="K27" s="147">
        <v>42886.666666666701</v>
      </c>
    </row>
    <row r="28" spans="2:11" x14ac:dyDescent="0.45">
      <c r="B28" s="145">
        <f t="shared" si="0"/>
        <v>41453</v>
      </c>
      <c r="C28" s="146">
        <v>60000</v>
      </c>
      <c r="D28" s="146">
        <v>48000</v>
      </c>
      <c r="E28" s="146">
        <v>33600</v>
      </c>
      <c r="F28" s="146">
        <v>16800</v>
      </c>
      <c r="G28" s="146">
        <v>18480</v>
      </c>
      <c r="H28" s="146">
        <v>31416</v>
      </c>
      <c r="I28" s="146">
        <v>36848</v>
      </c>
      <c r="J28" s="146">
        <v>44156</v>
      </c>
      <c r="K28" s="147">
        <v>51464</v>
      </c>
    </row>
    <row r="29" spans="2:11" x14ac:dyDescent="0.45">
      <c r="B29" s="145">
        <f t="shared" si="0"/>
        <v>41460</v>
      </c>
      <c r="C29" s="146">
        <v>30000</v>
      </c>
      <c r="D29" s="146">
        <v>24000</v>
      </c>
      <c r="E29" s="146">
        <v>16800</v>
      </c>
      <c r="F29" s="146">
        <v>8400</v>
      </c>
      <c r="G29" s="146">
        <v>9240</v>
      </c>
      <c r="H29" s="146">
        <v>15708</v>
      </c>
      <c r="I29" s="146">
        <v>18424</v>
      </c>
      <c r="J29" s="146">
        <v>22078</v>
      </c>
      <c r="K29" s="147">
        <v>25732</v>
      </c>
    </row>
    <row r="30" spans="2:11" x14ac:dyDescent="0.45">
      <c r="B30" s="145">
        <f t="shared" si="0"/>
        <v>41467</v>
      </c>
      <c r="C30" s="146">
        <v>25000</v>
      </c>
      <c r="D30" s="146">
        <v>20000</v>
      </c>
      <c r="E30" s="146">
        <v>14000</v>
      </c>
      <c r="F30" s="146">
        <v>7000</v>
      </c>
      <c r="G30" s="146">
        <v>7700</v>
      </c>
      <c r="H30" s="146">
        <v>13090</v>
      </c>
      <c r="I30" s="146">
        <v>15353.333333333299</v>
      </c>
      <c r="J30" s="146">
        <v>18398.333333333299</v>
      </c>
      <c r="K30" s="147">
        <v>21443.333333333299</v>
      </c>
    </row>
    <row r="31" spans="2:11" x14ac:dyDescent="0.45">
      <c r="B31" s="145">
        <f t="shared" si="0"/>
        <v>41474</v>
      </c>
      <c r="C31" s="146">
        <v>15000</v>
      </c>
      <c r="D31" s="146">
        <v>12000</v>
      </c>
      <c r="E31" s="146">
        <v>8400</v>
      </c>
      <c r="F31" s="146">
        <v>4200</v>
      </c>
      <c r="G31" s="146">
        <v>4620</v>
      </c>
      <c r="H31" s="146">
        <v>7854</v>
      </c>
      <c r="I31" s="146">
        <v>9212</v>
      </c>
      <c r="J31" s="146">
        <v>11039</v>
      </c>
      <c r="K31" s="147">
        <v>12866</v>
      </c>
    </row>
    <row r="32" spans="2:11" x14ac:dyDescent="0.45">
      <c r="B32" s="145">
        <f t="shared" si="0"/>
        <v>41481</v>
      </c>
      <c r="C32" s="146">
        <v>10000</v>
      </c>
      <c r="D32" s="146">
        <v>8000</v>
      </c>
      <c r="E32" s="146">
        <v>5600</v>
      </c>
      <c r="F32" s="146">
        <v>2800</v>
      </c>
      <c r="G32" s="146">
        <v>3080</v>
      </c>
      <c r="H32" s="146">
        <v>5236</v>
      </c>
      <c r="I32" s="146">
        <v>6141.3333333333303</v>
      </c>
      <c r="J32" s="146">
        <v>7359.3333333333303</v>
      </c>
      <c r="K32" s="147">
        <v>8577.3333333333303</v>
      </c>
    </row>
    <row r="33" spans="2:11" x14ac:dyDescent="0.45">
      <c r="B33" s="145">
        <f t="shared" si="0"/>
        <v>41488</v>
      </c>
      <c r="C33" s="146">
        <v>40000</v>
      </c>
      <c r="D33" s="146">
        <v>32000</v>
      </c>
      <c r="E33" s="146">
        <v>22400</v>
      </c>
      <c r="F33" s="146">
        <v>11200</v>
      </c>
      <c r="G33" s="146">
        <v>12320</v>
      </c>
      <c r="H33" s="146">
        <v>20944</v>
      </c>
      <c r="I33" s="146">
        <v>24565.333333333299</v>
      </c>
      <c r="J33" s="146">
        <v>29437.333333333299</v>
      </c>
      <c r="K33" s="147">
        <v>34309.333333333299</v>
      </c>
    </row>
    <row r="34" spans="2:11" x14ac:dyDescent="0.45">
      <c r="B34" s="145">
        <f t="shared" si="0"/>
        <v>41495</v>
      </c>
      <c r="C34" s="146">
        <v>40000</v>
      </c>
      <c r="D34" s="146">
        <v>32000</v>
      </c>
      <c r="E34" s="146">
        <v>22400</v>
      </c>
      <c r="F34" s="146">
        <v>11200</v>
      </c>
      <c r="G34" s="146">
        <v>12320</v>
      </c>
      <c r="H34" s="146">
        <v>20944</v>
      </c>
      <c r="I34" s="146">
        <v>24565.333333333299</v>
      </c>
      <c r="J34" s="146">
        <v>29437.333333333299</v>
      </c>
      <c r="K34" s="147">
        <v>34309.333333333299</v>
      </c>
    </row>
    <row r="35" spans="2:11" x14ac:dyDescent="0.45">
      <c r="B35" s="145">
        <f t="shared" si="0"/>
        <v>41502</v>
      </c>
      <c r="C35" s="146">
        <v>15000</v>
      </c>
      <c r="D35" s="146">
        <v>12000</v>
      </c>
      <c r="E35" s="146">
        <v>8400</v>
      </c>
      <c r="F35" s="146">
        <v>4200</v>
      </c>
      <c r="G35" s="146">
        <v>4620</v>
      </c>
      <c r="H35" s="146">
        <v>7854</v>
      </c>
      <c r="I35" s="146">
        <v>9212</v>
      </c>
      <c r="J35" s="146">
        <v>11039</v>
      </c>
      <c r="K35" s="147">
        <v>12866</v>
      </c>
    </row>
    <row r="36" spans="2:11" x14ac:dyDescent="0.45">
      <c r="B36" s="145">
        <f t="shared" si="0"/>
        <v>41509</v>
      </c>
      <c r="C36" s="146">
        <v>10000</v>
      </c>
      <c r="D36" s="146">
        <v>8000</v>
      </c>
      <c r="E36" s="146">
        <v>5600</v>
      </c>
      <c r="F36" s="146">
        <v>2800</v>
      </c>
      <c r="G36" s="146">
        <v>3080</v>
      </c>
      <c r="H36" s="146">
        <v>5236</v>
      </c>
      <c r="I36" s="146">
        <v>6141.3333333333303</v>
      </c>
      <c r="J36" s="146">
        <v>7359.3333333333303</v>
      </c>
      <c r="K36" s="147">
        <v>8577.3333333333303</v>
      </c>
    </row>
    <row r="37" spans="2:11" x14ac:dyDescent="0.45">
      <c r="B37" s="145">
        <f t="shared" si="0"/>
        <v>41516</v>
      </c>
      <c r="C37" s="146">
        <v>40000</v>
      </c>
      <c r="D37" s="146">
        <v>32000</v>
      </c>
      <c r="E37" s="146">
        <v>22400</v>
      </c>
      <c r="F37" s="146">
        <v>11200</v>
      </c>
      <c r="G37" s="146">
        <v>12320</v>
      </c>
      <c r="H37" s="146">
        <v>20944</v>
      </c>
      <c r="I37" s="146">
        <v>24565.333333333299</v>
      </c>
      <c r="J37" s="146">
        <v>29437.333333333299</v>
      </c>
      <c r="K37" s="147">
        <v>34309.333333333299</v>
      </c>
    </row>
    <row r="38" spans="2:11" x14ac:dyDescent="0.45">
      <c r="B38" s="145">
        <f t="shared" si="0"/>
        <v>41523</v>
      </c>
      <c r="C38" s="146">
        <v>25000</v>
      </c>
      <c r="D38" s="146">
        <v>20000</v>
      </c>
      <c r="E38" s="146">
        <v>14000</v>
      </c>
      <c r="F38" s="146">
        <v>7000</v>
      </c>
      <c r="G38" s="146">
        <v>7700</v>
      </c>
      <c r="H38" s="146">
        <v>13090</v>
      </c>
      <c r="I38" s="146">
        <v>15353.333333333299</v>
      </c>
      <c r="J38" s="146">
        <v>18398.333333333299</v>
      </c>
      <c r="K38" s="147">
        <v>21443.333333333299</v>
      </c>
    </row>
    <row r="39" spans="2:11" x14ac:dyDescent="0.45">
      <c r="B39" s="145">
        <f t="shared" si="0"/>
        <v>41530</v>
      </c>
      <c r="C39" s="146">
        <v>30000</v>
      </c>
      <c r="D39" s="146">
        <v>24000</v>
      </c>
      <c r="E39" s="146">
        <v>16800</v>
      </c>
      <c r="F39" s="146">
        <v>8400</v>
      </c>
      <c r="G39" s="146">
        <v>9240</v>
      </c>
      <c r="H39" s="146">
        <v>15708</v>
      </c>
      <c r="I39" s="146">
        <v>18424</v>
      </c>
      <c r="J39" s="146">
        <v>22078</v>
      </c>
      <c r="K39" s="147">
        <v>25732</v>
      </c>
    </row>
    <row r="40" spans="2:11" x14ac:dyDescent="0.45">
      <c r="B40" s="145">
        <f t="shared" si="0"/>
        <v>41537</v>
      </c>
      <c r="C40" s="146">
        <v>50000</v>
      </c>
      <c r="D40" s="146">
        <v>40000</v>
      </c>
      <c r="E40" s="146">
        <v>28000</v>
      </c>
      <c r="F40" s="146">
        <v>14000</v>
      </c>
      <c r="G40" s="146">
        <v>15400</v>
      </c>
      <c r="H40" s="146">
        <v>26180</v>
      </c>
      <c r="I40" s="146">
        <v>30706.666666666701</v>
      </c>
      <c r="J40" s="146">
        <v>36796.666666666701</v>
      </c>
      <c r="K40" s="147">
        <v>42886.666666666701</v>
      </c>
    </row>
    <row r="41" spans="2:11" x14ac:dyDescent="0.45">
      <c r="B41" s="145">
        <f t="shared" si="0"/>
        <v>41544</v>
      </c>
      <c r="C41" s="146">
        <v>60000</v>
      </c>
      <c r="D41" s="146">
        <v>48000</v>
      </c>
      <c r="E41" s="146">
        <v>33600</v>
      </c>
      <c r="F41" s="146">
        <v>16800</v>
      </c>
      <c r="G41" s="146">
        <v>18480</v>
      </c>
      <c r="H41" s="146">
        <v>31416</v>
      </c>
      <c r="I41" s="146">
        <v>36848</v>
      </c>
      <c r="J41" s="146">
        <v>44156</v>
      </c>
      <c r="K41" s="147">
        <v>51464</v>
      </c>
    </row>
    <row r="42" spans="2:11" x14ac:dyDescent="0.45">
      <c r="B42" s="145">
        <f t="shared" si="0"/>
        <v>41551</v>
      </c>
      <c r="C42" s="146">
        <v>30000</v>
      </c>
      <c r="D42" s="146">
        <v>24000</v>
      </c>
      <c r="E42" s="146">
        <v>16800</v>
      </c>
      <c r="F42" s="146">
        <v>8400</v>
      </c>
      <c r="G42" s="146">
        <v>9240</v>
      </c>
      <c r="H42" s="146">
        <v>15708</v>
      </c>
      <c r="I42" s="146">
        <v>18424</v>
      </c>
      <c r="J42" s="146">
        <v>22078</v>
      </c>
      <c r="K42" s="147">
        <v>25732</v>
      </c>
    </row>
    <row r="43" spans="2:11" x14ac:dyDescent="0.45">
      <c r="B43" s="145">
        <f t="shared" si="0"/>
        <v>41558</v>
      </c>
      <c r="C43" s="146">
        <v>30000</v>
      </c>
      <c r="D43" s="146">
        <v>24000</v>
      </c>
      <c r="E43" s="146">
        <v>16800</v>
      </c>
      <c r="F43" s="146">
        <v>8400</v>
      </c>
      <c r="G43" s="146">
        <v>9240</v>
      </c>
      <c r="H43" s="146">
        <v>15708</v>
      </c>
      <c r="I43" s="146">
        <v>18424</v>
      </c>
      <c r="J43" s="146">
        <v>22078</v>
      </c>
      <c r="K43" s="147">
        <v>25732</v>
      </c>
    </row>
    <row r="44" spans="2:11" x14ac:dyDescent="0.45">
      <c r="B44" s="145">
        <f t="shared" si="0"/>
        <v>41565</v>
      </c>
      <c r="C44" s="146">
        <v>25000</v>
      </c>
      <c r="D44" s="146">
        <v>20000</v>
      </c>
      <c r="E44" s="146">
        <v>14000</v>
      </c>
      <c r="F44" s="146">
        <v>7000</v>
      </c>
      <c r="G44" s="146">
        <v>7700</v>
      </c>
      <c r="H44" s="146">
        <v>13090</v>
      </c>
      <c r="I44" s="146">
        <v>15353.333333333299</v>
      </c>
      <c r="J44" s="146">
        <v>18398.333333333299</v>
      </c>
      <c r="K44" s="147">
        <v>21443.333333333299</v>
      </c>
    </row>
    <row r="45" spans="2:11" x14ac:dyDescent="0.45">
      <c r="B45" s="145">
        <f t="shared" si="0"/>
        <v>41572</v>
      </c>
      <c r="C45" s="146">
        <v>15000</v>
      </c>
      <c r="D45" s="146">
        <v>12000</v>
      </c>
      <c r="E45" s="146">
        <v>8400</v>
      </c>
      <c r="F45" s="146">
        <v>4200</v>
      </c>
      <c r="G45" s="146">
        <v>4620</v>
      </c>
      <c r="H45" s="146">
        <v>7854</v>
      </c>
      <c r="I45" s="146">
        <v>9212</v>
      </c>
      <c r="J45" s="146">
        <v>11039</v>
      </c>
      <c r="K45" s="147">
        <v>12866</v>
      </c>
    </row>
    <row r="46" spans="2:11" x14ac:dyDescent="0.45">
      <c r="B46" s="145">
        <f t="shared" si="0"/>
        <v>41579</v>
      </c>
      <c r="C46" s="146">
        <v>10000</v>
      </c>
      <c r="D46" s="146">
        <v>8000</v>
      </c>
      <c r="E46" s="146">
        <v>5600</v>
      </c>
      <c r="F46" s="146">
        <v>2800</v>
      </c>
      <c r="G46" s="146">
        <v>3080</v>
      </c>
      <c r="H46" s="146">
        <v>5236</v>
      </c>
      <c r="I46" s="146">
        <v>6141.3333333333303</v>
      </c>
      <c r="J46" s="146">
        <v>7359.3333333333303</v>
      </c>
      <c r="K46" s="147">
        <v>8577.3333333333303</v>
      </c>
    </row>
    <row r="47" spans="2:11" x14ac:dyDescent="0.45">
      <c r="B47" s="145">
        <f t="shared" si="0"/>
        <v>41586</v>
      </c>
      <c r="C47" s="146">
        <v>40000</v>
      </c>
      <c r="D47" s="146">
        <v>32000</v>
      </c>
      <c r="E47" s="146">
        <v>22400</v>
      </c>
      <c r="F47" s="146">
        <v>11200</v>
      </c>
      <c r="G47" s="146">
        <v>12320</v>
      </c>
      <c r="H47" s="146">
        <v>20944</v>
      </c>
      <c r="I47" s="146">
        <v>24565.333333333299</v>
      </c>
      <c r="J47" s="146">
        <v>29437.333333333299</v>
      </c>
      <c r="K47" s="147">
        <v>34309.333333333299</v>
      </c>
    </row>
    <row r="48" spans="2:11" x14ac:dyDescent="0.45">
      <c r="B48" s="145">
        <f t="shared" si="0"/>
        <v>41593</v>
      </c>
      <c r="C48" s="146">
        <v>40000</v>
      </c>
      <c r="D48" s="146">
        <v>32000</v>
      </c>
      <c r="E48" s="146">
        <v>22400</v>
      </c>
      <c r="F48" s="146">
        <v>11200</v>
      </c>
      <c r="G48" s="146">
        <v>12320</v>
      </c>
      <c r="H48" s="146">
        <v>20944</v>
      </c>
      <c r="I48" s="146">
        <v>24565.333333333299</v>
      </c>
      <c r="J48" s="146">
        <v>29437.333333333299</v>
      </c>
      <c r="K48" s="147">
        <v>34309.333333333299</v>
      </c>
    </row>
    <row r="49" spans="2:11" x14ac:dyDescent="0.45">
      <c r="B49" s="145">
        <f t="shared" si="0"/>
        <v>41600</v>
      </c>
      <c r="C49" s="146">
        <v>15000</v>
      </c>
      <c r="D49" s="146">
        <v>12000</v>
      </c>
      <c r="E49" s="146">
        <v>8400</v>
      </c>
      <c r="F49" s="146">
        <v>4200</v>
      </c>
      <c r="G49" s="146">
        <v>4620</v>
      </c>
      <c r="H49" s="146">
        <v>7854</v>
      </c>
      <c r="I49" s="146">
        <v>9212</v>
      </c>
      <c r="J49" s="146">
        <v>11039</v>
      </c>
      <c r="K49" s="147">
        <v>12866</v>
      </c>
    </row>
    <row r="50" spans="2:11" x14ac:dyDescent="0.45">
      <c r="B50" s="145">
        <f t="shared" si="0"/>
        <v>41607</v>
      </c>
      <c r="C50" s="146">
        <v>10000</v>
      </c>
      <c r="D50" s="146">
        <v>8000</v>
      </c>
      <c r="E50" s="146">
        <v>5600</v>
      </c>
      <c r="F50" s="146">
        <v>2800</v>
      </c>
      <c r="G50" s="146">
        <v>3080</v>
      </c>
      <c r="H50" s="146">
        <v>5236</v>
      </c>
      <c r="I50" s="146">
        <v>6141.3333333333303</v>
      </c>
      <c r="J50" s="146">
        <v>7359.3333333333303</v>
      </c>
      <c r="K50" s="147">
        <v>8577.3333333333303</v>
      </c>
    </row>
    <row r="51" spans="2:11" x14ac:dyDescent="0.45">
      <c r="B51" s="145">
        <f t="shared" si="0"/>
        <v>41614</v>
      </c>
      <c r="C51" s="146">
        <v>40000</v>
      </c>
      <c r="D51" s="146">
        <v>32000</v>
      </c>
      <c r="E51" s="146">
        <v>22400</v>
      </c>
      <c r="F51" s="146">
        <v>11200</v>
      </c>
      <c r="G51" s="146">
        <v>12320</v>
      </c>
      <c r="H51" s="146">
        <v>20944</v>
      </c>
      <c r="I51" s="146">
        <v>24565.333333333299</v>
      </c>
      <c r="J51" s="146">
        <v>29437.333333333299</v>
      </c>
      <c r="K51" s="147">
        <v>34309.333333333299</v>
      </c>
    </row>
    <row r="52" spans="2:11" x14ac:dyDescent="0.45">
      <c r="B52" s="145">
        <f t="shared" si="0"/>
        <v>41621</v>
      </c>
      <c r="C52" s="146">
        <v>15000</v>
      </c>
      <c r="D52" s="146">
        <v>12000</v>
      </c>
      <c r="E52" s="146">
        <v>8400</v>
      </c>
      <c r="F52" s="146">
        <v>4200</v>
      </c>
      <c r="G52" s="146">
        <v>4620</v>
      </c>
      <c r="H52" s="146">
        <v>7854</v>
      </c>
      <c r="I52" s="146">
        <v>9212</v>
      </c>
      <c r="J52" s="146">
        <v>11039</v>
      </c>
      <c r="K52" s="147">
        <v>12866</v>
      </c>
    </row>
    <row r="53" spans="2:11" x14ac:dyDescent="0.45">
      <c r="B53" s="145">
        <f t="shared" si="0"/>
        <v>41628</v>
      </c>
      <c r="C53" s="146">
        <v>10000</v>
      </c>
      <c r="D53" s="146">
        <v>8000</v>
      </c>
      <c r="E53" s="146">
        <v>5600</v>
      </c>
      <c r="F53" s="146">
        <v>2800</v>
      </c>
      <c r="G53" s="146">
        <v>3080</v>
      </c>
      <c r="H53" s="146">
        <v>5236</v>
      </c>
      <c r="I53" s="146">
        <v>6141.3333333333303</v>
      </c>
      <c r="J53" s="146">
        <v>7359.3333333333303</v>
      </c>
      <c r="K53" s="147">
        <v>8577.3333333333303</v>
      </c>
    </row>
    <row r="54" spans="2:11" ht="14.65" thickBot="1" x14ac:dyDescent="0.5">
      <c r="B54" s="148">
        <f t="shared" si="0"/>
        <v>41635</v>
      </c>
      <c r="C54" s="149">
        <v>40000</v>
      </c>
      <c r="D54" s="149">
        <v>32000</v>
      </c>
      <c r="E54" s="149">
        <v>22400</v>
      </c>
      <c r="F54" s="149">
        <v>11200</v>
      </c>
      <c r="G54" s="149">
        <v>12320</v>
      </c>
      <c r="H54" s="149">
        <v>20944</v>
      </c>
      <c r="I54" s="149">
        <v>24565.333333333299</v>
      </c>
      <c r="J54" s="149">
        <v>29437.333333333299</v>
      </c>
      <c r="K54" s="150">
        <v>34309.333333333299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R10"/>
  <sheetViews>
    <sheetView workbookViewId="0">
      <selection activeCell="G4" sqref="G4"/>
    </sheetView>
  </sheetViews>
  <sheetFormatPr defaultRowHeight="14.25" x14ac:dyDescent="0.45"/>
  <sheetData>
    <row r="2" spans="2:18" x14ac:dyDescent="0.45">
      <c r="B2" t="s">
        <v>129</v>
      </c>
      <c r="C2" t="s">
        <v>417</v>
      </c>
    </row>
    <row r="3" spans="2:18" x14ac:dyDescent="0.45">
      <c r="B3">
        <v>40</v>
      </c>
      <c r="C3">
        <v>20</v>
      </c>
    </row>
    <row r="4" spans="2:18" x14ac:dyDescent="0.45">
      <c r="B4">
        <v>50</v>
      </c>
      <c r="C4">
        <v>17</v>
      </c>
    </row>
    <row r="5" spans="2:18" x14ac:dyDescent="0.45">
      <c r="B5">
        <v>70</v>
      </c>
      <c r="C5">
        <v>40</v>
      </c>
    </row>
    <row r="6" spans="2:18" x14ac:dyDescent="0.45">
      <c r="B6">
        <v>81</v>
      </c>
      <c r="C6">
        <v>28</v>
      </c>
    </row>
    <row r="7" spans="2:18" x14ac:dyDescent="0.45">
      <c r="B7">
        <v>92</v>
      </c>
      <c r="C7">
        <v>45</v>
      </c>
    </row>
    <row r="10" spans="2:18" x14ac:dyDescent="0.45">
      <c r="B10" s="154" t="s">
        <v>418</v>
      </c>
      <c r="J10" s="154" t="s">
        <v>423</v>
      </c>
      <c r="R10" s="154" t="s">
        <v>419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36"/>
  <sheetViews>
    <sheetView workbookViewId="0">
      <selection activeCell="W2" sqref="W2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  <col min="9" max="9" width="6.265625" customWidth="1"/>
    <col min="10" max="10" width="5" bestFit="1" customWidth="1"/>
    <col min="11" max="11" width="7.265625" bestFit="1" customWidth="1"/>
    <col min="12" max="12" width="9.265625" bestFit="1" customWidth="1"/>
    <col min="17" max="17" width="4.59765625" customWidth="1"/>
    <col min="18" max="18" width="5" bestFit="1" customWidth="1"/>
    <col min="19" max="19" width="7.265625" bestFit="1" customWidth="1"/>
    <col min="20" max="20" width="9.265625" bestFit="1" customWidth="1"/>
  </cols>
  <sheetData>
    <row r="1" spans="2:20" ht="14.65" thickBot="1" x14ac:dyDescent="0.5"/>
    <row r="2" spans="2:20" ht="28.5" x14ac:dyDescent="0.45">
      <c r="B2" s="127" t="s">
        <v>405</v>
      </c>
      <c r="C2" s="151" t="s">
        <v>404</v>
      </c>
      <c r="D2" s="126" t="s">
        <v>416</v>
      </c>
      <c r="F2" s="155" t="s">
        <v>420</v>
      </c>
      <c r="J2" s="125" t="s">
        <v>405</v>
      </c>
      <c r="K2" s="151" t="s">
        <v>404</v>
      </c>
      <c r="L2" s="126" t="s">
        <v>416</v>
      </c>
      <c r="N2" s="155" t="s">
        <v>420</v>
      </c>
      <c r="R2" s="127"/>
      <c r="S2" s="151" t="s">
        <v>404</v>
      </c>
      <c r="T2" s="126" t="s">
        <v>416</v>
      </c>
    </row>
    <row r="3" spans="2:20" x14ac:dyDescent="0.45">
      <c r="B3" s="131">
        <v>1980</v>
      </c>
      <c r="C3" s="152">
        <v>10.28</v>
      </c>
      <c r="D3" s="122">
        <f>C3*2500</f>
        <v>25700</v>
      </c>
      <c r="J3" s="131">
        <v>1980</v>
      </c>
      <c r="K3" s="152">
        <v>10.28</v>
      </c>
      <c r="L3" s="122">
        <f>K3*2500</f>
        <v>25700</v>
      </c>
      <c r="R3" s="131">
        <v>1980</v>
      </c>
      <c r="S3" s="152">
        <v>10.28</v>
      </c>
      <c r="T3" s="122">
        <f>S3*2500</f>
        <v>25700</v>
      </c>
    </row>
    <row r="4" spans="2:20" x14ac:dyDescent="0.45">
      <c r="B4" s="131">
        <v>1981</v>
      </c>
      <c r="C4" s="152">
        <v>10.01</v>
      </c>
      <c r="D4" s="122">
        <f t="shared" ref="D4:D36" si="0">C4*2500</f>
        <v>25025</v>
      </c>
      <c r="J4" s="131">
        <v>1981</v>
      </c>
      <c r="K4" s="152">
        <v>10.01</v>
      </c>
      <c r="L4" s="122">
        <f t="shared" ref="L4:L36" si="1">K4*2500</f>
        <v>25025</v>
      </c>
      <c r="R4" s="131">
        <v>1981</v>
      </c>
      <c r="S4" s="152">
        <v>10.01</v>
      </c>
      <c r="T4" s="122">
        <f t="shared" ref="T4:T36" si="2">S4*2500</f>
        <v>25025</v>
      </c>
    </row>
    <row r="5" spans="2:20" x14ac:dyDescent="0.45">
      <c r="B5" s="131">
        <v>1982</v>
      </c>
      <c r="C5" s="152">
        <v>16.079999999999998</v>
      </c>
      <c r="D5" s="122">
        <f t="shared" si="0"/>
        <v>40199.999999999993</v>
      </c>
      <c r="J5" s="131">
        <v>1982</v>
      </c>
      <c r="K5" s="152">
        <v>16.079999999999998</v>
      </c>
      <c r="L5" s="122">
        <f t="shared" si="1"/>
        <v>40199.999999999993</v>
      </c>
      <c r="R5" s="131">
        <v>1982</v>
      </c>
      <c r="S5" s="152">
        <v>16.079999999999998</v>
      </c>
      <c r="T5" s="122">
        <f t="shared" si="2"/>
        <v>40199.999999999993</v>
      </c>
    </row>
    <row r="6" spans="2:20" x14ac:dyDescent="0.45">
      <c r="B6" s="131">
        <v>1983</v>
      </c>
      <c r="C6" s="152">
        <v>21.61</v>
      </c>
      <c r="D6" s="122">
        <f t="shared" si="0"/>
        <v>54025</v>
      </c>
      <c r="J6" s="131">
        <v>1983</v>
      </c>
      <c r="K6" s="152">
        <v>21.61</v>
      </c>
      <c r="L6" s="122">
        <f t="shared" si="1"/>
        <v>54025</v>
      </c>
      <c r="R6" s="131">
        <v>1983</v>
      </c>
      <c r="S6" s="152">
        <v>21.61</v>
      </c>
      <c r="T6" s="122">
        <f t="shared" si="2"/>
        <v>54025</v>
      </c>
    </row>
    <row r="7" spans="2:20" x14ac:dyDescent="0.45">
      <c r="B7" s="131">
        <v>1984</v>
      </c>
      <c r="C7" s="152">
        <v>6.77</v>
      </c>
      <c r="D7" s="122">
        <f t="shared" si="0"/>
        <v>16925</v>
      </c>
      <c r="J7" s="131">
        <v>1984</v>
      </c>
      <c r="K7" s="152">
        <v>6.77</v>
      </c>
      <c r="L7" s="122">
        <f t="shared" si="1"/>
        <v>16925</v>
      </c>
      <c r="R7" s="131">
        <v>1984</v>
      </c>
      <c r="S7" s="152">
        <v>6.77</v>
      </c>
      <c r="T7" s="122">
        <f t="shared" si="2"/>
        <v>16925</v>
      </c>
    </row>
    <row r="8" spans="2:20" x14ac:dyDescent="0.45">
      <c r="B8" s="131">
        <v>1985</v>
      </c>
      <c r="C8" s="152">
        <v>8.4</v>
      </c>
      <c r="D8" s="122">
        <f t="shared" si="0"/>
        <v>21000</v>
      </c>
      <c r="J8" s="131">
        <v>1985</v>
      </c>
      <c r="K8" s="152">
        <v>8.4</v>
      </c>
      <c r="L8" s="122">
        <f t="shared" si="1"/>
        <v>21000</v>
      </c>
      <c r="R8" s="131">
        <v>1985</v>
      </c>
      <c r="S8" s="152">
        <v>8.4</v>
      </c>
      <c r="T8" s="122">
        <f t="shared" si="2"/>
        <v>21000</v>
      </c>
    </row>
    <row r="9" spans="2:20" x14ac:dyDescent="0.45">
      <c r="B9" s="131">
        <v>1986</v>
      </c>
      <c r="C9" s="152">
        <v>12.41</v>
      </c>
      <c r="D9" s="122">
        <f t="shared" si="0"/>
        <v>31025</v>
      </c>
      <c r="J9" s="131">
        <v>1986</v>
      </c>
      <c r="K9" s="152">
        <v>12.41</v>
      </c>
      <c r="L9" s="122">
        <f t="shared" si="1"/>
        <v>31025</v>
      </c>
      <c r="R9" s="131">
        <v>1986</v>
      </c>
      <c r="S9" s="152">
        <v>12.41</v>
      </c>
      <c r="T9" s="122">
        <f t="shared" si="2"/>
        <v>31025</v>
      </c>
    </row>
    <row r="10" spans="2:20" x14ac:dyDescent="0.45">
      <c r="B10" s="131">
        <v>1987</v>
      </c>
      <c r="C10" s="152">
        <v>9.19</v>
      </c>
      <c r="D10" s="122">
        <f t="shared" si="0"/>
        <v>22975</v>
      </c>
      <c r="J10" s="131">
        <v>1987</v>
      </c>
      <c r="K10" s="152">
        <v>9.19</v>
      </c>
      <c r="L10" s="122">
        <f t="shared" si="1"/>
        <v>22975</v>
      </c>
      <c r="R10" s="131">
        <v>1987</v>
      </c>
      <c r="S10" s="152">
        <v>9.19</v>
      </c>
      <c r="T10" s="122">
        <f t="shared" si="2"/>
        <v>22975</v>
      </c>
    </row>
    <row r="11" spans="2:20" x14ac:dyDescent="0.45">
      <c r="B11" s="131">
        <v>1988</v>
      </c>
      <c r="C11" s="152">
        <v>9.39</v>
      </c>
      <c r="D11" s="122">
        <f t="shared" si="0"/>
        <v>23475</v>
      </c>
      <c r="J11" s="131">
        <v>1988</v>
      </c>
      <c r="K11" s="152">
        <v>9.39</v>
      </c>
      <c r="L11" s="122">
        <f t="shared" si="1"/>
        <v>23475</v>
      </c>
      <c r="R11" s="131">
        <v>1988</v>
      </c>
      <c r="S11" s="152">
        <v>9.39</v>
      </c>
      <c r="T11" s="122">
        <f t="shared" si="2"/>
        <v>23475</v>
      </c>
    </row>
    <row r="12" spans="2:20" x14ac:dyDescent="0.45">
      <c r="B12" s="131">
        <v>1989</v>
      </c>
      <c r="C12" s="152">
        <v>6.91</v>
      </c>
      <c r="D12" s="122">
        <f t="shared" si="0"/>
        <v>17275</v>
      </c>
      <c r="J12" s="131">
        <v>1989</v>
      </c>
      <c r="K12" s="152">
        <v>6.91</v>
      </c>
      <c r="L12" s="122">
        <f t="shared" si="1"/>
        <v>17275</v>
      </c>
      <c r="R12" s="131">
        <v>1989</v>
      </c>
      <c r="S12" s="152">
        <v>6.91</v>
      </c>
      <c r="T12" s="122">
        <f t="shared" si="2"/>
        <v>17275</v>
      </c>
    </row>
    <row r="13" spans="2:20" x14ac:dyDescent="0.45">
      <c r="B13" s="131">
        <v>1990</v>
      </c>
      <c r="C13" s="152">
        <v>8.73</v>
      </c>
      <c r="D13" s="122">
        <f t="shared" si="0"/>
        <v>21825</v>
      </c>
      <c r="J13" s="131">
        <v>1990</v>
      </c>
      <c r="K13" s="152">
        <v>8.73</v>
      </c>
      <c r="L13" s="122">
        <f t="shared" si="1"/>
        <v>21825</v>
      </c>
      <c r="R13" s="131">
        <v>1990</v>
      </c>
      <c r="S13" s="152">
        <v>8.73</v>
      </c>
      <c r="T13" s="122">
        <f t="shared" si="2"/>
        <v>21825</v>
      </c>
    </row>
    <row r="14" spans="2:20" x14ac:dyDescent="0.45">
      <c r="B14" s="131">
        <v>1991</v>
      </c>
      <c r="C14" s="152">
        <v>10.49</v>
      </c>
      <c r="D14" s="122">
        <f t="shared" si="0"/>
        <v>26225</v>
      </c>
      <c r="J14" s="131">
        <v>1991</v>
      </c>
      <c r="K14" s="152">
        <v>10.49</v>
      </c>
      <c r="L14" s="122">
        <f t="shared" si="1"/>
        <v>26225</v>
      </c>
      <c r="R14" s="131">
        <v>1991</v>
      </c>
      <c r="S14" s="152">
        <v>10.49</v>
      </c>
      <c r="T14" s="122">
        <f t="shared" si="2"/>
        <v>26225</v>
      </c>
    </row>
    <row r="15" spans="2:20" x14ac:dyDescent="0.45">
      <c r="B15" s="131">
        <v>1992</v>
      </c>
      <c r="C15" s="152">
        <v>14.08</v>
      </c>
      <c r="D15" s="122">
        <f t="shared" si="0"/>
        <v>35200</v>
      </c>
      <c r="J15" s="131">
        <v>1992</v>
      </c>
      <c r="K15" s="152">
        <v>14.08</v>
      </c>
      <c r="L15" s="122">
        <f t="shared" si="1"/>
        <v>35200</v>
      </c>
      <c r="R15" s="131">
        <v>1992</v>
      </c>
      <c r="S15" s="152">
        <v>14.08</v>
      </c>
      <c r="T15" s="122">
        <f t="shared" si="2"/>
        <v>35200</v>
      </c>
    </row>
    <row r="16" spans="2:20" x14ac:dyDescent="0.45">
      <c r="B16" s="131">
        <v>1993</v>
      </c>
      <c r="C16" s="152">
        <v>13.75</v>
      </c>
      <c r="D16" s="122">
        <f t="shared" si="0"/>
        <v>34375</v>
      </c>
      <c r="J16" s="131">
        <v>1993</v>
      </c>
      <c r="K16" s="152">
        <v>13.75</v>
      </c>
      <c r="L16" s="122">
        <f t="shared" si="1"/>
        <v>34375</v>
      </c>
      <c r="R16" s="131">
        <v>1993</v>
      </c>
      <c r="S16" s="152">
        <v>13.75</v>
      </c>
      <c r="T16" s="122">
        <f t="shared" si="2"/>
        <v>34375</v>
      </c>
    </row>
    <row r="17" spans="2:20" x14ac:dyDescent="0.45">
      <c r="B17" s="131">
        <v>1994</v>
      </c>
      <c r="C17" s="152">
        <v>10.119999999999999</v>
      </c>
      <c r="D17" s="122">
        <f t="shared" si="0"/>
        <v>25299.999999999996</v>
      </c>
      <c r="J17" s="131">
        <v>1994</v>
      </c>
      <c r="K17" s="152">
        <v>10.119999999999999</v>
      </c>
      <c r="L17" s="122">
        <f t="shared" si="1"/>
        <v>25299.999999999996</v>
      </c>
      <c r="R17" s="131">
        <v>1994</v>
      </c>
      <c r="S17" s="152">
        <v>10.119999999999999</v>
      </c>
      <c r="T17" s="122">
        <f t="shared" si="2"/>
        <v>25299.999999999996</v>
      </c>
    </row>
    <row r="18" spans="2:20" x14ac:dyDescent="0.45">
      <c r="B18" s="131">
        <v>1995</v>
      </c>
      <c r="C18" s="152">
        <v>17.29</v>
      </c>
      <c r="D18" s="122">
        <f t="shared" si="0"/>
        <v>43225</v>
      </c>
      <c r="J18" s="131">
        <v>1995</v>
      </c>
      <c r="K18" s="152">
        <v>17.29</v>
      </c>
      <c r="L18" s="122">
        <f t="shared" si="1"/>
        <v>43225</v>
      </c>
      <c r="R18" s="131">
        <v>1995</v>
      </c>
      <c r="S18" s="152">
        <v>17.29</v>
      </c>
      <c r="T18" s="122">
        <f t="shared" si="2"/>
        <v>43225</v>
      </c>
    </row>
    <row r="19" spans="2:20" x14ac:dyDescent="0.45">
      <c r="B19" s="131">
        <v>1996</v>
      </c>
      <c r="C19" s="152">
        <v>16.97</v>
      </c>
      <c r="D19" s="122">
        <f t="shared" si="0"/>
        <v>42425</v>
      </c>
      <c r="J19" s="131">
        <v>1996</v>
      </c>
      <c r="K19" s="152">
        <v>16.97</v>
      </c>
      <c r="L19" s="122">
        <f t="shared" si="1"/>
        <v>42425</v>
      </c>
      <c r="R19" s="131">
        <v>1996</v>
      </c>
      <c r="S19" s="152">
        <v>16.97</v>
      </c>
      <c r="T19" s="122">
        <f t="shared" si="2"/>
        <v>42425</v>
      </c>
    </row>
    <row r="20" spans="2:20" x14ac:dyDescent="0.45">
      <c r="B20" s="131">
        <v>1997</v>
      </c>
      <c r="C20" s="152">
        <v>7.68</v>
      </c>
      <c r="D20" s="122">
        <f t="shared" si="0"/>
        <v>19200</v>
      </c>
      <c r="J20" s="131">
        <v>1997</v>
      </c>
      <c r="K20" s="152">
        <v>7.68</v>
      </c>
      <c r="L20" s="122">
        <f t="shared" si="1"/>
        <v>19200</v>
      </c>
      <c r="R20" s="131">
        <v>1997</v>
      </c>
      <c r="S20" s="152">
        <v>7.68</v>
      </c>
      <c r="T20" s="122">
        <f t="shared" si="2"/>
        <v>19200</v>
      </c>
    </row>
    <row r="21" spans="2:20" x14ac:dyDescent="0.45">
      <c r="B21" s="131">
        <v>1998</v>
      </c>
      <c r="C21" s="152">
        <v>17.649999999999999</v>
      </c>
      <c r="D21" s="122">
        <f t="shared" si="0"/>
        <v>44125</v>
      </c>
      <c r="J21" s="131">
        <v>1998</v>
      </c>
      <c r="K21" s="152">
        <v>17.649999999999999</v>
      </c>
      <c r="L21" s="122">
        <f t="shared" si="1"/>
        <v>44125</v>
      </c>
      <c r="R21" s="131">
        <v>1998</v>
      </c>
      <c r="S21" s="152">
        <v>17.649999999999999</v>
      </c>
      <c r="T21" s="122">
        <f t="shared" si="2"/>
        <v>44125</v>
      </c>
    </row>
    <row r="22" spans="2:20" x14ac:dyDescent="0.45">
      <c r="B22" s="131">
        <v>1999</v>
      </c>
      <c r="C22" s="152">
        <v>6.17</v>
      </c>
      <c r="D22" s="122">
        <f t="shared" si="0"/>
        <v>15425</v>
      </c>
      <c r="J22" s="131">
        <v>1999</v>
      </c>
      <c r="K22" s="152">
        <v>6.17</v>
      </c>
      <c r="L22" s="122">
        <f t="shared" si="1"/>
        <v>15425</v>
      </c>
      <c r="R22" s="131">
        <v>1999</v>
      </c>
      <c r="S22" s="152">
        <v>6.17</v>
      </c>
      <c r="T22" s="122">
        <f t="shared" si="2"/>
        <v>15425</v>
      </c>
    </row>
    <row r="23" spans="2:20" x14ac:dyDescent="0.45">
      <c r="B23" s="131">
        <v>2000</v>
      </c>
      <c r="C23" s="152">
        <v>15.24</v>
      </c>
      <c r="D23" s="122">
        <f t="shared" si="0"/>
        <v>38100</v>
      </c>
      <c r="J23" s="131">
        <v>2000</v>
      </c>
      <c r="K23" s="152">
        <v>15.24</v>
      </c>
      <c r="L23" s="122">
        <f t="shared" si="1"/>
        <v>38100</v>
      </c>
      <c r="R23" s="131">
        <v>2000</v>
      </c>
      <c r="S23" s="152">
        <v>15.24</v>
      </c>
      <c r="T23" s="122">
        <f t="shared" si="2"/>
        <v>38100</v>
      </c>
    </row>
    <row r="24" spans="2:20" x14ac:dyDescent="0.45">
      <c r="B24" s="131">
        <v>2001</v>
      </c>
      <c r="C24" s="152">
        <v>12.02</v>
      </c>
      <c r="D24" s="122">
        <f t="shared" si="0"/>
        <v>30050</v>
      </c>
      <c r="J24" s="131">
        <v>2001</v>
      </c>
      <c r="K24" s="152">
        <v>12.02</v>
      </c>
      <c r="L24" s="122">
        <f t="shared" si="1"/>
        <v>30050</v>
      </c>
      <c r="R24" s="131">
        <v>2001</v>
      </c>
      <c r="S24" s="152">
        <v>12.02</v>
      </c>
      <c r="T24" s="122">
        <f t="shared" si="2"/>
        <v>30050</v>
      </c>
    </row>
    <row r="25" spans="2:20" x14ac:dyDescent="0.45">
      <c r="B25" s="131">
        <v>2002</v>
      </c>
      <c r="C25" s="152">
        <v>6.75</v>
      </c>
      <c r="D25" s="122">
        <f t="shared" si="0"/>
        <v>16875</v>
      </c>
      <c r="J25" s="131">
        <v>2002</v>
      </c>
      <c r="K25" s="152">
        <v>6.75</v>
      </c>
      <c r="L25" s="122">
        <f t="shared" si="1"/>
        <v>16875</v>
      </c>
      <c r="R25" s="131">
        <v>2002</v>
      </c>
      <c r="S25" s="152">
        <v>6.75</v>
      </c>
      <c r="T25" s="122">
        <f t="shared" si="2"/>
        <v>16875</v>
      </c>
    </row>
    <row r="26" spans="2:20" x14ac:dyDescent="0.45">
      <c r="B26" s="131">
        <v>2003</v>
      </c>
      <c r="C26" s="152">
        <v>9.14</v>
      </c>
      <c r="D26" s="122">
        <f t="shared" si="0"/>
        <v>22850</v>
      </c>
      <c r="J26" s="131">
        <v>2003</v>
      </c>
      <c r="K26" s="152">
        <v>9.14</v>
      </c>
      <c r="L26" s="122">
        <f t="shared" si="1"/>
        <v>22850</v>
      </c>
      <c r="R26" s="131">
        <v>2003</v>
      </c>
      <c r="S26" s="152">
        <v>9.14</v>
      </c>
      <c r="T26" s="122">
        <f t="shared" si="2"/>
        <v>22850</v>
      </c>
    </row>
    <row r="27" spans="2:20" x14ac:dyDescent="0.45">
      <c r="B27" s="131">
        <v>2004</v>
      </c>
      <c r="C27" s="152">
        <v>10.63</v>
      </c>
      <c r="D27" s="122">
        <f t="shared" si="0"/>
        <v>26575.000000000004</v>
      </c>
      <c r="J27" s="131">
        <v>2004</v>
      </c>
      <c r="K27" s="152">
        <v>10.63</v>
      </c>
      <c r="L27" s="122">
        <f t="shared" si="1"/>
        <v>26575.000000000004</v>
      </c>
      <c r="R27" s="131">
        <v>2004</v>
      </c>
      <c r="S27" s="152">
        <v>10.63</v>
      </c>
      <c r="T27" s="122">
        <f t="shared" si="2"/>
        <v>26575.000000000004</v>
      </c>
    </row>
    <row r="28" spans="2:20" x14ac:dyDescent="0.45">
      <c r="B28" s="131">
        <v>2005</v>
      </c>
      <c r="C28" s="152">
        <v>11.68</v>
      </c>
      <c r="D28" s="122">
        <f t="shared" si="0"/>
        <v>29200</v>
      </c>
      <c r="J28" s="131">
        <v>2005</v>
      </c>
      <c r="K28" s="152">
        <v>11.68</v>
      </c>
      <c r="L28" s="122">
        <f t="shared" si="1"/>
        <v>29200</v>
      </c>
      <c r="R28" s="131">
        <v>2005</v>
      </c>
      <c r="S28" s="152">
        <v>11.68</v>
      </c>
      <c r="T28" s="122">
        <f t="shared" si="2"/>
        <v>29200</v>
      </c>
    </row>
    <row r="29" spans="2:20" x14ac:dyDescent="0.45">
      <c r="B29" s="131">
        <v>2006</v>
      </c>
      <c r="C29" s="152">
        <v>13.94</v>
      </c>
      <c r="D29" s="122">
        <f t="shared" si="0"/>
        <v>34850</v>
      </c>
      <c r="J29" s="131">
        <v>2006</v>
      </c>
      <c r="K29" s="152">
        <v>13.94</v>
      </c>
      <c r="L29" s="122">
        <f t="shared" si="1"/>
        <v>34850</v>
      </c>
      <c r="R29" s="131">
        <v>2006</v>
      </c>
      <c r="S29" s="152">
        <v>13.94</v>
      </c>
      <c r="T29" s="122">
        <f t="shared" si="2"/>
        <v>34850</v>
      </c>
    </row>
    <row r="30" spans="2:20" x14ac:dyDescent="0.45">
      <c r="B30" s="131">
        <v>2007</v>
      </c>
      <c r="C30" s="152">
        <v>7.03</v>
      </c>
      <c r="D30" s="122">
        <f t="shared" si="0"/>
        <v>17575</v>
      </c>
      <c r="J30" s="131">
        <v>2007</v>
      </c>
      <c r="K30" s="152">
        <v>7.03</v>
      </c>
      <c r="L30" s="122">
        <f t="shared" si="1"/>
        <v>17575</v>
      </c>
      <c r="R30" s="131">
        <v>2007</v>
      </c>
      <c r="S30" s="152">
        <v>7.03</v>
      </c>
      <c r="T30" s="122">
        <f t="shared" si="2"/>
        <v>17575</v>
      </c>
    </row>
    <row r="31" spans="2:20" x14ac:dyDescent="0.45">
      <c r="B31" s="131">
        <v>2008</v>
      </c>
      <c r="C31" s="152">
        <v>8.4600000000000009</v>
      </c>
      <c r="D31" s="122">
        <f t="shared" si="0"/>
        <v>21150.000000000004</v>
      </c>
      <c r="J31" s="131">
        <v>2008</v>
      </c>
      <c r="K31" s="152">
        <v>8.4600000000000009</v>
      </c>
      <c r="L31" s="122">
        <f t="shared" si="1"/>
        <v>21150.000000000004</v>
      </c>
      <c r="R31" s="131">
        <v>2008</v>
      </c>
      <c r="S31" s="152">
        <v>8.4600000000000009</v>
      </c>
      <c r="T31" s="122">
        <f t="shared" si="2"/>
        <v>21150.000000000004</v>
      </c>
    </row>
    <row r="32" spans="2:20" x14ac:dyDescent="0.45">
      <c r="B32" s="131">
        <v>2009</v>
      </c>
      <c r="C32" s="152">
        <v>9.08</v>
      </c>
      <c r="D32" s="122">
        <f t="shared" si="0"/>
        <v>22700</v>
      </c>
      <c r="J32" s="131">
        <v>2009</v>
      </c>
      <c r="K32" s="152">
        <v>9.08</v>
      </c>
      <c r="L32" s="122">
        <f t="shared" si="1"/>
        <v>22700</v>
      </c>
      <c r="R32" s="131">
        <v>2009</v>
      </c>
      <c r="S32" s="152">
        <v>9.08</v>
      </c>
      <c r="T32" s="122">
        <f t="shared" si="2"/>
        <v>22700</v>
      </c>
    </row>
    <row r="33" spans="2:20" x14ac:dyDescent="0.45">
      <c r="B33" s="131">
        <v>2010</v>
      </c>
      <c r="C33" s="152">
        <v>16.510000000000002</v>
      </c>
      <c r="D33" s="122">
        <f t="shared" si="0"/>
        <v>41275.000000000007</v>
      </c>
      <c r="J33" s="131">
        <v>2010</v>
      </c>
      <c r="K33" s="152">
        <v>16.510000000000002</v>
      </c>
      <c r="L33" s="122">
        <f t="shared" si="1"/>
        <v>41275.000000000007</v>
      </c>
      <c r="R33" s="131">
        <v>2010</v>
      </c>
      <c r="S33" s="152">
        <v>16.510000000000002</v>
      </c>
      <c r="T33" s="122">
        <f t="shared" si="2"/>
        <v>41275.000000000007</v>
      </c>
    </row>
    <row r="34" spans="2:20" x14ac:dyDescent="0.45">
      <c r="B34" s="131">
        <v>2011</v>
      </c>
      <c r="C34" s="152">
        <v>10.93</v>
      </c>
      <c r="D34" s="122">
        <f t="shared" si="0"/>
        <v>27325</v>
      </c>
      <c r="J34" s="131">
        <v>2011</v>
      </c>
      <c r="K34" s="152">
        <v>10.93</v>
      </c>
      <c r="L34" s="122">
        <f t="shared" si="1"/>
        <v>27325</v>
      </c>
      <c r="R34" s="131">
        <v>2011</v>
      </c>
      <c r="S34" s="152">
        <v>10.93</v>
      </c>
      <c r="T34" s="122">
        <f t="shared" si="2"/>
        <v>27325</v>
      </c>
    </row>
    <row r="35" spans="2:20" x14ac:dyDescent="0.45">
      <c r="B35" s="131">
        <v>2012</v>
      </c>
      <c r="C35" s="152">
        <v>9.9700000000000006</v>
      </c>
      <c r="D35" s="122">
        <f t="shared" si="0"/>
        <v>24925</v>
      </c>
      <c r="J35" s="131">
        <v>2012</v>
      </c>
      <c r="K35" s="152">
        <v>9.9700000000000006</v>
      </c>
      <c r="L35" s="122">
        <f t="shared" si="1"/>
        <v>24925</v>
      </c>
      <c r="R35" s="131">
        <v>2012</v>
      </c>
      <c r="S35" s="152">
        <v>9.9700000000000006</v>
      </c>
      <c r="T35" s="122">
        <f t="shared" si="2"/>
        <v>24925</v>
      </c>
    </row>
    <row r="36" spans="2:20" ht="14.65" thickBot="1" x14ac:dyDescent="0.5">
      <c r="B36" s="133">
        <v>2013</v>
      </c>
      <c r="C36" s="153">
        <v>2.12</v>
      </c>
      <c r="D36" s="123">
        <f t="shared" si="0"/>
        <v>5300</v>
      </c>
      <c r="J36" s="133">
        <v>2013</v>
      </c>
      <c r="K36" s="153">
        <v>2.12</v>
      </c>
      <c r="L36" s="123">
        <f t="shared" si="1"/>
        <v>5300</v>
      </c>
      <c r="R36" s="133">
        <v>2013</v>
      </c>
      <c r="S36" s="153">
        <v>2.12</v>
      </c>
      <c r="T36" s="123">
        <f t="shared" si="2"/>
        <v>5300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AW36"/>
  <sheetViews>
    <sheetView workbookViewId="0">
      <selection activeCell="J35" sqref="J35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</cols>
  <sheetData>
    <row r="1" spans="2:49" ht="14.65" thickBot="1" x14ac:dyDescent="0.5"/>
    <row r="2" spans="2:49" ht="28.5" x14ac:dyDescent="0.45">
      <c r="B2" s="127"/>
      <c r="C2" s="151" t="s">
        <v>404</v>
      </c>
      <c r="D2" s="126" t="s">
        <v>416</v>
      </c>
    </row>
    <row r="3" spans="2:49" x14ac:dyDescent="0.45">
      <c r="B3" s="131">
        <v>1980</v>
      </c>
      <c r="C3" s="152">
        <v>10.28</v>
      </c>
      <c r="D3" s="122">
        <f>C3*2500</f>
        <v>25700</v>
      </c>
      <c r="F3" s="154" t="s">
        <v>421</v>
      </c>
      <c r="N3" s="154" t="s">
        <v>422</v>
      </c>
      <c r="V3" s="154" t="s">
        <v>419</v>
      </c>
      <c r="AC3" s="154" t="s">
        <v>425</v>
      </c>
      <c r="AO3" s="154" t="s">
        <v>424</v>
      </c>
      <c r="AW3" s="156" t="s">
        <v>426</v>
      </c>
    </row>
    <row r="4" spans="2:49" x14ac:dyDescent="0.45">
      <c r="B4" s="131">
        <v>1981</v>
      </c>
      <c r="C4" s="152">
        <v>10.01</v>
      </c>
      <c r="D4" s="122">
        <f t="shared" ref="D4:D36" si="0">C4*2500</f>
        <v>25025</v>
      </c>
    </row>
    <row r="5" spans="2:49" x14ac:dyDescent="0.45">
      <c r="B5" s="131">
        <v>1982</v>
      </c>
      <c r="C5" s="152">
        <v>16.079999999999998</v>
      </c>
      <c r="D5" s="122">
        <f t="shared" si="0"/>
        <v>40199.999999999993</v>
      </c>
    </row>
    <row r="6" spans="2:49" x14ac:dyDescent="0.45">
      <c r="B6" s="131">
        <v>1983</v>
      </c>
      <c r="C6" s="152">
        <v>21.61</v>
      </c>
      <c r="D6" s="122">
        <f t="shared" si="0"/>
        <v>54025</v>
      </c>
    </row>
    <row r="7" spans="2:49" x14ac:dyDescent="0.45">
      <c r="B7" s="131">
        <v>1984</v>
      </c>
      <c r="C7" s="152">
        <v>6.77</v>
      </c>
      <c r="D7" s="122">
        <f t="shared" si="0"/>
        <v>16925</v>
      </c>
    </row>
    <row r="8" spans="2:49" x14ac:dyDescent="0.45">
      <c r="B8" s="131">
        <v>1985</v>
      </c>
      <c r="C8" s="152">
        <v>8.4</v>
      </c>
      <c r="D8" s="122">
        <f t="shared" si="0"/>
        <v>21000</v>
      </c>
    </row>
    <row r="9" spans="2:49" x14ac:dyDescent="0.45">
      <c r="B9" s="131">
        <v>1986</v>
      </c>
      <c r="C9" s="152">
        <v>12.41</v>
      </c>
      <c r="D9" s="122">
        <f t="shared" si="0"/>
        <v>31025</v>
      </c>
    </row>
    <row r="10" spans="2:49" x14ac:dyDescent="0.45">
      <c r="B10" s="131">
        <v>1987</v>
      </c>
      <c r="C10" s="152">
        <v>9.19</v>
      </c>
      <c r="D10" s="122">
        <f t="shared" si="0"/>
        <v>22975</v>
      </c>
    </row>
    <row r="11" spans="2:49" x14ac:dyDescent="0.45">
      <c r="B11" s="131">
        <v>1988</v>
      </c>
      <c r="C11" s="152">
        <v>9.39</v>
      </c>
      <c r="D11" s="122">
        <f t="shared" si="0"/>
        <v>23475</v>
      </c>
    </row>
    <row r="12" spans="2:49" x14ac:dyDescent="0.45">
      <c r="B12" s="131">
        <v>1989</v>
      </c>
      <c r="C12" s="152">
        <v>6.91</v>
      </c>
      <c r="D12" s="122">
        <f t="shared" si="0"/>
        <v>17275</v>
      </c>
    </row>
    <row r="13" spans="2:49" x14ac:dyDescent="0.45">
      <c r="B13" s="131">
        <v>1990</v>
      </c>
      <c r="C13" s="152">
        <v>8.73</v>
      </c>
      <c r="D13" s="122">
        <f t="shared" si="0"/>
        <v>21825</v>
      </c>
    </row>
    <row r="14" spans="2:49" x14ac:dyDescent="0.45">
      <c r="B14" s="131">
        <v>1991</v>
      </c>
      <c r="C14" s="152">
        <v>10.49</v>
      </c>
      <c r="D14" s="122">
        <f t="shared" si="0"/>
        <v>26225</v>
      </c>
    </row>
    <row r="15" spans="2:49" x14ac:dyDescent="0.45">
      <c r="B15" s="131">
        <v>1992</v>
      </c>
      <c r="C15" s="152">
        <v>14.08</v>
      </c>
      <c r="D15" s="122">
        <f t="shared" si="0"/>
        <v>35200</v>
      </c>
    </row>
    <row r="16" spans="2:49" x14ac:dyDescent="0.45">
      <c r="B16" s="131">
        <v>1993</v>
      </c>
      <c r="C16" s="152">
        <v>13.75</v>
      </c>
      <c r="D16" s="122">
        <f t="shared" si="0"/>
        <v>34375</v>
      </c>
    </row>
    <row r="17" spans="2:4" x14ac:dyDescent="0.45">
      <c r="B17" s="131">
        <v>1994</v>
      </c>
      <c r="C17" s="152">
        <v>10.119999999999999</v>
      </c>
      <c r="D17" s="122">
        <f t="shared" si="0"/>
        <v>25299.999999999996</v>
      </c>
    </row>
    <row r="18" spans="2:4" x14ac:dyDescent="0.45">
      <c r="B18" s="131">
        <v>1995</v>
      </c>
      <c r="C18" s="152">
        <v>17.29</v>
      </c>
      <c r="D18" s="122">
        <f t="shared" si="0"/>
        <v>43225</v>
      </c>
    </row>
    <row r="19" spans="2:4" x14ac:dyDescent="0.45">
      <c r="B19" s="131">
        <v>1996</v>
      </c>
      <c r="C19" s="152">
        <v>16.97</v>
      </c>
      <c r="D19" s="122">
        <f t="shared" si="0"/>
        <v>42425</v>
      </c>
    </row>
    <row r="20" spans="2:4" x14ac:dyDescent="0.45">
      <c r="B20" s="131">
        <v>1997</v>
      </c>
      <c r="C20" s="152">
        <v>7.68</v>
      </c>
      <c r="D20" s="122">
        <f t="shared" si="0"/>
        <v>19200</v>
      </c>
    </row>
    <row r="21" spans="2:4" x14ac:dyDescent="0.45">
      <c r="B21" s="131">
        <v>1998</v>
      </c>
      <c r="C21" s="152">
        <v>17.649999999999999</v>
      </c>
      <c r="D21" s="122">
        <f t="shared" si="0"/>
        <v>44125</v>
      </c>
    </row>
    <row r="22" spans="2:4" x14ac:dyDescent="0.45">
      <c r="B22" s="131">
        <v>1999</v>
      </c>
      <c r="C22" s="152">
        <v>6.17</v>
      </c>
      <c r="D22" s="122">
        <f t="shared" si="0"/>
        <v>15425</v>
      </c>
    </row>
    <row r="23" spans="2:4" x14ac:dyDescent="0.45">
      <c r="B23" s="131">
        <v>2000</v>
      </c>
      <c r="C23" s="152">
        <v>15.24</v>
      </c>
      <c r="D23" s="122">
        <f t="shared" si="0"/>
        <v>38100</v>
      </c>
    </row>
    <row r="24" spans="2:4" x14ac:dyDescent="0.45">
      <c r="B24" s="131">
        <v>2001</v>
      </c>
      <c r="C24" s="152">
        <v>12.02</v>
      </c>
      <c r="D24" s="122">
        <f t="shared" si="0"/>
        <v>30050</v>
      </c>
    </row>
    <row r="25" spans="2:4" x14ac:dyDescent="0.45">
      <c r="B25" s="131">
        <v>2002</v>
      </c>
      <c r="C25" s="152">
        <v>6.75</v>
      </c>
      <c r="D25" s="122">
        <f t="shared" si="0"/>
        <v>16875</v>
      </c>
    </row>
    <row r="26" spans="2:4" x14ac:dyDescent="0.45">
      <c r="B26" s="131">
        <v>2003</v>
      </c>
      <c r="C26" s="152">
        <v>9.14</v>
      </c>
      <c r="D26" s="122">
        <f t="shared" si="0"/>
        <v>22850</v>
      </c>
    </row>
    <row r="27" spans="2:4" x14ac:dyDescent="0.45">
      <c r="B27" s="131">
        <v>2004</v>
      </c>
      <c r="C27" s="152">
        <v>10.63</v>
      </c>
      <c r="D27" s="122">
        <f t="shared" si="0"/>
        <v>26575.000000000004</v>
      </c>
    </row>
    <row r="28" spans="2:4" x14ac:dyDescent="0.45">
      <c r="B28" s="131">
        <v>2005</v>
      </c>
      <c r="C28" s="152">
        <v>11.68</v>
      </c>
      <c r="D28" s="122">
        <f t="shared" si="0"/>
        <v>29200</v>
      </c>
    </row>
    <row r="29" spans="2:4" x14ac:dyDescent="0.45">
      <c r="B29" s="131">
        <v>2006</v>
      </c>
      <c r="C29" s="152">
        <v>13.94</v>
      </c>
      <c r="D29" s="122">
        <f t="shared" si="0"/>
        <v>34850</v>
      </c>
    </row>
    <row r="30" spans="2:4" x14ac:dyDescent="0.45">
      <c r="B30" s="131">
        <v>2007</v>
      </c>
      <c r="C30" s="152">
        <v>7.03</v>
      </c>
      <c r="D30" s="122">
        <f t="shared" si="0"/>
        <v>17575</v>
      </c>
    </row>
    <row r="31" spans="2:4" x14ac:dyDescent="0.45">
      <c r="B31" s="131">
        <v>2008</v>
      </c>
      <c r="C31" s="152">
        <v>8.4600000000000009</v>
      </c>
      <c r="D31" s="122">
        <f t="shared" si="0"/>
        <v>21150.000000000004</v>
      </c>
    </row>
    <row r="32" spans="2:4" x14ac:dyDescent="0.45">
      <c r="B32" s="131">
        <v>2009</v>
      </c>
      <c r="C32" s="152">
        <v>9.08</v>
      </c>
      <c r="D32" s="122">
        <f t="shared" si="0"/>
        <v>22700</v>
      </c>
    </row>
    <row r="33" spans="2:4" x14ac:dyDescent="0.45">
      <c r="B33" s="131">
        <v>2010</v>
      </c>
      <c r="C33" s="152">
        <v>16.510000000000002</v>
      </c>
      <c r="D33" s="122">
        <f t="shared" si="0"/>
        <v>41275.000000000007</v>
      </c>
    </row>
    <row r="34" spans="2:4" x14ac:dyDescent="0.45">
      <c r="B34" s="131">
        <v>2011</v>
      </c>
      <c r="C34" s="152">
        <v>10.93</v>
      </c>
      <c r="D34" s="122">
        <f t="shared" si="0"/>
        <v>27325</v>
      </c>
    </row>
    <row r="35" spans="2:4" x14ac:dyDescent="0.45">
      <c r="B35" s="131">
        <v>2012</v>
      </c>
      <c r="C35" s="152">
        <v>9.9700000000000006</v>
      </c>
      <c r="D35" s="122">
        <f t="shared" si="0"/>
        <v>24925</v>
      </c>
    </row>
    <row r="36" spans="2:4" ht="14.65" thickBot="1" x14ac:dyDescent="0.5">
      <c r="B36" s="133">
        <v>2013</v>
      </c>
      <c r="C36" s="153">
        <v>2.12</v>
      </c>
      <c r="D36" s="123">
        <f t="shared" si="0"/>
        <v>5300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H98"/>
  <sheetViews>
    <sheetView zoomScaleNormal="100" workbookViewId="0">
      <selection activeCell="N27" sqref="N27"/>
    </sheetView>
  </sheetViews>
  <sheetFormatPr defaultRowHeight="14.25" x14ac:dyDescent="0.45"/>
  <cols>
    <col min="1" max="1" width="23.59765625" bestFit="1" customWidth="1"/>
    <col min="2" max="2" width="10.73046875" style="1" bestFit="1" customWidth="1"/>
    <col min="3" max="3" width="10.1328125" style="2" customWidth="1"/>
    <col min="4" max="4" width="9.3984375" style="2" customWidth="1"/>
    <col min="5" max="5" width="9.3984375" style="2" bestFit="1" customWidth="1"/>
    <col min="6" max="6" width="17.265625" bestFit="1" customWidth="1"/>
    <col min="8" max="8" width="13.1328125" customWidth="1"/>
  </cols>
  <sheetData>
    <row r="2" spans="1:8" s="106" customFormat="1" ht="28.5" x14ac:dyDescent="0.45">
      <c r="A2" s="101" t="s">
        <v>95</v>
      </c>
      <c r="B2" s="102" t="s">
        <v>96</v>
      </c>
      <c r="C2" s="103" t="s">
        <v>0</v>
      </c>
      <c r="D2" s="103" t="s">
        <v>97</v>
      </c>
      <c r="E2" s="103" t="s">
        <v>98</v>
      </c>
      <c r="F2" s="101" t="s">
        <v>99</v>
      </c>
      <c r="G2" s="104" t="s">
        <v>100</v>
      </c>
      <c r="H2" s="105" t="s">
        <v>101</v>
      </c>
    </row>
    <row r="3" spans="1:8" x14ac:dyDescent="0.45">
      <c r="A3" t="s">
        <v>102</v>
      </c>
      <c r="B3" s="1">
        <v>39211</v>
      </c>
      <c r="C3" s="2">
        <v>16000</v>
      </c>
      <c r="D3" s="2">
        <v>2080</v>
      </c>
      <c r="E3" s="2">
        <v>160</v>
      </c>
      <c r="F3" t="s">
        <v>103</v>
      </c>
      <c r="G3">
        <v>3</v>
      </c>
      <c r="H3">
        <v>4</v>
      </c>
    </row>
    <row r="4" spans="1:8" x14ac:dyDescent="0.45">
      <c r="A4" s="99" t="s">
        <v>104</v>
      </c>
      <c r="B4" s="107">
        <v>37637</v>
      </c>
      <c r="C4" s="108">
        <v>25000</v>
      </c>
      <c r="D4" s="108">
        <v>750</v>
      </c>
      <c r="E4" s="108">
        <v>750</v>
      </c>
      <c r="F4" s="99" t="s">
        <v>105</v>
      </c>
      <c r="G4" s="99">
        <v>8</v>
      </c>
      <c r="H4" s="99">
        <v>1</v>
      </c>
    </row>
    <row r="5" spans="1:8" x14ac:dyDescent="0.45">
      <c r="A5" t="s">
        <v>106</v>
      </c>
      <c r="B5" s="1">
        <v>39581</v>
      </c>
      <c r="C5" s="2">
        <v>25000</v>
      </c>
      <c r="D5" s="2">
        <v>1500</v>
      </c>
      <c r="E5" s="2">
        <v>750</v>
      </c>
      <c r="F5" t="s">
        <v>107</v>
      </c>
      <c r="G5">
        <v>6</v>
      </c>
      <c r="H5">
        <v>2</v>
      </c>
    </row>
    <row r="6" spans="1:8" x14ac:dyDescent="0.45">
      <c r="A6" s="99" t="s">
        <v>108</v>
      </c>
      <c r="B6" s="107">
        <v>39283</v>
      </c>
      <c r="C6" s="108">
        <v>26000</v>
      </c>
      <c r="D6" s="108">
        <v>3380</v>
      </c>
      <c r="E6" s="108">
        <v>780</v>
      </c>
      <c r="F6" s="99" t="s">
        <v>103</v>
      </c>
      <c r="G6" s="99">
        <v>8</v>
      </c>
      <c r="H6" s="99">
        <v>4</v>
      </c>
    </row>
    <row r="7" spans="1:8" x14ac:dyDescent="0.45">
      <c r="A7" t="s">
        <v>109</v>
      </c>
      <c r="B7" s="1">
        <v>38146</v>
      </c>
      <c r="C7" s="2">
        <v>27000</v>
      </c>
      <c r="D7" s="2">
        <v>810</v>
      </c>
      <c r="E7" s="2">
        <v>2160</v>
      </c>
      <c r="F7" t="s">
        <v>110</v>
      </c>
      <c r="G7">
        <v>9</v>
      </c>
      <c r="H7">
        <v>1</v>
      </c>
    </row>
    <row r="8" spans="1:8" x14ac:dyDescent="0.45">
      <c r="A8" s="99" t="s">
        <v>111</v>
      </c>
      <c r="B8" s="107">
        <v>38777</v>
      </c>
      <c r="C8" s="108">
        <v>27000</v>
      </c>
      <c r="D8" s="108">
        <v>4500</v>
      </c>
      <c r="E8" s="108">
        <v>0</v>
      </c>
      <c r="F8" s="99" t="s">
        <v>110</v>
      </c>
      <c r="G8" s="99">
        <v>7</v>
      </c>
      <c r="H8" s="99">
        <v>5</v>
      </c>
    </row>
    <row r="9" spans="1:8" x14ac:dyDescent="0.45">
      <c r="A9" t="s">
        <v>112</v>
      </c>
      <c r="B9" s="1">
        <v>37185</v>
      </c>
      <c r="C9" s="2">
        <v>28000</v>
      </c>
      <c r="D9" s="2">
        <v>4200</v>
      </c>
      <c r="E9" s="2">
        <v>0</v>
      </c>
      <c r="F9" t="s">
        <v>113</v>
      </c>
      <c r="G9">
        <v>6</v>
      </c>
      <c r="H9">
        <v>5</v>
      </c>
    </row>
    <row r="10" spans="1:8" x14ac:dyDescent="0.45">
      <c r="A10" s="99" t="s">
        <v>114</v>
      </c>
      <c r="B10" s="107">
        <v>38620</v>
      </c>
      <c r="C10" s="108">
        <v>28000</v>
      </c>
      <c r="D10" s="108">
        <v>3640</v>
      </c>
      <c r="E10" s="108">
        <v>1400</v>
      </c>
      <c r="F10" s="99" t="s">
        <v>105</v>
      </c>
      <c r="G10" s="99">
        <v>7</v>
      </c>
      <c r="H10" s="99">
        <v>4</v>
      </c>
    </row>
    <row r="11" spans="1:8" x14ac:dyDescent="0.45">
      <c r="A11" t="s">
        <v>115</v>
      </c>
      <c r="B11" s="1">
        <v>37303</v>
      </c>
      <c r="C11" s="2">
        <v>30000</v>
      </c>
      <c r="D11" s="2">
        <v>3300</v>
      </c>
      <c r="E11" s="2">
        <v>3000</v>
      </c>
      <c r="F11" t="s">
        <v>116</v>
      </c>
      <c r="G11">
        <v>4</v>
      </c>
      <c r="H11">
        <v>4</v>
      </c>
    </row>
    <row r="12" spans="1:8" x14ac:dyDescent="0.45">
      <c r="A12" s="99" t="s">
        <v>117</v>
      </c>
      <c r="B12" s="107">
        <v>37741</v>
      </c>
      <c r="C12" s="108">
        <v>30000</v>
      </c>
      <c r="D12" s="108">
        <v>1800</v>
      </c>
      <c r="E12" s="108">
        <v>1800</v>
      </c>
      <c r="F12" s="99" t="s">
        <v>118</v>
      </c>
      <c r="G12" s="99">
        <v>1</v>
      </c>
      <c r="H12" s="99">
        <v>2</v>
      </c>
    </row>
    <row r="13" spans="1:8" x14ac:dyDescent="0.45">
      <c r="A13" t="s">
        <v>119</v>
      </c>
      <c r="B13" s="1">
        <v>37702</v>
      </c>
      <c r="C13" s="2">
        <v>31000</v>
      </c>
      <c r="D13" s="2">
        <v>2790</v>
      </c>
      <c r="E13" s="2">
        <v>310</v>
      </c>
      <c r="F13" t="s">
        <v>105</v>
      </c>
      <c r="G13">
        <v>4</v>
      </c>
      <c r="H13">
        <v>3</v>
      </c>
    </row>
    <row r="14" spans="1:8" x14ac:dyDescent="0.45">
      <c r="A14" s="99" t="s">
        <v>120</v>
      </c>
      <c r="B14" s="107">
        <v>39203</v>
      </c>
      <c r="C14" s="108">
        <v>31000</v>
      </c>
      <c r="D14" s="108">
        <v>1240</v>
      </c>
      <c r="E14" s="108">
        <v>930</v>
      </c>
      <c r="F14" s="99" t="s">
        <v>107</v>
      </c>
      <c r="G14" s="99">
        <v>2</v>
      </c>
      <c r="H14" s="99">
        <v>1</v>
      </c>
    </row>
    <row r="15" spans="1:8" x14ac:dyDescent="0.45">
      <c r="A15" t="s">
        <v>121</v>
      </c>
      <c r="B15" s="1">
        <v>37015</v>
      </c>
      <c r="C15" s="2">
        <v>32000</v>
      </c>
      <c r="D15" s="2">
        <v>2240</v>
      </c>
      <c r="E15" s="2">
        <v>0</v>
      </c>
      <c r="F15" t="s">
        <v>113</v>
      </c>
      <c r="G15">
        <v>9</v>
      </c>
      <c r="H15">
        <v>2</v>
      </c>
    </row>
    <row r="16" spans="1:8" x14ac:dyDescent="0.45">
      <c r="A16" s="99" t="s">
        <v>122</v>
      </c>
      <c r="B16" s="107">
        <v>39381</v>
      </c>
      <c r="C16" s="108">
        <v>32000</v>
      </c>
      <c r="D16" s="108">
        <v>4160</v>
      </c>
      <c r="E16" s="108">
        <v>640</v>
      </c>
      <c r="F16" s="99" t="s">
        <v>113</v>
      </c>
      <c r="G16" s="99">
        <v>8</v>
      </c>
      <c r="H16" s="99">
        <v>4</v>
      </c>
    </row>
    <row r="17" spans="1:8" x14ac:dyDescent="0.45">
      <c r="A17" t="s">
        <v>123</v>
      </c>
      <c r="B17" s="1">
        <v>36817</v>
      </c>
      <c r="C17" s="2">
        <v>34000</v>
      </c>
      <c r="D17" s="2">
        <v>4420</v>
      </c>
      <c r="E17" s="2">
        <v>2040</v>
      </c>
      <c r="F17" t="s">
        <v>105</v>
      </c>
      <c r="G17">
        <v>8</v>
      </c>
      <c r="H17">
        <v>4</v>
      </c>
    </row>
    <row r="18" spans="1:8" x14ac:dyDescent="0.45">
      <c r="A18" s="99" t="s">
        <v>124</v>
      </c>
      <c r="B18" s="107">
        <v>39317</v>
      </c>
      <c r="C18" s="108">
        <v>34000</v>
      </c>
      <c r="D18" s="108">
        <v>4080</v>
      </c>
      <c r="E18" s="108">
        <v>3060</v>
      </c>
      <c r="F18" s="99" t="s">
        <v>125</v>
      </c>
      <c r="G18" s="99">
        <v>5</v>
      </c>
      <c r="H18" s="99">
        <v>4</v>
      </c>
    </row>
    <row r="19" spans="1:8" x14ac:dyDescent="0.45">
      <c r="A19" t="s">
        <v>126</v>
      </c>
      <c r="B19" s="1">
        <v>38726</v>
      </c>
      <c r="C19" s="2">
        <v>35000</v>
      </c>
      <c r="D19" s="2">
        <v>1750</v>
      </c>
      <c r="E19" s="2">
        <v>1050</v>
      </c>
      <c r="F19" t="s">
        <v>118</v>
      </c>
      <c r="G19">
        <v>7</v>
      </c>
      <c r="H19">
        <v>2</v>
      </c>
    </row>
    <row r="20" spans="1:8" x14ac:dyDescent="0.45">
      <c r="A20" s="99" t="s">
        <v>127</v>
      </c>
      <c r="B20" s="107">
        <v>39364</v>
      </c>
      <c r="C20" s="108">
        <v>35000</v>
      </c>
      <c r="D20" s="108">
        <v>3500</v>
      </c>
      <c r="E20" s="108">
        <v>2100</v>
      </c>
      <c r="F20" s="99" t="s">
        <v>113</v>
      </c>
      <c r="G20" s="99">
        <v>8</v>
      </c>
      <c r="H20" s="99">
        <v>3</v>
      </c>
    </row>
    <row r="21" spans="1:8" x14ac:dyDescent="0.45">
      <c r="A21" t="s">
        <v>128</v>
      </c>
      <c r="B21" s="1">
        <v>38809</v>
      </c>
      <c r="C21" s="2">
        <v>35000</v>
      </c>
      <c r="D21" s="2">
        <v>26000</v>
      </c>
      <c r="E21" s="2">
        <v>0</v>
      </c>
      <c r="F21" t="s">
        <v>129</v>
      </c>
      <c r="G21">
        <v>1</v>
      </c>
      <c r="H21">
        <v>3</v>
      </c>
    </row>
    <row r="22" spans="1:8" x14ac:dyDescent="0.45">
      <c r="A22" s="99" t="s">
        <v>130</v>
      </c>
      <c r="B22" s="107">
        <v>39795</v>
      </c>
      <c r="C22" s="108">
        <v>36000</v>
      </c>
      <c r="D22" s="108">
        <v>2520.0000000000005</v>
      </c>
      <c r="E22" s="108">
        <v>1800</v>
      </c>
      <c r="F22" s="99" t="s">
        <v>110</v>
      </c>
      <c r="G22" s="99">
        <v>1</v>
      </c>
      <c r="H22" s="99">
        <v>2</v>
      </c>
    </row>
    <row r="23" spans="1:8" x14ac:dyDescent="0.45">
      <c r="A23" t="s">
        <v>131</v>
      </c>
      <c r="B23" s="1">
        <v>39566</v>
      </c>
      <c r="C23" s="2">
        <v>38000</v>
      </c>
      <c r="D23" s="2">
        <v>1900</v>
      </c>
      <c r="E23" s="2">
        <v>0</v>
      </c>
      <c r="F23" t="s">
        <v>125</v>
      </c>
      <c r="G23">
        <v>4</v>
      </c>
      <c r="H23">
        <v>2</v>
      </c>
    </row>
    <row r="24" spans="1:8" x14ac:dyDescent="0.45">
      <c r="A24" s="99" t="s">
        <v>132</v>
      </c>
      <c r="B24" s="107">
        <v>39522</v>
      </c>
      <c r="C24" s="108">
        <v>39000</v>
      </c>
      <c r="D24" s="108">
        <v>780</v>
      </c>
      <c r="E24" s="108">
        <v>390</v>
      </c>
      <c r="F24" s="99" t="s">
        <v>110</v>
      </c>
      <c r="G24" s="99">
        <v>9</v>
      </c>
      <c r="H24" s="99">
        <v>1</v>
      </c>
    </row>
    <row r="25" spans="1:8" x14ac:dyDescent="0.45">
      <c r="A25" t="s">
        <v>133</v>
      </c>
      <c r="B25" s="1">
        <v>38644</v>
      </c>
      <c r="C25" s="2">
        <v>40000</v>
      </c>
      <c r="D25" s="2">
        <v>5600.0000000000009</v>
      </c>
      <c r="E25" s="2">
        <v>0</v>
      </c>
      <c r="F25" t="s">
        <v>116</v>
      </c>
      <c r="G25">
        <v>7</v>
      </c>
      <c r="H25">
        <v>5</v>
      </c>
    </row>
    <row r="26" spans="1:8" x14ac:dyDescent="0.45">
      <c r="A26" s="99" t="s">
        <v>134</v>
      </c>
      <c r="B26" s="107">
        <v>37969</v>
      </c>
      <c r="C26" s="108">
        <v>40000</v>
      </c>
      <c r="D26" s="108">
        <v>1600</v>
      </c>
      <c r="E26" s="108">
        <v>1600</v>
      </c>
      <c r="F26" s="99" t="s">
        <v>103</v>
      </c>
      <c r="G26" s="99">
        <v>6</v>
      </c>
      <c r="H26" s="99">
        <v>1</v>
      </c>
    </row>
    <row r="27" spans="1:8" x14ac:dyDescent="0.45">
      <c r="A27" t="s">
        <v>135</v>
      </c>
      <c r="B27" s="1">
        <v>39719</v>
      </c>
      <c r="C27" s="2">
        <v>41000</v>
      </c>
      <c r="D27" s="2">
        <v>2050</v>
      </c>
      <c r="E27" s="2">
        <v>1640</v>
      </c>
      <c r="F27" t="s">
        <v>107</v>
      </c>
      <c r="G27">
        <v>9</v>
      </c>
      <c r="H27">
        <v>2</v>
      </c>
    </row>
    <row r="28" spans="1:8" x14ac:dyDescent="0.45">
      <c r="A28" s="99" t="s">
        <v>136</v>
      </c>
      <c r="B28" s="107">
        <v>37289</v>
      </c>
      <c r="C28" s="108">
        <v>42000</v>
      </c>
      <c r="D28" s="108">
        <v>2520</v>
      </c>
      <c r="E28" s="108">
        <v>3780</v>
      </c>
      <c r="F28" s="99" t="s">
        <v>118</v>
      </c>
      <c r="G28" s="99">
        <v>9</v>
      </c>
      <c r="H28" s="99">
        <v>2</v>
      </c>
    </row>
    <row r="29" spans="1:8" x14ac:dyDescent="0.45">
      <c r="A29" t="s">
        <v>137</v>
      </c>
      <c r="B29" s="1">
        <v>37021</v>
      </c>
      <c r="C29" s="2">
        <v>43000</v>
      </c>
      <c r="D29" s="2">
        <v>4730</v>
      </c>
      <c r="E29" s="2">
        <v>0</v>
      </c>
      <c r="F29" t="s">
        <v>129</v>
      </c>
      <c r="G29">
        <v>7</v>
      </c>
      <c r="H29">
        <v>4</v>
      </c>
    </row>
    <row r="30" spans="1:8" x14ac:dyDescent="0.45">
      <c r="A30" s="99" t="s">
        <v>138</v>
      </c>
      <c r="B30" s="107">
        <v>36904</v>
      </c>
      <c r="C30" s="108">
        <v>43000</v>
      </c>
      <c r="D30" s="108">
        <v>42000</v>
      </c>
      <c r="E30" s="108">
        <v>0</v>
      </c>
      <c r="F30" s="99" t="s">
        <v>129</v>
      </c>
      <c r="G30" s="99">
        <v>5</v>
      </c>
      <c r="H30" s="99">
        <v>5</v>
      </c>
    </row>
    <row r="31" spans="1:8" x14ac:dyDescent="0.45">
      <c r="A31" t="s">
        <v>139</v>
      </c>
      <c r="B31" s="1">
        <v>38940</v>
      </c>
      <c r="C31" s="2">
        <v>44000</v>
      </c>
      <c r="D31" s="2">
        <v>1320</v>
      </c>
      <c r="E31" s="2">
        <v>880</v>
      </c>
      <c r="F31" t="s">
        <v>103</v>
      </c>
      <c r="G31">
        <v>6</v>
      </c>
      <c r="H31">
        <v>1</v>
      </c>
    </row>
    <row r="32" spans="1:8" x14ac:dyDescent="0.45">
      <c r="A32" s="99" t="s">
        <v>140</v>
      </c>
      <c r="B32" s="107">
        <v>36762</v>
      </c>
      <c r="C32" s="108">
        <v>45000</v>
      </c>
      <c r="D32" s="108">
        <v>37000</v>
      </c>
      <c r="E32" s="108">
        <v>0</v>
      </c>
      <c r="F32" s="99" t="s">
        <v>129</v>
      </c>
      <c r="G32" s="99">
        <v>9</v>
      </c>
      <c r="H32" s="99">
        <v>4</v>
      </c>
    </row>
    <row r="33" spans="1:8" x14ac:dyDescent="0.45">
      <c r="A33" t="s">
        <v>141</v>
      </c>
      <c r="B33" s="1">
        <v>38131</v>
      </c>
      <c r="C33" s="2">
        <v>45000</v>
      </c>
      <c r="D33" s="2">
        <v>5850</v>
      </c>
      <c r="E33" s="2">
        <v>4500</v>
      </c>
      <c r="F33" t="s">
        <v>105</v>
      </c>
      <c r="G33">
        <v>4</v>
      </c>
      <c r="H33">
        <v>4</v>
      </c>
    </row>
    <row r="34" spans="1:8" x14ac:dyDescent="0.45">
      <c r="A34" s="99" t="s">
        <v>142</v>
      </c>
      <c r="B34" s="107">
        <v>39790</v>
      </c>
      <c r="C34" s="108">
        <v>45000</v>
      </c>
      <c r="D34" s="108">
        <v>900</v>
      </c>
      <c r="E34" s="108">
        <v>0</v>
      </c>
      <c r="F34" s="99" t="s">
        <v>125</v>
      </c>
      <c r="G34" s="99">
        <v>7</v>
      </c>
      <c r="H34" s="99">
        <v>1</v>
      </c>
    </row>
    <row r="35" spans="1:8" x14ac:dyDescent="0.45">
      <c r="A35" t="s">
        <v>143</v>
      </c>
      <c r="B35" s="1">
        <v>38492</v>
      </c>
      <c r="C35" s="2">
        <v>46000</v>
      </c>
      <c r="D35" s="2">
        <v>2300</v>
      </c>
      <c r="E35" s="2">
        <v>0</v>
      </c>
      <c r="F35" t="s">
        <v>129</v>
      </c>
      <c r="G35">
        <v>3</v>
      </c>
      <c r="H35">
        <v>2</v>
      </c>
    </row>
    <row r="36" spans="1:8" x14ac:dyDescent="0.45">
      <c r="A36" s="99" t="s">
        <v>144</v>
      </c>
      <c r="B36" s="107">
        <v>37442</v>
      </c>
      <c r="C36" s="108">
        <v>47000</v>
      </c>
      <c r="D36" s="108">
        <v>2820</v>
      </c>
      <c r="E36" s="108">
        <v>470</v>
      </c>
      <c r="F36" s="99" t="s">
        <v>107</v>
      </c>
      <c r="G36" s="99">
        <v>7</v>
      </c>
      <c r="H36" s="99">
        <v>2</v>
      </c>
    </row>
    <row r="37" spans="1:8" x14ac:dyDescent="0.45">
      <c r="A37" t="s">
        <v>145</v>
      </c>
      <c r="B37" s="1">
        <v>37259</v>
      </c>
      <c r="C37" s="2">
        <v>48000</v>
      </c>
      <c r="D37" s="2">
        <v>5760</v>
      </c>
      <c r="E37" s="2">
        <v>4800</v>
      </c>
      <c r="F37" t="s">
        <v>118</v>
      </c>
      <c r="G37">
        <v>7</v>
      </c>
      <c r="H37">
        <v>4</v>
      </c>
    </row>
    <row r="38" spans="1:8" x14ac:dyDescent="0.45">
      <c r="A38" s="99" t="s">
        <v>146</v>
      </c>
      <c r="B38" s="107">
        <v>38200</v>
      </c>
      <c r="C38" s="108">
        <v>48000</v>
      </c>
      <c r="D38" s="108">
        <v>3840</v>
      </c>
      <c r="E38" s="108">
        <v>4320</v>
      </c>
      <c r="F38" s="99" t="s">
        <v>103</v>
      </c>
      <c r="G38" s="99">
        <v>8</v>
      </c>
      <c r="H38" s="99">
        <v>3</v>
      </c>
    </row>
    <row r="39" spans="1:8" x14ac:dyDescent="0.45">
      <c r="A39" t="s">
        <v>147</v>
      </c>
      <c r="B39" s="1">
        <v>38397</v>
      </c>
      <c r="C39" s="2">
        <v>48000</v>
      </c>
      <c r="D39" s="2">
        <v>6720.0000000000009</v>
      </c>
      <c r="E39" s="2">
        <v>2400</v>
      </c>
      <c r="F39" t="s">
        <v>118</v>
      </c>
      <c r="G39">
        <v>4</v>
      </c>
      <c r="H39">
        <v>5</v>
      </c>
    </row>
    <row r="40" spans="1:8" x14ac:dyDescent="0.45">
      <c r="A40" s="99" t="s">
        <v>148</v>
      </c>
      <c r="B40" s="107">
        <v>37952</v>
      </c>
      <c r="C40" s="108">
        <v>48000</v>
      </c>
      <c r="D40" s="108">
        <v>6240</v>
      </c>
      <c r="E40" s="108">
        <v>480</v>
      </c>
      <c r="F40" s="99" t="s">
        <v>110</v>
      </c>
      <c r="G40" s="99">
        <v>6</v>
      </c>
      <c r="H40" s="99">
        <v>4</v>
      </c>
    </row>
    <row r="41" spans="1:8" x14ac:dyDescent="0.45">
      <c r="A41" t="s">
        <v>149</v>
      </c>
      <c r="B41" s="1">
        <v>39476</v>
      </c>
      <c r="C41" s="2">
        <v>48000</v>
      </c>
      <c r="D41" s="2">
        <v>4800</v>
      </c>
      <c r="E41" s="2">
        <v>3360.0000000000005</v>
      </c>
      <c r="F41" t="s">
        <v>113</v>
      </c>
      <c r="G41">
        <v>7</v>
      </c>
      <c r="H41">
        <v>3</v>
      </c>
    </row>
    <row r="42" spans="1:8" x14ac:dyDescent="0.45">
      <c r="A42" s="99" t="s">
        <v>150</v>
      </c>
      <c r="B42" s="107">
        <v>39472</v>
      </c>
      <c r="C42" s="108">
        <v>51000</v>
      </c>
      <c r="D42" s="108">
        <v>6630</v>
      </c>
      <c r="E42" s="108">
        <v>2040</v>
      </c>
      <c r="F42" s="99" t="s">
        <v>107</v>
      </c>
      <c r="G42" s="99">
        <v>9</v>
      </c>
      <c r="H42" s="99">
        <v>4</v>
      </c>
    </row>
    <row r="43" spans="1:8" x14ac:dyDescent="0.45">
      <c r="A43" t="s">
        <v>151</v>
      </c>
      <c r="B43" s="1">
        <v>38707</v>
      </c>
      <c r="C43" s="2">
        <v>52000</v>
      </c>
      <c r="D43" s="2">
        <v>1560</v>
      </c>
      <c r="E43" s="2">
        <v>3640.0000000000005</v>
      </c>
      <c r="F43" t="s">
        <v>113</v>
      </c>
      <c r="G43">
        <v>11</v>
      </c>
      <c r="H43">
        <v>1</v>
      </c>
    </row>
    <row r="44" spans="1:8" x14ac:dyDescent="0.45">
      <c r="A44" s="99" t="s">
        <v>152</v>
      </c>
      <c r="B44" s="107">
        <v>39261</v>
      </c>
      <c r="C44" s="108">
        <v>53000</v>
      </c>
      <c r="D44" s="108">
        <v>35000</v>
      </c>
      <c r="E44" s="108">
        <v>0</v>
      </c>
      <c r="F44" s="99" t="s">
        <v>129</v>
      </c>
      <c r="G44" s="99">
        <v>3</v>
      </c>
      <c r="H44" s="99">
        <v>3</v>
      </c>
    </row>
    <row r="45" spans="1:8" x14ac:dyDescent="0.45">
      <c r="A45" t="s">
        <v>153</v>
      </c>
      <c r="B45" s="1">
        <v>39258</v>
      </c>
      <c r="C45" s="2">
        <v>53000</v>
      </c>
      <c r="D45" s="2">
        <v>5300</v>
      </c>
      <c r="E45" s="2">
        <v>530</v>
      </c>
      <c r="F45" t="s">
        <v>110</v>
      </c>
      <c r="G45">
        <v>3</v>
      </c>
      <c r="H45">
        <v>3</v>
      </c>
    </row>
    <row r="46" spans="1:8" x14ac:dyDescent="0.45">
      <c r="A46" s="99" t="s">
        <v>154</v>
      </c>
      <c r="B46" s="107">
        <v>36867</v>
      </c>
      <c r="C46" s="108">
        <v>54000</v>
      </c>
      <c r="D46" s="108">
        <v>5400</v>
      </c>
      <c r="E46" s="108">
        <v>3780.0000000000005</v>
      </c>
      <c r="F46" s="99" t="s">
        <v>105</v>
      </c>
      <c r="G46" s="99">
        <v>7</v>
      </c>
      <c r="H46" s="99">
        <v>3</v>
      </c>
    </row>
    <row r="47" spans="1:8" x14ac:dyDescent="0.45">
      <c r="A47" t="s">
        <v>155</v>
      </c>
      <c r="B47" s="1">
        <v>36983</v>
      </c>
      <c r="C47" s="2">
        <v>54000</v>
      </c>
      <c r="D47" s="2">
        <v>1620</v>
      </c>
      <c r="E47" s="2">
        <v>4320</v>
      </c>
      <c r="F47" t="s">
        <v>105</v>
      </c>
      <c r="G47">
        <v>8</v>
      </c>
      <c r="H47">
        <v>1</v>
      </c>
    </row>
    <row r="48" spans="1:8" x14ac:dyDescent="0.45">
      <c r="A48" s="99" t="s">
        <v>156</v>
      </c>
      <c r="B48" s="107">
        <v>38104</v>
      </c>
      <c r="C48" s="108">
        <v>54000</v>
      </c>
      <c r="D48" s="108">
        <v>5400</v>
      </c>
      <c r="E48" s="108">
        <v>4860</v>
      </c>
      <c r="F48" s="99" t="s">
        <v>118</v>
      </c>
      <c r="G48" s="99">
        <v>6</v>
      </c>
      <c r="H48" s="99">
        <v>3</v>
      </c>
    </row>
    <row r="49" spans="1:8" x14ac:dyDescent="0.45">
      <c r="A49" t="s">
        <v>157</v>
      </c>
      <c r="B49" s="1">
        <v>38776</v>
      </c>
      <c r="C49" s="2">
        <v>54000</v>
      </c>
      <c r="D49" s="2">
        <v>8100</v>
      </c>
      <c r="E49" s="2">
        <v>1620</v>
      </c>
      <c r="F49" t="s">
        <v>113</v>
      </c>
      <c r="G49">
        <v>9</v>
      </c>
      <c r="H49">
        <v>5</v>
      </c>
    </row>
    <row r="50" spans="1:8" x14ac:dyDescent="0.45">
      <c r="A50" s="99" t="s">
        <v>158</v>
      </c>
      <c r="B50" s="107">
        <v>37246</v>
      </c>
      <c r="C50" s="108">
        <v>55000</v>
      </c>
      <c r="D50" s="108">
        <v>1100</v>
      </c>
      <c r="E50" s="108">
        <v>0</v>
      </c>
      <c r="F50" s="99" t="s">
        <v>125</v>
      </c>
      <c r="G50" s="99">
        <v>9</v>
      </c>
      <c r="H50" s="99">
        <v>1</v>
      </c>
    </row>
    <row r="51" spans="1:8" x14ac:dyDescent="0.45">
      <c r="A51" t="s">
        <v>159</v>
      </c>
      <c r="B51" s="1">
        <v>37932</v>
      </c>
      <c r="C51" s="2">
        <v>57000</v>
      </c>
      <c r="D51" s="2">
        <v>3990.0000000000005</v>
      </c>
      <c r="E51" s="2">
        <v>570</v>
      </c>
      <c r="F51" t="s">
        <v>103</v>
      </c>
      <c r="G51">
        <v>8</v>
      </c>
      <c r="H51">
        <v>2</v>
      </c>
    </row>
    <row r="52" spans="1:8" x14ac:dyDescent="0.45">
      <c r="A52" s="99" t="s">
        <v>160</v>
      </c>
      <c r="B52" s="107">
        <v>37959</v>
      </c>
      <c r="C52" s="108">
        <v>57000</v>
      </c>
      <c r="D52" s="108">
        <v>5130</v>
      </c>
      <c r="E52" s="108">
        <v>3420</v>
      </c>
      <c r="F52" s="99" t="s">
        <v>110</v>
      </c>
      <c r="G52" s="99">
        <v>6</v>
      </c>
      <c r="H52" s="99">
        <v>3</v>
      </c>
    </row>
    <row r="53" spans="1:8" x14ac:dyDescent="0.45">
      <c r="A53" t="s">
        <v>161</v>
      </c>
      <c r="B53" s="1">
        <v>36777</v>
      </c>
      <c r="C53" s="2">
        <v>58000</v>
      </c>
      <c r="D53" s="2">
        <v>5220</v>
      </c>
      <c r="E53" s="2">
        <v>5220</v>
      </c>
      <c r="F53" t="s">
        <v>103</v>
      </c>
      <c r="G53">
        <v>5</v>
      </c>
      <c r="H53">
        <v>3</v>
      </c>
    </row>
    <row r="54" spans="1:8" x14ac:dyDescent="0.45">
      <c r="A54" s="99" t="s">
        <v>162</v>
      </c>
      <c r="B54" s="107">
        <v>37218</v>
      </c>
      <c r="C54" s="108">
        <v>59000</v>
      </c>
      <c r="D54" s="108">
        <v>8850</v>
      </c>
      <c r="E54" s="108">
        <v>0</v>
      </c>
      <c r="F54" s="99" t="s">
        <v>107</v>
      </c>
      <c r="G54" s="99">
        <v>3</v>
      </c>
      <c r="H54" s="99">
        <v>5</v>
      </c>
    </row>
    <row r="55" spans="1:8" x14ac:dyDescent="0.45">
      <c r="A55" t="s">
        <v>163</v>
      </c>
      <c r="B55" s="1">
        <v>37186</v>
      </c>
      <c r="C55" s="2">
        <v>59000</v>
      </c>
      <c r="D55" s="2">
        <v>5900</v>
      </c>
      <c r="E55" s="2">
        <v>0</v>
      </c>
      <c r="F55" t="s">
        <v>125</v>
      </c>
      <c r="G55">
        <v>7</v>
      </c>
      <c r="H55">
        <v>3</v>
      </c>
    </row>
    <row r="56" spans="1:8" x14ac:dyDescent="0.45">
      <c r="A56" s="99" t="s">
        <v>164</v>
      </c>
      <c r="B56" s="107">
        <v>37188</v>
      </c>
      <c r="C56" s="108">
        <v>59000</v>
      </c>
      <c r="D56" s="108">
        <v>5310</v>
      </c>
      <c r="E56" s="108">
        <v>590</v>
      </c>
      <c r="F56" s="99" t="s">
        <v>125</v>
      </c>
      <c r="G56" s="99">
        <v>7</v>
      </c>
      <c r="H56" s="99">
        <v>3</v>
      </c>
    </row>
    <row r="57" spans="1:8" x14ac:dyDescent="0.45">
      <c r="A57" t="s">
        <v>165</v>
      </c>
      <c r="B57" s="1">
        <v>39124</v>
      </c>
      <c r="C57" s="2">
        <v>59000</v>
      </c>
      <c r="D57" s="2">
        <v>7080</v>
      </c>
      <c r="E57" s="2">
        <v>1180</v>
      </c>
      <c r="F57" t="s">
        <v>116</v>
      </c>
      <c r="G57">
        <v>5</v>
      </c>
      <c r="H57">
        <v>4</v>
      </c>
    </row>
    <row r="58" spans="1:8" x14ac:dyDescent="0.45">
      <c r="A58" s="99" t="s">
        <v>166</v>
      </c>
      <c r="B58" s="107">
        <v>39301</v>
      </c>
      <c r="C58" s="108">
        <v>60000</v>
      </c>
      <c r="D58" s="108">
        <v>8400</v>
      </c>
      <c r="E58" s="108">
        <v>0</v>
      </c>
      <c r="F58" s="99" t="s">
        <v>129</v>
      </c>
      <c r="G58" s="99">
        <v>8</v>
      </c>
      <c r="H58" s="99">
        <v>5</v>
      </c>
    </row>
    <row r="59" spans="1:8" x14ac:dyDescent="0.45">
      <c r="A59" t="s">
        <v>167</v>
      </c>
      <c r="B59" s="1">
        <v>38145</v>
      </c>
      <c r="C59" s="2">
        <v>62000</v>
      </c>
      <c r="D59" s="2">
        <v>8060</v>
      </c>
      <c r="E59" s="2">
        <v>3100</v>
      </c>
      <c r="F59" t="s">
        <v>113</v>
      </c>
      <c r="G59">
        <v>9</v>
      </c>
      <c r="H59">
        <v>4</v>
      </c>
    </row>
    <row r="60" spans="1:8" x14ac:dyDescent="0.45">
      <c r="A60" s="99" t="s">
        <v>168</v>
      </c>
      <c r="B60" s="107">
        <v>38477</v>
      </c>
      <c r="C60" s="108">
        <v>62000</v>
      </c>
      <c r="D60" s="108">
        <v>8060</v>
      </c>
      <c r="E60" s="108">
        <v>1240</v>
      </c>
      <c r="F60" s="99" t="s">
        <v>103</v>
      </c>
      <c r="G60" s="99">
        <v>6</v>
      </c>
      <c r="H60" s="99">
        <v>4</v>
      </c>
    </row>
    <row r="61" spans="1:8" x14ac:dyDescent="0.45">
      <c r="A61" t="s">
        <v>169</v>
      </c>
      <c r="B61" s="1">
        <v>37065</v>
      </c>
      <c r="C61" s="2">
        <v>63000</v>
      </c>
      <c r="D61" s="2">
        <v>7560</v>
      </c>
      <c r="E61" s="2">
        <v>4410</v>
      </c>
      <c r="F61" t="s">
        <v>125</v>
      </c>
      <c r="G61">
        <v>9</v>
      </c>
      <c r="H61">
        <v>4</v>
      </c>
    </row>
    <row r="62" spans="1:8" x14ac:dyDescent="0.45">
      <c r="A62" s="99" t="s">
        <v>170</v>
      </c>
      <c r="B62" s="107">
        <v>37929</v>
      </c>
      <c r="C62" s="108">
        <v>63000</v>
      </c>
      <c r="D62" s="108">
        <v>7560</v>
      </c>
      <c r="E62" s="108">
        <v>0</v>
      </c>
      <c r="F62" s="99" t="s">
        <v>125</v>
      </c>
      <c r="G62" s="99">
        <v>4</v>
      </c>
      <c r="H62" s="99">
        <v>4</v>
      </c>
    </row>
    <row r="63" spans="1:8" x14ac:dyDescent="0.45">
      <c r="A63" t="s">
        <v>171</v>
      </c>
      <c r="B63" s="1">
        <v>39638</v>
      </c>
      <c r="C63" s="2">
        <v>63000</v>
      </c>
      <c r="D63" s="2">
        <v>3150</v>
      </c>
      <c r="E63" s="2">
        <v>3780</v>
      </c>
      <c r="F63" t="s">
        <v>118</v>
      </c>
      <c r="G63">
        <v>3</v>
      </c>
      <c r="H63">
        <v>2</v>
      </c>
    </row>
    <row r="64" spans="1:8" x14ac:dyDescent="0.45">
      <c r="A64" s="99" t="s">
        <v>172</v>
      </c>
      <c r="B64" s="107">
        <v>37228</v>
      </c>
      <c r="C64" s="108">
        <v>64000</v>
      </c>
      <c r="D64" s="108">
        <v>2560</v>
      </c>
      <c r="E64" s="108">
        <v>0</v>
      </c>
      <c r="F64" s="99" t="s">
        <v>105</v>
      </c>
      <c r="G64" s="99">
        <v>3</v>
      </c>
      <c r="H64" s="99">
        <v>1</v>
      </c>
    </row>
    <row r="65" spans="1:8" x14ac:dyDescent="0.45">
      <c r="A65" t="s">
        <v>173</v>
      </c>
      <c r="B65" s="1">
        <v>37921</v>
      </c>
      <c r="C65" s="2">
        <v>64000</v>
      </c>
      <c r="D65" s="2">
        <v>8320</v>
      </c>
      <c r="E65" s="2">
        <v>5120</v>
      </c>
      <c r="F65" t="s">
        <v>105</v>
      </c>
      <c r="G65">
        <v>6</v>
      </c>
      <c r="H65">
        <v>4</v>
      </c>
    </row>
    <row r="66" spans="1:8" x14ac:dyDescent="0.45">
      <c r="A66" s="99" t="s">
        <v>174</v>
      </c>
      <c r="B66" s="107">
        <v>39407</v>
      </c>
      <c r="C66" s="108">
        <v>64000</v>
      </c>
      <c r="D66" s="108">
        <v>5760</v>
      </c>
      <c r="E66" s="108">
        <v>0</v>
      </c>
      <c r="F66" s="99" t="s">
        <v>125</v>
      </c>
      <c r="G66" s="99">
        <v>4</v>
      </c>
      <c r="H66" s="99">
        <v>3</v>
      </c>
    </row>
    <row r="67" spans="1:8" x14ac:dyDescent="0.45">
      <c r="A67" t="s">
        <v>175</v>
      </c>
      <c r="B67" s="1">
        <v>39342</v>
      </c>
      <c r="C67" s="2">
        <v>65000</v>
      </c>
      <c r="D67" s="2">
        <v>3900</v>
      </c>
      <c r="E67" s="2">
        <v>0</v>
      </c>
      <c r="F67" t="s">
        <v>110</v>
      </c>
      <c r="G67">
        <v>4</v>
      </c>
      <c r="H67">
        <v>2</v>
      </c>
    </row>
    <row r="68" spans="1:8" x14ac:dyDescent="0.45">
      <c r="A68" s="99" t="s">
        <v>176</v>
      </c>
      <c r="B68" s="107">
        <v>38824</v>
      </c>
      <c r="C68" s="108">
        <v>65000</v>
      </c>
      <c r="D68" s="108">
        <v>1300</v>
      </c>
      <c r="E68" s="108">
        <v>1300</v>
      </c>
      <c r="F68" s="99" t="s">
        <v>107</v>
      </c>
      <c r="G68" s="99">
        <v>4</v>
      </c>
      <c r="H68" s="99">
        <v>1</v>
      </c>
    </row>
    <row r="69" spans="1:8" x14ac:dyDescent="0.45">
      <c r="A69" t="s">
        <v>177</v>
      </c>
      <c r="B69" s="1">
        <v>37170</v>
      </c>
      <c r="C69" s="2">
        <v>66000</v>
      </c>
      <c r="D69" s="2">
        <v>2640</v>
      </c>
      <c r="E69" s="2">
        <v>1320</v>
      </c>
      <c r="F69" t="s">
        <v>118</v>
      </c>
      <c r="G69">
        <v>9</v>
      </c>
      <c r="H69">
        <v>1</v>
      </c>
    </row>
    <row r="70" spans="1:8" x14ac:dyDescent="0.45">
      <c r="A70" s="99" t="s">
        <v>178</v>
      </c>
      <c r="B70" s="107">
        <v>39188</v>
      </c>
      <c r="C70" s="108">
        <v>66000</v>
      </c>
      <c r="D70" s="108">
        <v>1320</v>
      </c>
      <c r="E70" s="108">
        <v>1980</v>
      </c>
      <c r="F70" s="99" t="s">
        <v>110</v>
      </c>
      <c r="G70" s="99">
        <v>1</v>
      </c>
      <c r="H70" s="99">
        <v>1</v>
      </c>
    </row>
    <row r="71" spans="1:8" x14ac:dyDescent="0.45">
      <c r="A71" t="s">
        <v>179</v>
      </c>
      <c r="B71" s="1">
        <v>39400</v>
      </c>
      <c r="C71" s="2">
        <v>67000</v>
      </c>
      <c r="D71" s="2">
        <v>41000</v>
      </c>
      <c r="E71" s="2">
        <v>0</v>
      </c>
      <c r="F71" t="s">
        <v>129</v>
      </c>
      <c r="G71">
        <v>8</v>
      </c>
      <c r="H71">
        <v>3</v>
      </c>
    </row>
    <row r="72" spans="1:8" x14ac:dyDescent="0.45">
      <c r="A72" s="99" t="s">
        <v>180</v>
      </c>
      <c r="B72" s="107">
        <v>39073</v>
      </c>
      <c r="C72" s="108">
        <v>67000</v>
      </c>
      <c r="D72" s="108">
        <v>8040</v>
      </c>
      <c r="E72" s="108">
        <v>3350</v>
      </c>
      <c r="F72" s="99" t="s">
        <v>103</v>
      </c>
      <c r="G72" s="99">
        <v>8</v>
      </c>
      <c r="H72" s="99">
        <v>4</v>
      </c>
    </row>
    <row r="73" spans="1:8" x14ac:dyDescent="0.45">
      <c r="A73" t="s">
        <v>181</v>
      </c>
      <c r="B73" s="1">
        <v>37770</v>
      </c>
      <c r="C73" s="2">
        <v>68000</v>
      </c>
      <c r="D73" s="2">
        <v>8840</v>
      </c>
      <c r="E73" s="2">
        <v>5440</v>
      </c>
      <c r="F73" t="s">
        <v>107</v>
      </c>
      <c r="G73">
        <v>4</v>
      </c>
      <c r="H73">
        <v>4</v>
      </c>
    </row>
    <row r="74" spans="1:8" x14ac:dyDescent="0.45">
      <c r="A74" s="99" t="s">
        <v>182</v>
      </c>
      <c r="B74" s="107">
        <v>36745</v>
      </c>
      <c r="C74" s="108">
        <v>72000</v>
      </c>
      <c r="D74" s="108">
        <v>2880</v>
      </c>
      <c r="E74" s="108">
        <v>6480</v>
      </c>
      <c r="F74" s="99" t="s">
        <v>113</v>
      </c>
      <c r="G74" s="99">
        <v>15</v>
      </c>
      <c r="H74" s="99">
        <v>1</v>
      </c>
    </row>
    <row r="75" spans="1:8" x14ac:dyDescent="0.45">
      <c r="A75" t="s">
        <v>183</v>
      </c>
      <c r="B75" s="1">
        <v>38568</v>
      </c>
      <c r="C75" s="2">
        <v>72000</v>
      </c>
      <c r="D75" s="2">
        <v>2160</v>
      </c>
      <c r="E75" s="2">
        <v>2880</v>
      </c>
      <c r="F75" t="s">
        <v>118</v>
      </c>
      <c r="G75">
        <v>7</v>
      </c>
      <c r="H75">
        <v>1</v>
      </c>
    </row>
    <row r="76" spans="1:8" x14ac:dyDescent="0.45">
      <c r="A76" s="99" t="s">
        <v>184</v>
      </c>
      <c r="B76" s="107">
        <v>38310</v>
      </c>
      <c r="C76" s="108">
        <v>73000</v>
      </c>
      <c r="D76" s="108">
        <v>1460</v>
      </c>
      <c r="E76" s="108">
        <v>5110.0000000000009</v>
      </c>
      <c r="F76" s="99" t="s">
        <v>125</v>
      </c>
      <c r="G76" s="99">
        <v>8</v>
      </c>
      <c r="H76" s="99">
        <v>1</v>
      </c>
    </row>
    <row r="77" spans="1:8" x14ac:dyDescent="0.45">
      <c r="A77" t="s">
        <v>185</v>
      </c>
      <c r="B77" s="1">
        <v>37823</v>
      </c>
      <c r="C77" s="2">
        <v>74000</v>
      </c>
      <c r="D77" s="2">
        <v>8140</v>
      </c>
      <c r="E77" s="2">
        <v>2220</v>
      </c>
      <c r="F77" t="s">
        <v>118</v>
      </c>
      <c r="G77">
        <v>9</v>
      </c>
      <c r="H77">
        <v>4</v>
      </c>
    </row>
    <row r="78" spans="1:8" x14ac:dyDescent="0.45">
      <c r="A78" s="99" t="s">
        <v>186</v>
      </c>
      <c r="B78" s="107">
        <v>37246</v>
      </c>
      <c r="C78" s="108">
        <v>75000</v>
      </c>
      <c r="D78" s="108">
        <v>9750</v>
      </c>
      <c r="E78" s="108">
        <v>1500</v>
      </c>
      <c r="F78" s="99" t="s">
        <v>105</v>
      </c>
      <c r="G78" s="99">
        <v>6</v>
      </c>
      <c r="H78" s="99">
        <v>4</v>
      </c>
    </row>
    <row r="79" spans="1:8" x14ac:dyDescent="0.45">
      <c r="A79" t="s">
        <v>187</v>
      </c>
      <c r="B79" s="1">
        <v>38420</v>
      </c>
      <c r="C79" s="2">
        <v>76000</v>
      </c>
      <c r="D79" s="2">
        <v>7600</v>
      </c>
      <c r="E79" s="2">
        <v>2280</v>
      </c>
      <c r="F79" t="s">
        <v>113</v>
      </c>
      <c r="G79">
        <v>9</v>
      </c>
      <c r="H79">
        <v>3</v>
      </c>
    </row>
    <row r="80" spans="1:8" x14ac:dyDescent="0.45">
      <c r="A80" s="99" t="s">
        <v>188</v>
      </c>
      <c r="B80" s="107">
        <v>37295</v>
      </c>
      <c r="C80" s="108">
        <v>77000</v>
      </c>
      <c r="D80" s="108">
        <v>11550</v>
      </c>
      <c r="E80" s="108">
        <v>0</v>
      </c>
      <c r="F80" s="99" t="s">
        <v>125</v>
      </c>
      <c r="G80" s="99">
        <v>2</v>
      </c>
      <c r="H80" s="99">
        <v>5</v>
      </c>
    </row>
    <row r="81" spans="1:8" x14ac:dyDescent="0.45">
      <c r="A81" t="s">
        <v>189</v>
      </c>
      <c r="B81" s="1">
        <v>38313</v>
      </c>
      <c r="C81" s="2">
        <v>77000</v>
      </c>
      <c r="D81" s="2">
        <v>5390.0000000000009</v>
      </c>
      <c r="E81" s="2">
        <v>0</v>
      </c>
      <c r="F81" t="s">
        <v>113</v>
      </c>
      <c r="G81">
        <v>14</v>
      </c>
      <c r="H81">
        <v>2</v>
      </c>
    </row>
    <row r="82" spans="1:8" x14ac:dyDescent="0.45">
      <c r="A82" s="99" t="s">
        <v>190</v>
      </c>
      <c r="B82" s="107">
        <v>37958</v>
      </c>
      <c r="C82" s="108">
        <v>77000</v>
      </c>
      <c r="D82" s="108">
        <v>28000</v>
      </c>
      <c r="E82" s="108">
        <v>0</v>
      </c>
      <c r="F82" s="99" t="s">
        <v>129</v>
      </c>
      <c r="G82" s="99">
        <v>5</v>
      </c>
      <c r="H82" s="99">
        <v>3</v>
      </c>
    </row>
    <row r="83" spans="1:8" x14ac:dyDescent="0.45">
      <c r="A83" t="s">
        <v>191</v>
      </c>
      <c r="B83" s="1">
        <v>39564</v>
      </c>
      <c r="C83" s="2">
        <v>80000</v>
      </c>
      <c r="D83" s="2">
        <v>52000</v>
      </c>
      <c r="E83" s="2">
        <v>0</v>
      </c>
      <c r="F83" t="s">
        <v>129</v>
      </c>
      <c r="G83">
        <v>6</v>
      </c>
      <c r="H83">
        <v>4</v>
      </c>
    </row>
    <row r="84" spans="1:8" x14ac:dyDescent="0.45">
      <c r="A84" s="99" t="s">
        <v>192</v>
      </c>
      <c r="B84" s="107">
        <v>37249</v>
      </c>
      <c r="C84" s="108">
        <v>81000</v>
      </c>
      <c r="D84" s="108">
        <v>4860</v>
      </c>
      <c r="E84" s="108">
        <v>0</v>
      </c>
      <c r="F84" s="99" t="s">
        <v>116</v>
      </c>
      <c r="G84" s="99">
        <v>4</v>
      </c>
      <c r="H84" s="99">
        <v>2</v>
      </c>
    </row>
    <row r="85" spans="1:8" x14ac:dyDescent="0.45">
      <c r="A85" t="s">
        <v>193</v>
      </c>
      <c r="B85" s="1">
        <v>37959</v>
      </c>
      <c r="C85" s="2">
        <v>83000</v>
      </c>
      <c r="D85" s="2">
        <v>32000</v>
      </c>
      <c r="E85" s="2">
        <v>0</v>
      </c>
      <c r="F85" t="s">
        <v>129</v>
      </c>
      <c r="G85">
        <v>4</v>
      </c>
      <c r="H85">
        <v>2</v>
      </c>
    </row>
    <row r="86" spans="1:8" x14ac:dyDescent="0.45">
      <c r="A86" s="99" t="s">
        <v>194</v>
      </c>
      <c r="B86" s="107">
        <v>38436</v>
      </c>
      <c r="C86" s="108">
        <v>85000</v>
      </c>
      <c r="D86" s="108">
        <v>1700</v>
      </c>
      <c r="E86" s="108">
        <v>0</v>
      </c>
      <c r="F86" s="99" t="s">
        <v>125</v>
      </c>
      <c r="G86" s="99">
        <v>6</v>
      </c>
      <c r="H86" s="99">
        <v>1</v>
      </c>
    </row>
    <row r="87" spans="1:8" x14ac:dyDescent="0.45">
      <c r="A87" t="s">
        <v>195</v>
      </c>
      <c r="B87" s="1">
        <v>38750</v>
      </c>
      <c r="C87" s="2">
        <v>85000</v>
      </c>
      <c r="D87" s="2">
        <v>9350</v>
      </c>
      <c r="E87" s="2">
        <v>0</v>
      </c>
      <c r="F87" t="s">
        <v>125</v>
      </c>
      <c r="G87">
        <v>9</v>
      </c>
      <c r="H87">
        <v>4</v>
      </c>
    </row>
    <row r="88" spans="1:8" x14ac:dyDescent="0.45">
      <c r="A88" s="99" t="s">
        <v>196</v>
      </c>
      <c r="B88" s="107">
        <v>38843</v>
      </c>
      <c r="C88" s="108">
        <v>85000</v>
      </c>
      <c r="D88" s="108">
        <v>9350</v>
      </c>
      <c r="E88" s="108">
        <v>0</v>
      </c>
      <c r="F88" s="99" t="s">
        <v>125</v>
      </c>
      <c r="G88" s="99">
        <v>7</v>
      </c>
      <c r="H88" s="99">
        <v>4</v>
      </c>
    </row>
    <row r="89" spans="1:8" x14ac:dyDescent="0.45">
      <c r="A89" t="s">
        <v>197</v>
      </c>
      <c r="B89" s="1">
        <v>38415</v>
      </c>
      <c r="C89" s="2">
        <v>87000</v>
      </c>
      <c r="D89" s="2">
        <v>7830</v>
      </c>
      <c r="E89" s="2">
        <v>7830</v>
      </c>
      <c r="F89" t="s">
        <v>116</v>
      </c>
      <c r="G89">
        <v>1</v>
      </c>
      <c r="H89">
        <v>3</v>
      </c>
    </row>
    <row r="90" spans="1:8" x14ac:dyDescent="0.45">
      <c r="A90" s="99" t="s">
        <v>198</v>
      </c>
      <c r="B90" s="107">
        <v>39160</v>
      </c>
      <c r="C90" s="108">
        <v>87000</v>
      </c>
      <c r="D90" s="108">
        <v>13050</v>
      </c>
      <c r="E90" s="108">
        <v>6960</v>
      </c>
      <c r="F90" s="99" t="s">
        <v>110</v>
      </c>
      <c r="G90" s="99">
        <v>6</v>
      </c>
      <c r="H90" s="99">
        <v>5</v>
      </c>
    </row>
    <row r="91" spans="1:8" x14ac:dyDescent="0.45">
      <c r="A91" t="s">
        <v>199</v>
      </c>
      <c r="B91" s="1">
        <v>36659</v>
      </c>
      <c r="C91" s="2">
        <v>89000</v>
      </c>
      <c r="D91" s="2">
        <v>8010</v>
      </c>
      <c r="E91" s="2">
        <v>0</v>
      </c>
      <c r="F91" t="s">
        <v>110</v>
      </c>
      <c r="G91">
        <v>2</v>
      </c>
      <c r="H91">
        <v>3</v>
      </c>
    </row>
    <row r="92" spans="1:8" x14ac:dyDescent="0.45">
      <c r="A92" s="99" t="s">
        <v>200</v>
      </c>
      <c r="B92" s="107">
        <v>39508</v>
      </c>
      <c r="C92" s="108">
        <v>94000</v>
      </c>
      <c r="D92" s="108">
        <v>5640</v>
      </c>
      <c r="E92" s="108">
        <v>0</v>
      </c>
      <c r="F92" s="99" t="s">
        <v>107</v>
      </c>
      <c r="G92" s="99">
        <v>6</v>
      </c>
      <c r="H92" s="99">
        <v>2</v>
      </c>
    </row>
    <row r="93" spans="1:8" x14ac:dyDescent="0.45">
      <c r="A93" t="s">
        <v>201</v>
      </c>
      <c r="B93" s="1">
        <v>38962</v>
      </c>
      <c r="C93" s="2">
        <v>96000</v>
      </c>
      <c r="D93" s="2">
        <v>4800</v>
      </c>
      <c r="E93" s="2">
        <v>7680</v>
      </c>
      <c r="F93" t="s">
        <v>103</v>
      </c>
      <c r="G93">
        <v>8</v>
      </c>
      <c r="H93">
        <v>2</v>
      </c>
    </row>
    <row r="94" spans="1:8" x14ac:dyDescent="0.45">
      <c r="A94" s="99" t="s">
        <v>202</v>
      </c>
      <c r="B94" s="107">
        <v>37152</v>
      </c>
      <c r="C94" s="108">
        <v>105000</v>
      </c>
      <c r="D94" s="108">
        <v>15750</v>
      </c>
      <c r="E94" s="108">
        <v>0</v>
      </c>
      <c r="F94" s="99" t="s">
        <v>113</v>
      </c>
      <c r="G94" s="99">
        <v>8</v>
      </c>
      <c r="H94" s="99">
        <v>5</v>
      </c>
    </row>
    <row r="95" spans="1:8" x14ac:dyDescent="0.45">
      <c r="A95" t="s">
        <v>203</v>
      </c>
      <c r="B95" s="1">
        <v>39706</v>
      </c>
      <c r="C95" s="2">
        <v>110000</v>
      </c>
      <c r="D95" s="2">
        <v>6600</v>
      </c>
      <c r="E95" s="2">
        <v>5500</v>
      </c>
      <c r="F95" t="s">
        <v>105</v>
      </c>
      <c r="G95">
        <v>4</v>
      </c>
      <c r="H95">
        <v>2</v>
      </c>
    </row>
    <row r="96" spans="1:8" x14ac:dyDescent="0.45">
      <c r="A96" s="99" t="s">
        <v>204</v>
      </c>
      <c r="B96" s="107">
        <v>39037</v>
      </c>
      <c r="C96" s="108">
        <v>119000</v>
      </c>
      <c r="D96" s="108">
        <v>10710</v>
      </c>
      <c r="E96" s="108">
        <v>4760</v>
      </c>
      <c r="F96" s="99" t="s">
        <v>113</v>
      </c>
      <c r="G96" s="99">
        <v>4</v>
      </c>
      <c r="H96" s="99">
        <v>3</v>
      </c>
    </row>
    <row r="97" spans="1:8" x14ac:dyDescent="0.45">
      <c r="A97" t="s">
        <v>205</v>
      </c>
      <c r="B97" s="1">
        <v>37912</v>
      </c>
      <c r="C97" s="2">
        <v>123000</v>
      </c>
      <c r="D97" s="2">
        <v>17220</v>
      </c>
      <c r="E97" s="2">
        <v>4920</v>
      </c>
      <c r="F97" t="s">
        <v>105</v>
      </c>
      <c r="G97">
        <v>7</v>
      </c>
      <c r="H97">
        <v>5</v>
      </c>
    </row>
    <row r="98" spans="1:8" x14ac:dyDescent="0.45">
      <c r="A98" s="99" t="s">
        <v>206</v>
      </c>
      <c r="B98" s="107">
        <v>39751</v>
      </c>
      <c r="C98" s="108">
        <v>145000</v>
      </c>
      <c r="D98" s="108">
        <v>15950</v>
      </c>
      <c r="E98" s="108">
        <v>5800</v>
      </c>
      <c r="F98" s="99" t="s">
        <v>105</v>
      </c>
      <c r="G98" s="99">
        <v>6</v>
      </c>
      <c r="H98" s="99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B57"/>
  <sheetViews>
    <sheetView showGridLines="0" workbookViewId="0">
      <selection activeCell="B15" sqref="B15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4"/>
      <c r="B2" s="5"/>
    </row>
    <row r="3" spans="1:2" x14ac:dyDescent="0.45">
      <c r="A3" s="6" t="s">
        <v>2</v>
      </c>
      <c r="B3" s="7" t="s">
        <v>3</v>
      </c>
    </row>
    <row r="4" spans="1:2" x14ac:dyDescent="0.45">
      <c r="A4" s="8">
        <v>41278</v>
      </c>
      <c r="B4" s="109">
        <v>141984.99999999988</v>
      </c>
    </row>
    <row r="5" spans="1:2" x14ac:dyDescent="0.45">
      <c r="A5" s="9">
        <f>IF(ISNUMBER(A4),A4+7,"")</f>
        <v>41285</v>
      </c>
      <c r="B5" s="109">
        <v>170382</v>
      </c>
    </row>
    <row r="6" spans="1:2" x14ac:dyDescent="0.45">
      <c r="A6" s="9">
        <f t="shared" ref="A6:A53" si="0">IF(ISNUMBER(A5),A5+7,"")</f>
        <v>41292</v>
      </c>
      <c r="B6" s="109">
        <v>227175.99999999994</v>
      </c>
    </row>
    <row r="7" spans="1:2" x14ac:dyDescent="0.45">
      <c r="A7" s="9">
        <f t="shared" si="0"/>
        <v>41299</v>
      </c>
      <c r="B7" s="109">
        <v>283970.00000000006</v>
      </c>
    </row>
    <row r="8" spans="1:2" x14ac:dyDescent="0.45">
      <c r="A8" s="9">
        <f t="shared" si="0"/>
        <v>41306</v>
      </c>
      <c r="B8" s="109">
        <v>340764</v>
      </c>
    </row>
    <row r="9" spans="1:2" x14ac:dyDescent="0.45">
      <c r="A9" s="9">
        <f t="shared" si="0"/>
        <v>41313</v>
      </c>
      <c r="B9" s="109">
        <v>170382</v>
      </c>
    </row>
    <row r="10" spans="1:2" x14ac:dyDescent="0.45">
      <c r="A10" s="9">
        <f t="shared" si="0"/>
        <v>41320</v>
      </c>
      <c r="B10" s="109">
        <v>141984.99999999988</v>
      </c>
    </row>
    <row r="11" spans="1:2" x14ac:dyDescent="0.45">
      <c r="A11" s="9">
        <f t="shared" si="0"/>
        <v>41327</v>
      </c>
      <c r="B11" s="109">
        <v>85191</v>
      </c>
    </row>
    <row r="12" spans="1:2" x14ac:dyDescent="0.45">
      <c r="A12" s="9">
        <f t="shared" si="0"/>
        <v>41334</v>
      </c>
      <c r="B12" s="109">
        <v>56793.999999999985</v>
      </c>
    </row>
    <row r="13" spans="1:2" x14ac:dyDescent="0.45">
      <c r="A13" s="9">
        <f t="shared" si="0"/>
        <v>41341</v>
      </c>
      <c r="B13" s="109">
        <v>227175.99999999994</v>
      </c>
    </row>
    <row r="14" spans="1:2" x14ac:dyDescent="0.45">
      <c r="A14" s="9">
        <f t="shared" si="0"/>
        <v>41348</v>
      </c>
      <c r="B14" s="109">
        <v>141984.99999999988</v>
      </c>
    </row>
    <row r="15" spans="1:2" x14ac:dyDescent="0.45">
      <c r="A15" s="9">
        <f t="shared" si="0"/>
        <v>41355</v>
      </c>
      <c r="B15" s="109">
        <v>170382</v>
      </c>
    </row>
    <row r="16" spans="1:2" x14ac:dyDescent="0.45">
      <c r="A16" s="9">
        <f t="shared" si="0"/>
        <v>41362</v>
      </c>
      <c r="B16" s="109">
        <v>283970.00000000006</v>
      </c>
    </row>
    <row r="17" spans="1:2" x14ac:dyDescent="0.45">
      <c r="A17" s="9">
        <f t="shared" si="0"/>
        <v>41369</v>
      </c>
      <c r="B17" s="109">
        <v>340764</v>
      </c>
    </row>
    <row r="18" spans="1:2" x14ac:dyDescent="0.45">
      <c r="A18" s="9">
        <f t="shared" si="0"/>
        <v>41376</v>
      </c>
      <c r="B18" s="109">
        <v>170382</v>
      </c>
    </row>
    <row r="19" spans="1:2" x14ac:dyDescent="0.45">
      <c r="A19" s="9">
        <f t="shared" si="0"/>
        <v>41383</v>
      </c>
      <c r="B19" s="109">
        <v>141984.99999999988</v>
      </c>
    </row>
    <row r="20" spans="1:2" x14ac:dyDescent="0.45">
      <c r="A20" s="9">
        <f t="shared" si="0"/>
        <v>41390</v>
      </c>
      <c r="B20" s="109">
        <v>85191</v>
      </c>
    </row>
    <row r="21" spans="1:2" x14ac:dyDescent="0.45">
      <c r="A21" s="9">
        <f t="shared" si="0"/>
        <v>41397</v>
      </c>
      <c r="B21" s="109">
        <v>56793.999999999985</v>
      </c>
    </row>
    <row r="22" spans="1:2" x14ac:dyDescent="0.45">
      <c r="A22" s="9">
        <f t="shared" si="0"/>
        <v>41404</v>
      </c>
      <c r="B22" s="109">
        <v>227175.99999999994</v>
      </c>
    </row>
    <row r="23" spans="1:2" x14ac:dyDescent="0.45">
      <c r="A23" s="9">
        <f t="shared" si="0"/>
        <v>41411</v>
      </c>
      <c r="B23" s="109">
        <v>85191</v>
      </c>
    </row>
    <row r="24" spans="1:2" x14ac:dyDescent="0.45">
      <c r="A24" s="9">
        <f t="shared" si="0"/>
        <v>41418</v>
      </c>
      <c r="B24" s="109">
        <v>56793.999999999985</v>
      </c>
    </row>
    <row r="25" spans="1:2" x14ac:dyDescent="0.45">
      <c r="A25" s="9">
        <f t="shared" si="0"/>
        <v>41425</v>
      </c>
      <c r="B25" s="109">
        <v>227175.99999999994</v>
      </c>
    </row>
    <row r="26" spans="1:2" x14ac:dyDescent="0.45">
      <c r="A26" s="9">
        <f t="shared" si="0"/>
        <v>41432</v>
      </c>
      <c r="B26" s="109">
        <v>141984.99999999988</v>
      </c>
    </row>
    <row r="27" spans="1:2" x14ac:dyDescent="0.45">
      <c r="A27" s="9">
        <f t="shared" si="0"/>
        <v>41439</v>
      </c>
      <c r="B27" s="109">
        <v>170382</v>
      </c>
    </row>
    <row r="28" spans="1:2" x14ac:dyDescent="0.45">
      <c r="A28" s="9">
        <f t="shared" si="0"/>
        <v>41446</v>
      </c>
      <c r="B28" s="109">
        <v>283970.00000000006</v>
      </c>
    </row>
    <row r="29" spans="1:2" x14ac:dyDescent="0.45">
      <c r="A29" s="9">
        <f t="shared" si="0"/>
        <v>41453</v>
      </c>
      <c r="B29" s="109">
        <v>340764</v>
      </c>
    </row>
    <row r="30" spans="1:2" x14ac:dyDescent="0.45">
      <c r="A30" s="9">
        <f t="shared" si="0"/>
        <v>41460</v>
      </c>
      <c r="B30" s="109">
        <v>170382</v>
      </c>
    </row>
    <row r="31" spans="1:2" x14ac:dyDescent="0.45">
      <c r="A31" s="9">
        <f t="shared" si="0"/>
        <v>41467</v>
      </c>
      <c r="B31" s="109">
        <v>141984.99999999988</v>
      </c>
    </row>
    <row r="32" spans="1:2" x14ac:dyDescent="0.45">
      <c r="A32" s="9">
        <f t="shared" si="0"/>
        <v>41474</v>
      </c>
      <c r="B32" s="109">
        <v>85191</v>
      </c>
    </row>
    <row r="33" spans="1:2" x14ac:dyDescent="0.45">
      <c r="A33" s="9">
        <f t="shared" si="0"/>
        <v>41481</v>
      </c>
      <c r="B33" s="109">
        <v>56793.999999999985</v>
      </c>
    </row>
    <row r="34" spans="1:2" x14ac:dyDescent="0.45">
      <c r="A34" s="9">
        <f t="shared" si="0"/>
        <v>41488</v>
      </c>
      <c r="B34" s="109">
        <v>227175.99999999994</v>
      </c>
    </row>
    <row r="35" spans="1:2" x14ac:dyDescent="0.45">
      <c r="A35" s="9">
        <f t="shared" si="0"/>
        <v>41495</v>
      </c>
      <c r="B35" s="109">
        <v>227175.99999999994</v>
      </c>
    </row>
    <row r="36" spans="1:2" x14ac:dyDescent="0.45">
      <c r="A36" s="9">
        <f t="shared" si="0"/>
        <v>41502</v>
      </c>
      <c r="B36" s="109">
        <v>85191</v>
      </c>
    </row>
    <row r="37" spans="1:2" x14ac:dyDescent="0.45">
      <c r="A37" s="9">
        <f t="shared" si="0"/>
        <v>41509</v>
      </c>
      <c r="B37" s="109">
        <v>56793.999999999985</v>
      </c>
    </row>
    <row r="38" spans="1:2" x14ac:dyDescent="0.45">
      <c r="A38" s="9">
        <f t="shared" si="0"/>
        <v>41516</v>
      </c>
      <c r="B38" s="109">
        <v>227175.99999999994</v>
      </c>
    </row>
    <row r="39" spans="1:2" x14ac:dyDescent="0.45">
      <c r="A39" s="9">
        <f t="shared" si="0"/>
        <v>41523</v>
      </c>
      <c r="B39" s="109">
        <v>141984.99999999988</v>
      </c>
    </row>
    <row r="40" spans="1:2" x14ac:dyDescent="0.45">
      <c r="A40" s="9">
        <f t="shared" si="0"/>
        <v>41530</v>
      </c>
      <c r="B40" s="109">
        <v>170382</v>
      </c>
    </row>
    <row r="41" spans="1:2" x14ac:dyDescent="0.45">
      <c r="A41" s="9">
        <f t="shared" si="0"/>
        <v>41537</v>
      </c>
      <c r="B41" s="109">
        <v>283970.00000000006</v>
      </c>
    </row>
    <row r="42" spans="1:2" x14ac:dyDescent="0.45">
      <c r="A42" s="9">
        <f t="shared" si="0"/>
        <v>41544</v>
      </c>
      <c r="B42" s="109">
        <v>340764</v>
      </c>
    </row>
    <row r="43" spans="1:2" x14ac:dyDescent="0.45">
      <c r="A43" s="9">
        <f t="shared" si="0"/>
        <v>41551</v>
      </c>
      <c r="B43" s="109">
        <v>170382</v>
      </c>
    </row>
    <row r="44" spans="1:2" x14ac:dyDescent="0.45">
      <c r="A44" s="9">
        <f t="shared" si="0"/>
        <v>41558</v>
      </c>
      <c r="B44" s="109">
        <v>170382</v>
      </c>
    </row>
    <row r="45" spans="1:2" x14ac:dyDescent="0.45">
      <c r="A45" s="9">
        <f t="shared" si="0"/>
        <v>41565</v>
      </c>
      <c r="B45" s="109">
        <v>141984.99999999988</v>
      </c>
    </row>
    <row r="46" spans="1:2" x14ac:dyDescent="0.45">
      <c r="A46" s="9">
        <f t="shared" si="0"/>
        <v>41572</v>
      </c>
      <c r="B46" s="109">
        <v>85191</v>
      </c>
    </row>
    <row r="47" spans="1:2" x14ac:dyDescent="0.45">
      <c r="A47" s="9">
        <f t="shared" si="0"/>
        <v>41579</v>
      </c>
      <c r="B47" s="109">
        <v>56793.999999999985</v>
      </c>
    </row>
    <row r="48" spans="1:2" x14ac:dyDescent="0.45">
      <c r="A48" s="9">
        <f t="shared" si="0"/>
        <v>41586</v>
      </c>
      <c r="B48" s="109">
        <v>227175.99999999994</v>
      </c>
    </row>
    <row r="49" spans="1:2" x14ac:dyDescent="0.45">
      <c r="A49" s="9">
        <f t="shared" si="0"/>
        <v>41593</v>
      </c>
      <c r="B49" s="109">
        <v>227175.99999999994</v>
      </c>
    </row>
    <row r="50" spans="1:2" x14ac:dyDescent="0.45">
      <c r="A50" s="9">
        <f t="shared" si="0"/>
        <v>41600</v>
      </c>
      <c r="B50" s="109">
        <v>85191</v>
      </c>
    </row>
    <row r="51" spans="1:2" x14ac:dyDescent="0.45">
      <c r="A51" s="9">
        <f t="shared" si="0"/>
        <v>41607</v>
      </c>
      <c r="B51" s="109">
        <v>56793.999999999985</v>
      </c>
    </row>
    <row r="52" spans="1:2" x14ac:dyDescent="0.45">
      <c r="A52" s="9">
        <f t="shared" si="0"/>
        <v>41614</v>
      </c>
      <c r="B52" s="109">
        <v>227175.99999999994</v>
      </c>
    </row>
    <row r="53" spans="1:2" x14ac:dyDescent="0.45">
      <c r="A53" s="9">
        <f t="shared" si="0"/>
        <v>41621</v>
      </c>
      <c r="B53" s="109">
        <v>85191</v>
      </c>
    </row>
    <row r="54" spans="1:2" x14ac:dyDescent="0.45">
      <c r="A54" s="9">
        <f>IF(ISNUMBER(A53),A53+7,"")</f>
        <v>41628</v>
      </c>
      <c r="B54" s="109">
        <v>56793.999999999985</v>
      </c>
    </row>
    <row r="55" spans="1:2" x14ac:dyDescent="0.45">
      <c r="A55" s="9">
        <f>IF(ISNUMBER(A54),A54+7,"")</f>
        <v>41635</v>
      </c>
      <c r="B55" s="109">
        <v>227175.99999999994</v>
      </c>
    </row>
    <row r="56" spans="1:2" ht="14.65" thickBot="1" x14ac:dyDescent="0.5">
      <c r="A56" s="10" t="s">
        <v>4</v>
      </c>
      <c r="B56" s="110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1"/>
  <sheetViews>
    <sheetView workbookViewId="0"/>
  </sheetViews>
  <sheetFormatPr defaultRowHeight="14.25" x14ac:dyDescent="0.45"/>
  <cols>
    <col min="1" max="1" width="17.265625" customWidth="1"/>
    <col min="2" max="2" width="12.86328125" bestFit="1" customWidth="1"/>
  </cols>
  <sheetData>
    <row r="1" spans="1:2" x14ac:dyDescent="0.45">
      <c r="A1" s="157" t="s">
        <v>427</v>
      </c>
      <c r="B1" t="s">
        <v>429</v>
      </c>
    </row>
    <row r="2" spans="1:2" x14ac:dyDescent="0.45">
      <c r="A2" s="158" t="s">
        <v>118</v>
      </c>
      <c r="B2" s="11">
        <v>532000</v>
      </c>
    </row>
    <row r="3" spans="1:2" x14ac:dyDescent="0.45">
      <c r="A3" s="158" t="s">
        <v>105</v>
      </c>
      <c r="B3" s="11">
        <v>852000</v>
      </c>
    </row>
    <row r="4" spans="1:2" x14ac:dyDescent="0.45">
      <c r="A4" s="158" t="s">
        <v>116</v>
      </c>
      <c r="B4" s="11">
        <v>297000</v>
      </c>
    </row>
    <row r="5" spans="1:2" x14ac:dyDescent="0.45">
      <c r="A5" s="158" t="s">
        <v>103</v>
      </c>
      <c r="B5" s="11">
        <v>514000</v>
      </c>
    </row>
    <row r="6" spans="1:2" x14ac:dyDescent="0.45">
      <c r="A6" s="158" t="s">
        <v>107</v>
      </c>
      <c r="B6" s="11">
        <v>481000</v>
      </c>
    </row>
    <row r="7" spans="1:2" x14ac:dyDescent="0.45">
      <c r="A7" s="158" t="s">
        <v>125</v>
      </c>
      <c r="B7" s="11">
        <v>885000</v>
      </c>
    </row>
    <row r="8" spans="1:2" x14ac:dyDescent="0.45">
      <c r="A8" s="158" t="s">
        <v>110</v>
      </c>
      <c r="B8" s="11">
        <v>594000</v>
      </c>
    </row>
    <row r="9" spans="1:2" x14ac:dyDescent="0.45">
      <c r="A9" s="158" t="s">
        <v>113</v>
      </c>
      <c r="B9" s="11">
        <v>792000</v>
      </c>
    </row>
    <row r="10" spans="1:2" x14ac:dyDescent="0.45">
      <c r="A10" s="158" t="s">
        <v>129</v>
      </c>
      <c r="B10" s="11">
        <v>632000</v>
      </c>
    </row>
    <row r="11" spans="1:2" x14ac:dyDescent="0.45">
      <c r="A11" s="158" t="s">
        <v>428</v>
      </c>
      <c r="B11" s="11">
        <v>5579000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98"/>
  <sheetViews>
    <sheetView workbookViewId="0">
      <selection activeCell="W2" sqref="W2"/>
    </sheetView>
  </sheetViews>
  <sheetFormatPr defaultRowHeight="14.25" x14ac:dyDescent="0.45"/>
  <cols>
    <col min="1" max="1" width="23.59765625" bestFit="1" customWidth="1"/>
    <col min="2" max="2" width="16.1328125" bestFit="1" customWidth="1"/>
  </cols>
  <sheetData>
    <row r="1" spans="1:2" x14ac:dyDescent="0.45">
      <c r="A1" s="157" t="s">
        <v>427</v>
      </c>
      <c r="B1" t="s">
        <v>431</v>
      </c>
    </row>
    <row r="2" spans="1:2" x14ac:dyDescent="0.45">
      <c r="A2" s="158" t="s">
        <v>171</v>
      </c>
      <c r="B2" s="11">
        <v>3780</v>
      </c>
    </row>
    <row r="3" spans="1:2" x14ac:dyDescent="0.45">
      <c r="A3" s="158" t="s">
        <v>172</v>
      </c>
      <c r="B3" s="11">
        <v>0</v>
      </c>
    </row>
    <row r="4" spans="1:2" x14ac:dyDescent="0.45">
      <c r="A4" s="158" t="s">
        <v>150</v>
      </c>
      <c r="B4" s="11">
        <v>2040</v>
      </c>
    </row>
    <row r="5" spans="1:2" x14ac:dyDescent="0.45">
      <c r="A5" s="158" t="s">
        <v>199</v>
      </c>
      <c r="B5" s="11">
        <v>0</v>
      </c>
    </row>
    <row r="6" spans="1:2" x14ac:dyDescent="0.45">
      <c r="A6" s="158" t="s">
        <v>165</v>
      </c>
      <c r="B6" s="11">
        <v>1180</v>
      </c>
    </row>
    <row r="7" spans="1:2" x14ac:dyDescent="0.45">
      <c r="A7" s="158" t="s">
        <v>195</v>
      </c>
      <c r="B7" s="11">
        <v>0</v>
      </c>
    </row>
    <row r="8" spans="1:2" x14ac:dyDescent="0.45">
      <c r="A8" s="158" t="s">
        <v>190</v>
      </c>
      <c r="B8" s="11">
        <v>0</v>
      </c>
    </row>
    <row r="9" spans="1:2" x14ac:dyDescent="0.45">
      <c r="A9" s="158" t="s">
        <v>135</v>
      </c>
      <c r="B9" s="11">
        <v>1640</v>
      </c>
    </row>
    <row r="10" spans="1:2" x14ac:dyDescent="0.45">
      <c r="A10" s="158" t="s">
        <v>137</v>
      </c>
      <c r="B10" s="11">
        <v>0</v>
      </c>
    </row>
    <row r="11" spans="1:2" x14ac:dyDescent="0.45">
      <c r="A11" s="158" t="s">
        <v>206</v>
      </c>
      <c r="B11" s="11">
        <v>5800</v>
      </c>
    </row>
    <row r="12" spans="1:2" x14ac:dyDescent="0.45">
      <c r="A12" s="158" t="s">
        <v>177</v>
      </c>
      <c r="B12" s="11">
        <v>1320</v>
      </c>
    </row>
    <row r="13" spans="1:2" x14ac:dyDescent="0.45">
      <c r="A13" s="158" t="s">
        <v>146</v>
      </c>
      <c r="B13" s="11">
        <v>4320</v>
      </c>
    </row>
    <row r="14" spans="1:2" x14ac:dyDescent="0.45">
      <c r="A14" s="158" t="s">
        <v>167</v>
      </c>
      <c r="B14" s="11">
        <v>3100</v>
      </c>
    </row>
    <row r="15" spans="1:2" x14ac:dyDescent="0.45">
      <c r="A15" s="158" t="s">
        <v>106</v>
      </c>
      <c r="B15" s="11">
        <v>750</v>
      </c>
    </row>
    <row r="16" spans="1:2" x14ac:dyDescent="0.45">
      <c r="A16" s="158" t="s">
        <v>169</v>
      </c>
      <c r="B16" s="11">
        <v>4410</v>
      </c>
    </row>
    <row r="17" spans="1:2" x14ac:dyDescent="0.45">
      <c r="A17" s="158" t="s">
        <v>182</v>
      </c>
      <c r="B17" s="11">
        <v>6480</v>
      </c>
    </row>
    <row r="18" spans="1:2" x14ac:dyDescent="0.45">
      <c r="A18" s="158" t="s">
        <v>155</v>
      </c>
      <c r="B18" s="11">
        <v>4320</v>
      </c>
    </row>
    <row r="19" spans="1:2" x14ac:dyDescent="0.45">
      <c r="A19" s="158" t="s">
        <v>124</v>
      </c>
      <c r="B19" s="11">
        <v>3060</v>
      </c>
    </row>
    <row r="20" spans="1:2" x14ac:dyDescent="0.45">
      <c r="A20" s="158" t="s">
        <v>163</v>
      </c>
      <c r="B20" s="11">
        <v>0</v>
      </c>
    </row>
    <row r="21" spans="1:2" x14ac:dyDescent="0.45">
      <c r="A21" s="158" t="s">
        <v>196</v>
      </c>
      <c r="B21" s="11">
        <v>0</v>
      </c>
    </row>
    <row r="22" spans="1:2" x14ac:dyDescent="0.45">
      <c r="A22" s="158" t="s">
        <v>187</v>
      </c>
      <c r="B22" s="11">
        <v>2280</v>
      </c>
    </row>
    <row r="23" spans="1:2" x14ac:dyDescent="0.45">
      <c r="A23" s="158" t="s">
        <v>114</v>
      </c>
      <c r="B23" s="11">
        <v>1400</v>
      </c>
    </row>
    <row r="24" spans="1:2" x14ac:dyDescent="0.45">
      <c r="A24" s="158" t="s">
        <v>170</v>
      </c>
      <c r="B24" s="11">
        <v>0</v>
      </c>
    </row>
    <row r="25" spans="1:2" x14ac:dyDescent="0.45">
      <c r="A25" s="158" t="s">
        <v>203</v>
      </c>
      <c r="B25" s="11">
        <v>5500</v>
      </c>
    </row>
    <row r="26" spans="1:2" x14ac:dyDescent="0.45">
      <c r="A26" s="158" t="s">
        <v>153</v>
      </c>
      <c r="B26" s="11">
        <v>530</v>
      </c>
    </row>
    <row r="27" spans="1:2" x14ac:dyDescent="0.45">
      <c r="A27" s="158" t="s">
        <v>188</v>
      </c>
      <c r="B27" s="11">
        <v>0</v>
      </c>
    </row>
    <row r="28" spans="1:2" x14ac:dyDescent="0.45">
      <c r="A28" s="158" t="s">
        <v>128</v>
      </c>
      <c r="B28" s="11">
        <v>0</v>
      </c>
    </row>
    <row r="29" spans="1:2" x14ac:dyDescent="0.45">
      <c r="A29" s="158" t="s">
        <v>149</v>
      </c>
      <c r="B29" s="11">
        <v>3360.0000000000005</v>
      </c>
    </row>
    <row r="30" spans="1:2" x14ac:dyDescent="0.45">
      <c r="A30" s="158" t="s">
        <v>185</v>
      </c>
      <c r="B30" s="11">
        <v>2220</v>
      </c>
    </row>
    <row r="31" spans="1:2" x14ac:dyDescent="0.45">
      <c r="A31" s="158" t="s">
        <v>142</v>
      </c>
      <c r="B31" s="11">
        <v>0</v>
      </c>
    </row>
    <row r="32" spans="1:2" x14ac:dyDescent="0.45">
      <c r="A32" s="158" t="s">
        <v>130</v>
      </c>
      <c r="B32" s="11">
        <v>1800</v>
      </c>
    </row>
    <row r="33" spans="1:2" x14ac:dyDescent="0.45">
      <c r="A33" s="158" t="s">
        <v>181</v>
      </c>
      <c r="B33" s="11">
        <v>5440</v>
      </c>
    </row>
    <row r="34" spans="1:2" x14ac:dyDescent="0.45">
      <c r="A34" s="158" t="s">
        <v>139</v>
      </c>
      <c r="B34" s="11">
        <v>880</v>
      </c>
    </row>
    <row r="35" spans="1:2" x14ac:dyDescent="0.45">
      <c r="A35" s="158" t="s">
        <v>191</v>
      </c>
      <c r="B35" s="11">
        <v>0</v>
      </c>
    </row>
    <row r="36" spans="1:2" x14ac:dyDescent="0.45">
      <c r="A36" s="158" t="s">
        <v>145</v>
      </c>
      <c r="B36" s="11">
        <v>4800</v>
      </c>
    </row>
    <row r="37" spans="1:2" x14ac:dyDescent="0.45">
      <c r="A37" s="158" t="s">
        <v>112</v>
      </c>
      <c r="B37" s="11">
        <v>0</v>
      </c>
    </row>
    <row r="38" spans="1:2" x14ac:dyDescent="0.45">
      <c r="A38" s="158" t="s">
        <v>152</v>
      </c>
      <c r="B38" s="11">
        <v>0</v>
      </c>
    </row>
    <row r="39" spans="1:2" x14ac:dyDescent="0.45">
      <c r="A39" s="158" t="s">
        <v>161</v>
      </c>
      <c r="B39" s="11">
        <v>5220</v>
      </c>
    </row>
    <row r="40" spans="1:2" x14ac:dyDescent="0.45">
      <c r="A40" s="158" t="s">
        <v>186</v>
      </c>
      <c r="B40" s="11">
        <v>1500</v>
      </c>
    </row>
    <row r="41" spans="1:2" x14ac:dyDescent="0.45">
      <c r="A41" s="158" t="s">
        <v>200</v>
      </c>
      <c r="B41" s="11">
        <v>0</v>
      </c>
    </row>
    <row r="42" spans="1:2" x14ac:dyDescent="0.45">
      <c r="A42" s="158" t="s">
        <v>121</v>
      </c>
      <c r="B42" s="11">
        <v>0</v>
      </c>
    </row>
    <row r="43" spans="1:2" x14ac:dyDescent="0.45">
      <c r="A43" s="158" t="s">
        <v>198</v>
      </c>
      <c r="B43" s="11">
        <v>6960</v>
      </c>
    </row>
    <row r="44" spans="1:2" x14ac:dyDescent="0.45">
      <c r="A44" s="158" t="s">
        <v>109</v>
      </c>
      <c r="B44" s="11">
        <v>2160</v>
      </c>
    </row>
    <row r="45" spans="1:2" x14ac:dyDescent="0.45">
      <c r="A45" s="158" t="s">
        <v>160</v>
      </c>
      <c r="B45" s="11">
        <v>3420</v>
      </c>
    </row>
    <row r="46" spans="1:2" x14ac:dyDescent="0.45">
      <c r="A46" s="158" t="s">
        <v>119</v>
      </c>
      <c r="B46" s="11">
        <v>310</v>
      </c>
    </row>
    <row r="47" spans="1:2" x14ac:dyDescent="0.45">
      <c r="A47" s="158" t="s">
        <v>179</v>
      </c>
      <c r="B47" s="11">
        <v>0</v>
      </c>
    </row>
    <row r="48" spans="1:2" x14ac:dyDescent="0.45">
      <c r="A48" s="158" t="s">
        <v>201</v>
      </c>
      <c r="B48" s="11">
        <v>7680</v>
      </c>
    </row>
    <row r="49" spans="1:2" x14ac:dyDescent="0.45">
      <c r="A49" s="158" t="s">
        <v>140</v>
      </c>
      <c r="B49" s="11">
        <v>0</v>
      </c>
    </row>
    <row r="50" spans="1:2" x14ac:dyDescent="0.45">
      <c r="A50" s="158" t="s">
        <v>193</v>
      </c>
      <c r="B50" s="11">
        <v>0</v>
      </c>
    </row>
    <row r="51" spans="1:2" x14ac:dyDescent="0.45">
      <c r="A51" s="158" t="s">
        <v>159</v>
      </c>
      <c r="B51" s="11">
        <v>570</v>
      </c>
    </row>
    <row r="52" spans="1:2" x14ac:dyDescent="0.45">
      <c r="A52" s="158" t="s">
        <v>197</v>
      </c>
      <c r="B52" s="11">
        <v>7830</v>
      </c>
    </row>
    <row r="53" spans="1:2" x14ac:dyDescent="0.45">
      <c r="A53" s="158" t="s">
        <v>126</v>
      </c>
      <c r="B53" s="11">
        <v>1050</v>
      </c>
    </row>
    <row r="54" spans="1:2" x14ac:dyDescent="0.45">
      <c r="A54" s="158" t="s">
        <v>138</v>
      </c>
      <c r="B54" s="11">
        <v>0</v>
      </c>
    </row>
    <row r="55" spans="1:2" x14ac:dyDescent="0.45">
      <c r="A55" s="158" t="s">
        <v>166</v>
      </c>
      <c r="B55" s="11">
        <v>0</v>
      </c>
    </row>
    <row r="56" spans="1:2" x14ac:dyDescent="0.45">
      <c r="A56" s="158" t="s">
        <v>168</v>
      </c>
      <c r="B56" s="11">
        <v>1240</v>
      </c>
    </row>
    <row r="57" spans="1:2" x14ac:dyDescent="0.45">
      <c r="A57" s="158" t="s">
        <v>183</v>
      </c>
      <c r="B57" s="11">
        <v>2880</v>
      </c>
    </row>
    <row r="58" spans="1:2" x14ac:dyDescent="0.45">
      <c r="A58" s="158" t="s">
        <v>176</v>
      </c>
      <c r="B58" s="11">
        <v>1300</v>
      </c>
    </row>
    <row r="59" spans="1:2" x14ac:dyDescent="0.45">
      <c r="A59" s="158" t="s">
        <v>144</v>
      </c>
      <c r="B59" s="11">
        <v>470</v>
      </c>
    </row>
    <row r="60" spans="1:2" x14ac:dyDescent="0.45">
      <c r="A60" s="158" t="s">
        <v>108</v>
      </c>
      <c r="B60" s="11">
        <v>780</v>
      </c>
    </row>
    <row r="61" spans="1:2" x14ac:dyDescent="0.45">
      <c r="A61" s="158" t="s">
        <v>154</v>
      </c>
      <c r="B61" s="11">
        <v>3780.0000000000005</v>
      </c>
    </row>
    <row r="62" spans="1:2" x14ac:dyDescent="0.45">
      <c r="A62" s="158" t="s">
        <v>178</v>
      </c>
      <c r="B62" s="11">
        <v>1980</v>
      </c>
    </row>
    <row r="63" spans="1:2" x14ac:dyDescent="0.45">
      <c r="A63" s="158" t="s">
        <v>175</v>
      </c>
      <c r="B63" s="11">
        <v>0</v>
      </c>
    </row>
    <row r="64" spans="1:2" x14ac:dyDescent="0.45">
      <c r="A64" s="158" t="s">
        <v>115</v>
      </c>
      <c r="B64" s="11">
        <v>3000</v>
      </c>
    </row>
    <row r="65" spans="1:2" x14ac:dyDescent="0.45">
      <c r="A65" s="158" t="s">
        <v>143</v>
      </c>
      <c r="B65" s="11">
        <v>0</v>
      </c>
    </row>
    <row r="66" spans="1:2" x14ac:dyDescent="0.45">
      <c r="A66" s="158" t="s">
        <v>133</v>
      </c>
      <c r="B66" s="11">
        <v>0</v>
      </c>
    </row>
    <row r="67" spans="1:2" x14ac:dyDescent="0.45">
      <c r="A67" s="158" t="s">
        <v>158</v>
      </c>
      <c r="B67" s="11">
        <v>0</v>
      </c>
    </row>
    <row r="68" spans="1:2" x14ac:dyDescent="0.45">
      <c r="A68" s="158" t="s">
        <v>189</v>
      </c>
      <c r="B68" s="11">
        <v>0</v>
      </c>
    </row>
    <row r="69" spans="1:2" x14ac:dyDescent="0.45">
      <c r="A69" s="158" t="s">
        <v>173</v>
      </c>
      <c r="B69" s="11">
        <v>5120</v>
      </c>
    </row>
    <row r="70" spans="1:2" x14ac:dyDescent="0.45">
      <c r="A70" s="158" t="s">
        <v>157</v>
      </c>
      <c r="B70" s="11">
        <v>1620</v>
      </c>
    </row>
    <row r="71" spans="1:2" x14ac:dyDescent="0.45">
      <c r="A71" s="158" t="s">
        <v>204</v>
      </c>
      <c r="B71" s="11">
        <v>4760</v>
      </c>
    </row>
    <row r="72" spans="1:2" x14ac:dyDescent="0.45">
      <c r="A72" s="158" t="s">
        <v>151</v>
      </c>
      <c r="B72" s="11">
        <v>3640.0000000000005</v>
      </c>
    </row>
    <row r="73" spans="1:2" x14ac:dyDescent="0.45">
      <c r="A73" s="158" t="s">
        <v>164</v>
      </c>
      <c r="B73" s="11">
        <v>590</v>
      </c>
    </row>
    <row r="74" spans="1:2" x14ac:dyDescent="0.45">
      <c r="A74" s="158" t="s">
        <v>147</v>
      </c>
      <c r="B74" s="11">
        <v>2400</v>
      </c>
    </row>
    <row r="75" spans="1:2" x14ac:dyDescent="0.45">
      <c r="A75" s="158" t="s">
        <v>156</v>
      </c>
      <c r="B75" s="11">
        <v>4860</v>
      </c>
    </row>
    <row r="76" spans="1:2" x14ac:dyDescent="0.45">
      <c r="A76" s="158" t="s">
        <v>122</v>
      </c>
      <c r="B76" s="11">
        <v>640</v>
      </c>
    </row>
    <row r="77" spans="1:2" x14ac:dyDescent="0.45">
      <c r="A77" s="158" t="s">
        <v>174</v>
      </c>
      <c r="B77" s="11">
        <v>0</v>
      </c>
    </row>
    <row r="78" spans="1:2" x14ac:dyDescent="0.45">
      <c r="A78" s="158" t="s">
        <v>104</v>
      </c>
      <c r="B78" s="11">
        <v>750</v>
      </c>
    </row>
    <row r="79" spans="1:2" x14ac:dyDescent="0.45">
      <c r="A79" s="158" t="s">
        <v>148</v>
      </c>
      <c r="B79" s="11">
        <v>480</v>
      </c>
    </row>
    <row r="80" spans="1:2" x14ac:dyDescent="0.45">
      <c r="A80" s="158" t="s">
        <v>184</v>
      </c>
      <c r="B80" s="11">
        <v>5110.0000000000009</v>
      </c>
    </row>
    <row r="81" spans="1:2" x14ac:dyDescent="0.45">
      <c r="A81" s="158" t="s">
        <v>102</v>
      </c>
      <c r="B81" s="11">
        <v>160</v>
      </c>
    </row>
    <row r="82" spans="1:2" x14ac:dyDescent="0.45">
      <c r="A82" s="158" t="s">
        <v>120</v>
      </c>
      <c r="B82" s="11">
        <v>930</v>
      </c>
    </row>
    <row r="83" spans="1:2" x14ac:dyDescent="0.45">
      <c r="A83" s="158" t="s">
        <v>205</v>
      </c>
      <c r="B83" s="11">
        <v>4920</v>
      </c>
    </row>
    <row r="84" spans="1:2" x14ac:dyDescent="0.45">
      <c r="A84" s="158" t="s">
        <v>192</v>
      </c>
      <c r="B84" s="11">
        <v>0</v>
      </c>
    </row>
    <row r="85" spans="1:2" x14ac:dyDescent="0.45">
      <c r="A85" s="158" t="s">
        <v>111</v>
      </c>
      <c r="B85" s="11">
        <v>0</v>
      </c>
    </row>
    <row r="86" spans="1:2" x14ac:dyDescent="0.45">
      <c r="A86" s="158" t="s">
        <v>127</v>
      </c>
      <c r="B86" s="11">
        <v>2100</v>
      </c>
    </row>
    <row r="87" spans="1:2" x14ac:dyDescent="0.45">
      <c r="A87" s="158" t="s">
        <v>132</v>
      </c>
      <c r="B87" s="11">
        <v>390</v>
      </c>
    </row>
    <row r="88" spans="1:2" x14ac:dyDescent="0.45">
      <c r="A88" s="158" t="s">
        <v>117</v>
      </c>
      <c r="B88" s="11">
        <v>1800</v>
      </c>
    </row>
    <row r="89" spans="1:2" x14ac:dyDescent="0.45">
      <c r="A89" s="158" t="s">
        <v>162</v>
      </c>
      <c r="B89" s="11">
        <v>0</v>
      </c>
    </row>
    <row r="90" spans="1:2" x14ac:dyDescent="0.45">
      <c r="A90" s="158" t="s">
        <v>180</v>
      </c>
      <c r="B90" s="11">
        <v>3350</v>
      </c>
    </row>
    <row r="91" spans="1:2" x14ac:dyDescent="0.45">
      <c r="A91" s="158" t="s">
        <v>136</v>
      </c>
      <c r="B91" s="11">
        <v>3780</v>
      </c>
    </row>
    <row r="92" spans="1:2" x14ac:dyDescent="0.45">
      <c r="A92" s="158" t="s">
        <v>194</v>
      </c>
      <c r="B92" s="11">
        <v>0</v>
      </c>
    </row>
    <row r="93" spans="1:2" x14ac:dyDescent="0.45">
      <c r="A93" s="158" t="s">
        <v>131</v>
      </c>
      <c r="B93" s="11">
        <v>0</v>
      </c>
    </row>
    <row r="94" spans="1:2" x14ac:dyDescent="0.45">
      <c r="A94" s="158" t="s">
        <v>202</v>
      </c>
      <c r="B94" s="11">
        <v>0</v>
      </c>
    </row>
    <row r="95" spans="1:2" x14ac:dyDescent="0.45">
      <c r="A95" s="158" t="s">
        <v>141</v>
      </c>
      <c r="B95" s="11">
        <v>4500</v>
      </c>
    </row>
    <row r="96" spans="1:2" x14ac:dyDescent="0.45">
      <c r="A96" s="158" t="s">
        <v>123</v>
      </c>
      <c r="B96" s="11">
        <v>2040</v>
      </c>
    </row>
    <row r="97" spans="1:2" x14ac:dyDescent="0.45">
      <c r="A97" s="158" t="s">
        <v>134</v>
      </c>
      <c r="B97" s="11">
        <v>1600</v>
      </c>
    </row>
    <row r="98" spans="1:2" x14ac:dyDescent="0.45">
      <c r="A98" s="158" t="s">
        <v>428</v>
      </c>
      <c r="B98" s="11">
        <v>178080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1"/>
  <sheetViews>
    <sheetView workbookViewId="0">
      <selection activeCell="J35" sqref="J35"/>
    </sheetView>
  </sheetViews>
  <sheetFormatPr defaultRowHeight="14.25" x14ac:dyDescent="0.45"/>
  <cols>
    <col min="1" max="1" width="17.265625" customWidth="1"/>
    <col min="2" max="2" width="15.73046875" customWidth="1"/>
  </cols>
  <sheetData>
    <row r="1" spans="1:2" x14ac:dyDescent="0.45">
      <c r="A1" s="157" t="s">
        <v>427</v>
      </c>
      <c r="B1" t="s">
        <v>430</v>
      </c>
    </row>
    <row r="2" spans="1:2" x14ac:dyDescent="0.45">
      <c r="A2" s="158" t="s">
        <v>118</v>
      </c>
      <c r="B2" s="11">
        <v>62</v>
      </c>
    </row>
    <row r="3" spans="1:2" x14ac:dyDescent="0.45">
      <c r="A3" s="158" t="s">
        <v>105</v>
      </c>
      <c r="B3" s="11">
        <v>78</v>
      </c>
    </row>
    <row r="4" spans="1:2" x14ac:dyDescent="0.45">
      <c r="A4" s="158" t="s">
        <v>116</v>
      </c>
      <c r="B4" s="11">
        <v>21</v>
      </c>
    </row>
    <row r="5" spans="1:2" x14ac:dyDescent="0.45">
      <c r="A5" s="158" t="s">
        <v>103</v>
      </c>
      <c r="B5" s="11">
        <v>66</v>
      </c>
    </row>
    <row r="6" spans="1:2" x14ac:dyDescent="0.45">
      <c r="A6" s="158" t="s">
        <v>107</v>
      </c>
      <c r="B6" s="11">
        <v>50</v>
      </c>
    </row>
    <row r="7" spans="1:2" x14ac:dyDescent="0.45">
      <c r="A7" s="158" t="s">
        <v>125</v>
      </c>
      <c r="B7" s="11">
        <v>88</v>
      </c>
    </row>
    <row r="8" spans="1:2" x14ac:dyDescent="0.45">
      <c r="A8" s="158" t="s">
        <v>110</v>
      </c>
      <c r="B8" s="11">
        <v>54</v>
      </c>
    </row>
    <row r="9" spans="1:2" x14ac:dyDescent="0.45">
      <c r="A9" s="158" t="s">
        <v>113</v>
      </c>
      <c r="B9" s="11">
        <v>117</v>
      </c>
    </row>
    <row r="10" spans="1:2" x14ac:dyDescent="0.45">
      <c r="A10" s="158" t="s">
        <v>129</v>
      </c>
      <c r="B10" s="11">
        <v>59</v>
      </c>
    </row>
    <row r="11" spans="1:2" x14ac:dyDescent="0.45">
      <c r="A11" s="158" t="s">
        <v>428</v>
      </c>
      <c r="B11" s="11">
        <v>595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>
      <selection activeCell="X26" sqref="X2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50"/>
  <sheetViews>
    <sheetView workbookViewId="0">
      <selection activeCell="V29" sqref="V29"/>
    </sheetView>
  </sheetViews>
  <sheetFormatPr defaultRowHeight="14.25" x14ac:dyDescent="0.45"/>
  <cols>
    <col min="1" max="1" width="1.1328125" customWidth="1"/>
    <col min="2" max="2" width="24.73046875" customWidth="1"/>
    <col min="3" max="3" width="12.59765625" customWidth="1"/>
    <col min="4" max="15" width="9.1328125" customWidth="1"/>
    <col min="16" max="16" width="10" customWidth="1"/>
    <col min="17" max="29" width="7.86328125" customWidth="1"/>
    <col min="30" max="30" width="10" customWidth="1"/>
  </cols>
  <sheetData>
    <row r="1" spans="1:30" ht="28.5" x14ac:dyDescent="0.45">
      <c r="A1" s="11"/>
      <c r="B1" s="12" t="s">
        <v>10</v>
      </c>
      <c r="C1" s="13"/>
      <c r="J1" s="14"/>
      <c r="P1" s="165" t="s">
        <v>11</v>
      </c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</row>
    <row r="2" spans="1:30" ht="33.4" x14ac:dyDescent="0.45">
      <c r="B2" s="15" t="s">
        <v>12</v>
      </c>
      <c r="E2" s="16"/>
      <c r="G2" s="16"/>
      <c r="K2" s="16"/>
      <c r="L2" s="16"/>
      <c r="M2" s="16"/>
      <c r="N2" s="16"/>
      <c r="O2" s="16"/>
      <c r="X2" s="17"/>
      <c r="Y2" s="17"/>
      <c r="Z2" s="17"/>
      <c r="AA2" s="17"/>
      <c r="AB2" s="18" t="s">
        <v>13</v>
      </c>
      <c r="AC2" s="18" t="s">
        <v>14</v>
      </c>
      <c r="AD2" s="19">
        <v>2012</v>
      </c>
    </row>
    <row r="4" spans="1:30" x14ac:dyDescent="0.45">
      <c r="D4" s="20" t="str">
        <f>UPPER(TEXT(DATE(FYStartYear,FYMonthNo,1),"mmm-yy"))</f>
        <v>JAN-12</v>
      </c>
      <c r="E4" s="20" t="str">
        <f>UPPER(TEXT(DATE(FYStartYear,FYMonthNo+1,1),"mmm-yy"))</f>
        <v>FEB-12</v>
      </c>
      <c r="F4" s="20" t="str">
        <f>UPPER(TEXT(DATE(FYStartYear,FYMonthNo+2,1),"mmm-yy"))</f>
        <v>MAR-12</v>
      </c>
      <c r="G4" s="20" t="str">
        <f>UPPER(TEXT(DATE(FYStartYear,FYMonthNo+3,1),"mmm-yy"))</f>
        <v>APR-12</v>
      </c>
      <c r="H4" s="20" t="str">
        <f>UPPER(TEXT(DATE(FYStartYear,FYMonthNo+4,1),"mmm-yy"))</f>
        <v>MAY-12</v>
      </c>
      <c r="I4" s="20" t="str">
        <f>UPPER(TEXT(DATE(FYStartYear,FYMonthNo+5,1),"mmm-yy"))</f>
        <v>JUN-12</v>
      </c>
      <c r="J4" s="20" t="str">
        <f>UPPER(TEXT(DATE(FYStartYear,FYMonthNo+6,1),"mmm-yy"))</f>
        <v>JUL-12</v>
      </c>
      <c r="K4" s="20" t="str">
        <f>UPPER(TEXT(DATE(FYStartYear,FYMonthNo+7,1),"mmm-yy"))</f>
        <v>AUG-12</v>
      </c>
      <c r="L4" s="20" t="str">
        <f>UPPER(TEXT(DATE(FYStartYear,FYMonthNo+8,1),"mmm-yy"))</f>
        <v>SEP-12</v>
      </c>
      <c r="M4" s="20" t="str">
        <f>UPPER(TEXT(DATE(FYStartYear,FYMonthNo+9,1),"mmm-yy"))</f>
        <v>OCT-12</v>
      </c>
      <c r="N4" s="20" t="str">
        <f>UPPER(TEXT(DATE(FYStartYear,FYMonthNo+10,1),"mmm-yy"))</f>
        <v>NOV-12</v>
      </c>
      <c r="O4" s="20" t="str">
        <f>UPPER(TEXT(DATE(FYStartYear,FYMonthNo+11,1),"mmm-yy"))</f>
        <v>DEC-12</v>
      </c>
      <c r="P4" s="21" t="s">
        <v>15</v>
      </c>
      <c r="Q4" s="21" t="s">
        <v>16</v>
      </c>
      <c r="R4" s="21" t="str">
        <f>LEFT(D4,1)&amp;" %"</f>
        <v>J %</v>
      </c>
      <c r="S4" s="21" t="str">
        <f t="shared" ref="S4:AC4" si="0">LEFT(E4,1)&amp;" %"</f>
        <v>F %</v>
      </c>
      <c r="T4" s="21" t="str">
        <f t="shared" si="0"/>
        <v>M %</v>
      </c>
      <c r="U4" s="21" t="str">
        <f t="shared" si="0"/>
        <v>A %</v>
      </c>
      <c r="V4" s="21" t="str">
        <f t="shared" si="0"/>
        <v>M %</v>
      </c>
      <c r="W4" s="21" t="str">
        <f t="shared" si="0"/>
        <v>J %</v>
      </c>
      <c r="X4" s="21" t="str">
        <f t="shared" si="0"/>
        <v>J %</v>
      </c>
      <c r="Y4" s="21" t="str">
        <f t="shared" si="0"/>
        <v>A %</v>
      </c>
      <c r="Z4" s="21" t="str">
        <f t="shared" si="0"/>
        <v>S %</v>
      </c>
      <c r="AA4" s="21" t="str">
        <f t="shared" si="0"/>
        <v>O %</v>
      </c>
      <c r="AB4" s="21" t="str">
        <f t="shared" si="0"/>
        <v>N %</v>
      </c>
      <c r="AC4" s="21" t="str">
        <f t="shared" si="0"/>
        <v>D %</v>
      </c>
      <c r="AD4" s="21" t="s">
        <v>17</v>
      </c>
    </row>
    <row r="5" spans="1:30" ht="15.75" x14ac:dyDescent="0.5">
      <c r="B5" s="22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 ht="21.4" thickBot="1" x14ac:dyDescent="0.7">
      <c r="B6" s="25" t="s">
        <v>18</v>
      </c>
      <c r="C6" s="26" t="s">
        <v>19</v>
      </c>
      <c r="D6" s="27" t="s">
        <v>20</v>
      </c>
      <c r="E6" s="27" t="s">
        <v>21</v>
      </c>
      <c r="F6" s="27" t="s">
        <v>22</v>
      </c>
      <c r="G6" s="27" t="s">
        <v>23</v>
      </c>
      <c r="H6" s="27" t="s">
        <v>24</v>
      </c>
      <c r="I6" s="27" t="s">
        <v>25</v>
      </c>
      <c r="J6" s="27" t="s">
        <v>26</v>
      </c>
      <c r="K6" s="27" t="s">
        <v>27</v>
      </c>
      <c r="L6" s="27" t="s">
        <v>28</v>
      </c>
      <c r="M6" s="27" t="s">
        <v>29</v>
      </c>
      <c r="N6" s="27" t="s">
        <v>30</v>
      </c>
      <c r="O6" s="27" t="s">
        <v>31</v>
      </c>
      <c r="P6" s="27" t="s">
        <v>32</v>
      </c>
      <c r="Q6" s="28" t="s">
        <v>33</v>
      </c>
      <c r="R6" s="28" t="s">
        <v>34</v>
      </c>
      <c r="S6" s="28" t="s">
        <v>35</v>
      </c>
      <c r="T6" s="28" t="s">
        <v>36</v>
      </c>
      <c r="U6" s="28" t="s">
        <v>37</v>
      </c>
      <c r="V6" s="28" t="s">
        <v>38</v>
      </c>
      <c r="W6" s="28" t="s">
        <v>39</v>
      </c>
      <c r="X6" s="28" t="s">
        <v>40</v>
      </c>
      <c r="Y6" s="28" t="s">
        <v>41</v>
      </c>
      <c r="Z6" s="28" t="s">
        <v>42</v>
      </c>
      <c r="AA6" s="28" t="s">
        <v>43</v>
      </c>
      <c r="AB6" s="28" t="s">
        <v>44</v>
      </c>
      <c r="AC6" s="28" t="s">
        <v>45</v>
      </c>
      <c r="AD6" s="27" t="s">
        <v>46</v>
      </c>
    </row>
    <row r="7" spans="1:30" ht="14.65" thickTop="1" x14ac:dyDescent="0.45">
      <c r="B7" s="29" t="s">
        <v>47</v>
      </c>
      <c r="C7" s="30"/>
      <c r="D7" s="31">
        <v>186</v>
      </c>
      <c r="E7" s="31">
        <v>108</v>
      </c>
      <c r="F7" s="31">
        <v>92</v>
      </c>
      <c r="G7" s="31">
        <v>122</v>
      </c>
      <c r="H7" s="31">
        <v>190</v>
      </c>
      <c r="I7" s="31">
        <v>71</v>
      </c>
      <c r="J7" s="31">
        <v>21</v>
      </c>
      <c r="K7" s="31">
        <v>37</v>
      </c>
      <c r="L7" s="31">
        <v>24</v>
      </c>
      <c r="M7" s="31">
        <v>178</v>
      </c>
      <c r="N7" s="31">
        <v>92</v>
      </c>
      <c r="O7" s="31">
        <v>97</v>
      </c>
      <c r="P7" s="32">
        <f>SUM(tblRevenue[[#This Row],[m1]:[m12]])</f>
        <v>1218</v>
      </c>
      <c r="Q7" s="33">
        <v>0.12</v>
      </c>
      <c r="R7" s="34">
        <f>IFERROR(tblRevenue[[#This Row],[m1]]/tblRevenue[[#Totals],[m1]],"-")</f>
        <v>0.29807692307692307</v>
      </c>
      <c r="S7" s="35">
        <f>IFERROR(tblRevenue[[#This Row],[m2]]/tblRevenue[[#Totals],[m2]],"-")</f>
        <v>0.14673913043478262</v>
      </c>
      <c r="T7" s="35">
        <f>IFERROR(tblRevenue[[#This Row],[m3]]/tblRevenue[[#Totals],[m3]],"-")</f>
        <v>0.11219512195121951</v>
      </c>
      <c r="U7" s="35">
        <f>IFERROR(tblRevenue[[#This Row],[m4]]/tblRevenue[[#Totals],[m4]],"-")</f>
        <v>0.19967266775777415</v>
      </c>
      <c r="V7" s="35">
        <f>IFERROR(tblRevenue[[#This Row],[m5]]/tblRevenue[[#Totals],[m5]],"-")</f>
        <v>0.23399014778325122</v>
      </c>
      <c r="W7" s="35">
        <f>IFERROR(tblRevenue[[#This Row],[m6]]/tblRevenue[[#Totals],[m6]],"-")</f>
        <v>0.12283737024221453</v>
      </c>
      <c r="X7" s="35">
        <f>IFERROR(tblRevenue[[#This Row],[m7]]/tblRevenue[[#Totals],[m7]],"-")</f>
        <v>3.5175879396984924E-2</v>
      </c>
      <c r="Y7" s="35">
        <f>IFERROR(tblRevenue[[#This Row],[m8]]/tblRevenue[[#Totals],[m8]],"-")</f>
        <v>5.4814814814814816E-2</v>
      </c>
      <c r="Z7" s="35">
        <f>IFERROR(tblRevenue[[#This Row],[m9]]/tblRevenue[[#Totals],[m9]],"-")</f>
        <v>3.2258064516129031E-2</v>
      </c>
      <c r="AA7" s="35">
        <f>IFERROR(tblRevenue[[#This Row],[m10]]/tblRevenue[[#Totals],[m10]],"-")</f>
        <v>0.26138032305433184</v>
      </c>
      <c r="AB7" s="35">
        <f>IFERROR(tblRevenue[[#This Row],[m11]]/tblRevenue[[#Totals],[m11]],"-")</f>
        <v>0.12449255751014884</v>
      </c>
      <c r="AC7" s="35">
        <f>IFERROR(tblRevenue[[#This Row],[m12]]/tblRevenue[[#Totals],[m12]],"-")</f>
        <v>9.3000958772770856E-2</v>
      </c>
      <c r="AD7" s="36">
        <f>IFERROR(tblRevenue[[#This Row],[Yearly]]/tblRevenue[[#Totals],[Yearly]],"-")</f>
        <v>0.14064665127020784</v>
      </c>
    </row>
    <row r="8" spans="1:30" x14ac:dyDescent="0.45">
      <c r="B8" s="29" t="s">
        <v>48</v>
      </c>
      <c r="C8" s="30"/>
      <c r="D8" s="31">
        <v>15</v>
      </c>
      <c r="E8" s="31">
        <v>16</v>
      </c>
      <c r="F8" s="31">
        <v>198</v>
      </c>
      <c r="G8" s="31">
        <v>44</v>
      </c>
      <c r="H8" s="31">
        <v>25</v>
      </c>
      <c r="I8" s="31">
        <v>68</v>
      </c>
      <c r="J8" s="31">
        <v>43</v>
      </c>
      <c r="K8" s="31">
        <v>119</v>
      </c>
      <c r="L8" s="31">
        <v>37</v>
      </c>
      <c r="M8" s="31">
        <v>118</v>
      </c>
      <c r="N8" s="31">
        <v>29</v>
      </c>
      <c r="O8" s="31">
        <v>171</v>
      </c>
      <c r="P8" s="32">
        <f>SUM(tblRevenue[[#This Row],[m1]:[m12]])</f>
        <v>883</v>
      </c>
      <c r="Q8" s="33">
        <v>0.18</v>
      </c>
      <c r="R8" s="34">
        <f>IFERROR(tblRevenue[[#This Row],[m1]]/tblRevenue[[#Totals],[m1]],"-")</f>
        <v>2.403846153846154E-2</v>
      </c>
      <c r="S8" s="35">
        <f>IFERROR(tblRevenue[[#This Row],[m2]]/tblRevenue[[#Totals],[m2]],"-")</f>
        <v>2.1739130434782608E-2</v>
      </c>
      <c r="T8" s="35">
        <f>IFERROR(tblRevenue[[#This Row],[m3]]/tblRevenue[[#Totals],[m3]],"-")</f>
        <v>0.24146341463414633</v>
      </c>
      <c r="U8" s="35">
        <f>IFERROR(tblRevenue[[#This Row],[m4]]/tblRevenue[[#Totals],[m4]],"-")</f>
        <v>7.2013093289689037E-2</v>
      </c>
      <c r="V8" s="35">
        <f>IFERROR(tblRevenue[[#This Row],[m5]]/tblRevenue[[#Totals],[m5]],"-")</f>
        <v>3.0788177339901478E-2</v>
      </c>
      <c r="W8" s="35">
        <f>IFERROR(tblRevenue[[#This Row],[m6]]/tblRevenue[[#Totals],[m6]],"-")</f>
        <v>0.11764705882352941</v>
      </c>
      <c r="X8" s="35">
        <f>IFERROR(tblRevenue[[#This Row],[m7]]/tblRevenue[[#Totals],[m7]],"-")</f>
        <v>7.2026800670016752E-2</v>
      </c>
      <c r="Y8" s="35">
        <f>IFERROR(tblRevenue[[#This Row],[m8]]/tblRevenue[[#Totals],[m8]],"-")</f>
        <v>0.17629629629629628</v>
      </c>
      <c r="Z8" s="35">
        <f>IFERROR(tblRevenue[[#This Row],[m9]]/tblRevenue[[#Totals],[m9]],"-")</f>
        <v>4.9731182795698922E-2</v>
      </c>
      <c r="AA8" s="35">
        <f>IFERROR(tblRevenue[[#This Row],[m10]]/tblRevenue[[#Totals],[m10]],"-")</f>
        <v>0.17327459618208516</v>
      </c>
      <c r="AB8" s="35">
        <f>IFERROR(tblRevenue[[#This Row],[m11]]/tblRevenue[[#Totals],[m11]],"-")</f>
        <v>3.9242219215155617E-2</v>
      </c>
      <c r="AC8" s="35">
        <f>IFERROR(tblRevenue[[#This Row],[m12]]/tblRevenue[[#Totals],[m12]],"-")</f>
        <v>0.16395014381591563</v>
      </c>
      <c r="AD8" s="36">
        <f>IFERROR(tblRevenue[[#This Row],[Yearly]]/tblRevenue[[#Totals],[Yearly]],"-")</f>
        <v>0.10196304849884527</v>
      </c>
    </row>
    <row r="9" spans="1:30" x14ac:dyDescent="0.45">
      <c r="B9" s="29" t="s">
        <v>49</v>
      </c>
      <c r="C9" s="30"/>
      <c r="D9" s="31">
        <v>166</v>
      </c>
      <c r="E9" s="31">
        <v>185</v>
      </c>
      <c r="F9" s="31">
        <v>89</v>
      </c>
      <c r="G9" s="31">
        <v>170</v>
      </c>
      <c r="H9" s="31">
        <v>131</v>
      </c>
      <c r="I9" s="31">
        <v>70</v>
      </c>
      <c r="J9" s="31">
        <v>50</v>
      </c>
      <c r="K9" s="31">
        <v>149</v>
      </c>
      <c r="L9" s="31">
        <v>179</v>
      </c>
      <c r="M9" s="31">
        <v>104</v>
      </c>
      <c r="N9" s="31">
        <v>119</v>
      </c>
      <c r="O9" s="31">
        <v>187</v>
      </c>
      <c r="P9" s="32">
        <f>SUM(tblRevenue[[#This Row],[m1]:[m12]])</f>
        <v>1599</v>
      </c>
      <c r="Q9" s="33">
        <v>0.19</v>
      </c>
      <c r="R9" s="34">
        <f>IFERROR(tblRevenue[[#This Row],[m1]]/tblRevenue[[#Totals],[m1]],"-")</f>
        <v>0.26602564102564102</v>
      </c>
      <c r="S9" s="35">
        <f>IFERROR(tblRevenue[[#This Row],[m2]]/tblRevenue[[#Totals],[m2]],"-")</f>
        <v>0.25135869565217389</v>
      </c>
      <c r="T9" s="35">
        <f>IFERROR(tblRevenue[[#This Row],[m3]]/tblRevenue[[#Totals],[m3]],"-")</f>
        <v>0.10853658536585366</v>
      </c>
      <c r="U9" s="35">
        <f>IFERROR(tblRevenue[[#This Row],[m4]]/tblRevenue[[#Totals],[m4]],"-")</f>
        <v>0.27823240589198034</v>
      </c>
      <c r="V9" s="35">
        <f>IFERROR(tblRevenue[[#This Row],[m5]]/tblRevenue[[#Totals],[m5]],"-")</f>
        <v>0.16133004926108374</v>
      </c>
      <c r="W9" s="35">
        <f>IFERROR(tblRevenue[[#This Row],[m6]]/tblRevenue[[#Totals],[m6]],"-")</f>
        <v>0.12110726643598616</v>
      </c>
      <c r="X9" s="35">
        <f>IFERROR(tblRevenue[[#This Row],[m7]]/tblRevenue[[#Totals],[m7]],"-")</f>
        <v>8.3752093802345065E-2</v>
      </c>
      <c r="Y9" s="35">
        <f>IFERROR(tblRevenue[[#This Row],[m8]]/tblRevenue[[#Totals],[m8]],"-")</f>
        <v>0.22074074074074074</v>
      </c>
      <c r="Z9" s="35">
        <f>IFERROR(tblRevenue[[#This Row],[m9]]/tblRevenue[[#Totals],[m9]],"-")</f>
        <v>0.24059139784946237</v>
      </c>
      <c r="AA9" s="35">
        <f>IFERROR(tblRevenue[[#This Row],[m10]]/tblRevenue[[#Totals],[m10]],"-")</f>
        <v>0.1527165932452276</v>
      </c>
      <c r="AB9" s="35">
        <f>IFERROR(tblRevenue[[#This Row],[m11]]/tblRevenue[[#Totals],[m11]],"-")</f>
        <v>0.16102841677943167</v>
      </c>
      <c r="AC9" s="35">
        <f>IFERROR(tblRevenue[[#This Row],[m12]]/tblRevenue[[#Totals],[m12]],"-")</f>
        <v>0.17929050814956854</v>
      </c>
      <c r="AD9" s="36">
        <f>IFERROR(tblRevenue[[#This Row],[Yearly]]/tblRevenue[[#Totals],[Yearly]],"-")</f>
        <v>0.18464203233256352</v>
      </c>
    </row>
    <row r="10" spans="1:30" x14ac:dyDescent="0.45">
      <c r="B10" s="29" t="s">
        <v>50</v>
      </c>
      <c r="C10" s="30"/>
      <c r="D10" s="31">
        <v>21</v>
      </c>
      <c r="E10" s="31">
        <v>113</v>
      </c>
      <c r="F10" s="31">
        <v>83</v>
      </c>
      <c r="G10" s="31">
        <v>17</v>
      </c>
      <c r="H10" s="31">
        <v>130</v>
      </c>
      <c r="I10" s="31">
        <v>26</v>
      </c>
      <c r="J10" s="31">
        <v>167</v>
      </c>
      <c r="K10" s="31">
        <v>102</v>
      </c>
      <c r="L10" s="31">
        <v>82</v>
      </c>
      <c r="M10" s="31">
        <v>33</v>
      </c>
      <c r="N10" s="31">
        <v>88</v>
      </c>
      <c r="O10" s="31">
        <v>193</v>
      </c>
      <c r="P10" s="32">
        <f>SUM(tblRevenue[[#This Row],[m1]:[m12]])</f>
        <v>1055</v>
      </c>
      <c r="Q10" s="33">
        <v>0.11</v>
      </c>
      <c r="R10" s="34">
        <f>IFERROR(tblRevenue[[#This Row],[m1]]/tblRevenue[[#Totals],[m1]],"-")</f>
        <v>3.3653846153846152E-2</v>
      </c>
      <c r="S10" s="35">
        <f>IFERROR(tblRevenue[[#This Row],[m2]]/tblRevenue[[#Totals],[m2]],"-")</f>
        <v>0.15353260869565216</v>
      </c>
      <c r="T10" s="35">
        <f>IFERROR(tblRevenue[[#This Row],[m3]]/tblRevenue[[#Totals],[m3]],"-")</f>
        <v>0.10121951219512196</v>
      </c>
      <c r="U10" s="35">
        <f>IFERROR(tblRevenue[[#This Row],[m4]]/tblRevenue[[#Totals],[m4]],"-")</f>
        <v>2.7823240589198037E-2</v>
      </c>
      <c r="V10" s="35">
        <f>IFERROR(tblRevenue[[#This Row],[m5]]/tblRevenue[[#Totals],[m5]],"-")</f>
        <v>0.16009852216748768</v>
      </c>
      <c r="W10" s="35">
        <f>IFERROR(tblRevenue[[#This Row],[m6]]/tblRevenue[[#Totals],[m6]],"-")</f>
        <v>4.4982698961937718E-2</v>
      </c>
      <c r="X10" s="35">
        <f>IFERROR(tblRevenue[[#This Row],[m7]]/tblRevenue[[#Totals],[m7]],"-")</f>
        <v>0.2797319932998325</v>
      </c>
      <c r="Y10" s="35">
        <f>IFERROR(tblRevenue[[#This Row],[m8]]/tblRevenue[[#Totals],[m8]],"-")</f>
        <v>0.15111111111111111</v>
      </c>
      <c r="Z10" s="35">
        <f>IFERROR(tblRevenue[[#This Row],[m9]]/tblRevenue[[#Totals],[m9]],"-")</f>
        <v>0.11021505376344086</v>
      </c>
      <c r="AA10" s="35">
        <f>IFERROR(tblRevenue[[#This Row],[m10]]/tblRevenue[[#Totals],[m10]],"-")</f>
        <v>4.8458149779735685E-2</v>
      </c>
      <c r="AB10" s="35">
        <f>IFERROR(tblRevenue[[#This Row],[m11]]/tblRevenue[[#Totals],[m11]],"-")</f>
        <v>0.11907983761840325</v>
      </c>
      <c r="AC10" s="35">
        <f>IFERROR(tblRevenue[[#This Row],[m12]]/tblRevenue[[#Totals],[m12]],"-")</f>
        <v>0.18504314477468839</v>
      </c>
      <c r="AD10" s="36">
        <f>IFERROR(tblRevenue[[#This Row],[Yearly]]/tblRevenue[[#Totals],[Yearly]],"-")</f>
        <v>0.12182448036951501</v>
      </c>
    </row>
    <row r="11" spans="1:30" x14ac:dyDescent="0.45">
      <c r="B11" s="29" t="s">
        <v>51</v>
      </c>
      <c r="C11" s="30"/>
      <c r="D11" s="31">
        <v>70</v>
      </c>
      <c r="E11" s="31">
        <v>160</v>
      </c>
      <c r="F11" s="31">
        <v>125</v>
      </c>
      <c r="G11" s="31">
        <v>84</v>
      </c>
      <c r="H11" s="31">
        <v>191</v>
      </c>
      <c r="I11" s="31">
        <v>97</v>
      </c>
      <c r="J11" s="31">
        <v>52</v>
      </c>
      <c r="K11" s="31">
        <v>45</v>
      </c>
      <c r="L11" s="31">
        <v>173</v>
      </c>
      <c r="M11" s="31">
        <v>136</v>
      </c>
      <c r="N11" s="31">
        <v>144</v>
      </c>
      <c r="O11" s="31">
        <v>167</v>
      </c>
      <c r="P11" s="32">
        <f>SUM(tblRevenue[[#This Row],[m1]:[m12]])</f>
        <v>1444</v>
      </c>
      <c r="Q11" s="33">
        <v>0.2</v>
      </c>
      <c r="R11" s="34">
        <f>IFERROR(tblRevenue[[#This Row],[m1]]/tblRevenue[[#Totals],[m1]],"-")</f>
        <v>0.11217948717948718</v>
      </c>
      <c r="S11" s="35">
        <f>IFERROR(tblRevenue[[#This Row],[m2]]/tblRevenue[[#Totals],[m2]],"-")</f>
        <v>0.21739130434782608</v>
      </c>
      <c r="T11" s="35">
        <f>IFERROR(tblRevenue[[#This Row],[m3]]/tblRevenue[[#Totals],[m3]],"-")</f>
        <v>0.1524390243902439</v>
      </c>
      <c r="U11" s="35">
        <f>IFERROR(tblRevenue[[#This Row],[m4]]/tblRevenue[[#Totals],[m4]],"-")</f>
        <v>0.13747954173486088</v>
      </c>
      <c r="V11" s="35">
        <f>IFERROR(tblRevenue[[#This Row],[m5]]/tblRevenue[[#Totals],[m5]],"-")</f>
        <v>0.23522167487684728</v>
      </c>
      <c r="W11" s="35">
        <f>IFERROR(tblRevenue[[#This Row],[m6]]/tblRevenue[[#Totals],[m6]],"-")</f>
        <v>0.16782006920415224</v>
      </c>
      <c r="X11" s="35">
        <f>IFERROR(tblRevenue[[#This Row],[m7]]/tblRevenue[[#Totals],[m7]],"-")</f>
        <v>8.7102177554438859E-2</v>
      </c>
      <c r="Y11" s="35">
        <f>IFERROR(tblRevenue[[#This Row],[m8]]/tblRevenue[[#Totals],[m8]],"-")</f>
        <v>6.6666666666666666E-2</v>
      </c>
      <c r="Z11" s="35">
        <f>IFERROR(tblRevenue[[#This Row],[m9]]/tblRevenue[[#Totals],[m9]],"-")</f>
        <v>0.2325268817204301</v>
      </c>
      <c r="AA11" s="35">
        <f>IFERROR(tblRevenue[[#This Row],[m10]]/tblRevenue[[#Totals],[m10]],"-")</f>
        <v>0.19970631424375918</v>
      </c>
      <c r="AB11" s="35">
        <f>IFERROR(tblRevenue[[#This Row],[m11]]/tblRevenue[[#Totals],[m11]],"-")</f>
        <v>0.19485791610284167</v>
      </c>
      <c r="AC11" s="35">
        <f>IFERROR(tblRevenue[[#This Row],[m12]]/tblRevenue[[#Totals],[m12]],"-")</f>
        <v>0.1601150527325024</v>
      </c>
      <c r="AD11" s="36">
        <f>IFERROR(tblRevenue[[#This Row],[Yearly]]/tblRevenue[[#Totals],[Yearly]],"-")</f>
        <v>0.16674364896073904</v>
      </c>
    </row>
    <row r="12" spans="1:30" x14ac:dyDescent="0.45">
      <c r="B12" s="29" t="s">
        <v>52</v>
      </c>
      <c r="C12" s="30"/>
      <c r="D12" s="31">
        <v>61</v>
      </c>
      <c r="E12" s="31">
        <v>99</v>
      </c>
      <c r="F12" s="31">
        <v>70</v>
      </c>
      <c r="G12" s="31">
        <v>162</v>
      </c>
      <c r="H12" s="31">
        <v>28</v>
      </c>
      <c r="I12" s="31">
        <v>163</v>
      </c>
      <c r="J12" s="31">
        <v>101</v>
      </c>
      <c r="K12" s="31">
        <v>103</v>
      </c>
      <c r="L12" s="31">
        <v>78</v>
      </c>
      <c r="M12" s="31">
        <v>33</v>
      </c>
      <c r="N12" s="31">
        <v>162</v>
      </c>
      <c r="O12" s="31">
        <v>159</v>
      </c>
      <c r="P12" s="32">
        <f>SUM(tblRevenue[[#This Row],[m1]:[m12]])</f>
        <v>1219</v>
      </c>
      <c r="Q12" s="33">
        <v>0.1</v>
      </c>
      <c r="R12" s="34">
        <f>IFERROR(tblRevenue[[#This Row],[m1]]/tblRevenue[[#Totals],[m1]],"-")</f>
        <v>9.7756410256410256E-2</v>
      </c>
      <c r="S12" s="35">
        <f>IFERROR(tblRevenue[[#This Row],[m2]]/tblRevenue[[#Totals],[m2]],"-")</f>
        <v>0.13451086956521738</v>
      </c>
      <c r="T12" s="35">
        <f>IFERROR(tblRevenue[[#This Row],[m3]]/tblRevenue[[#Totals],[m3]],"-")</f>
        <v>8.5365853658536592E-2</v>
      </c>
      <c r="U12" s="35">
        <f>IFERROR(tblRevenue[[#This Row],[m4]]/tblRevenue[[#Totals],[m4]],"-")</f>
        <v>0.265139116202946</v>
      </c>
      <c r="V12" s="35">
        <f>IFERROR(tblRevenue[[#This Row],[m5]]/tblRevenue[[#Totals],[m5]],"-")</f>
        <v>3.4482758620689655E-2</v>
      </c>
      <c r="W12" s="35">
        <f>IFERROR(tblRevenue[[#This Row],[m6]]/tblRevenue[[#Totals],[m6]],"-")</f>
        <v>0.2820069204152249</v>
      </c>
      <c r="X12" s="35">
        <f>IFERROR(tblRevenue[[#This Row],[m7]]/tblRevenue[[#Totals],[m7]],"-")</f>
        <v>0.16917922948073702</v>
      </c>
      <c r="Y12" s="35">
        <f>IFERROR(tblRevenue[[#This Row],[m8]]/tblRevenue[[#Totals],[m8]],"-")</f>
        <v>0.15259259259259259</v>
      </c>
      <c r="Z12" s="35">
        <f>IFERROR(tblRevenue[[#This Row],[m9]]/tblRevenue[[#Totals],[m9]],"-")</f>
        <v>0.10483870967741936</v>
      </c>
      <c r="AA12" s="35">
        <f>IFERROR(tblRevenue[[#This Row],[m10]]/tblRevenue[[#Totals],[m10]],"-")</f>
        <v>4.8458149779735685E-2</v>
      </c>
      <c r="AB12" s="35">
        <f>IFERROR(tblRevenue[[#This Row],[m11]]/tblRevenue[[#Totals],[m11]],"-")</f>
        <v>0.21921515561569688</v>
      </c>
      <c r="AC12" s="35">
        <f>IFERROR(tblRevenue[[#This Row],[m12]]/tblRevenue[[#Totals],[m12]],"-")</f>
        <v>0.15244487056567593</v>
      </c>
      <c r="AD12" s="36">
        <f>IFERROR(tblRevenue[[#This Row],[Yearly]]/tblRevenue[[#Totals],[Yearly]],"-")</f>
        <v>0.14076212471131641</v>
      </c>
    </row>
    <row r="13" spans="1:30" x14ac:dyDescent="0.45">
      <c r="B13" s="29" t="s">
        <v>53</v>
      </c>
      <c r="C13" s="30"/>
      <c r="D13" s="31">
        <v>105</v>
      </c>
      <c r="E13" s="31">
        <v>55</v>
      </c>
      <c r="F13" s="31">
        <v>163</v>
      </c>
      <c r="G13" s="31">
        <v>12</v>
      </c>
      <c r="H13" s="31">
        <v>117</v>
      </c>
      <c r="I13" s="31">
        <v>83</v>
      </c>
      <c r="J13" s="31">
        <v>163</v>
      </c>
      <c r="K13" s="31">
        <v>120</v>
      </c>
      <c r="L13" s="31">
        <v>171</v>
      </c>
      <c r="M13" s="31">
        <v>79</v>
      </c>
      <c r="N13" s="31">
        <v>105</v>
      </c>
      <c r="O13" s="31">
        <v>69</v>
      </c>
      <c r="P13" s="32">
        <f>SUM(tblRevenue[[#This Row],[m1]:[m12]])</f>
        <v>1242</v>
      </c>
      <c r="Q13" s="33">
        <v>0.1</v>
      </c>
      <c r="R13" s="34">
        <f>IFERROR(tblRevenue[[#This Row],[m1]]/tblRevenue[[#Totals],[m1]],"-")</f>
        <v>0.16826923076923078</v>
      </c>
      <c r="S13" s="35">
        <f>IFERROR(tblRevenue[[#This Row],[m2]]/tblRevenue[[#Totals],[m2]],"-")</f>
        <v>7.4728260869565216E-2</v>
      </c>
      <c r="T13" s="35">
        <f>IFERROR(tblRevenue[[#This Row],[m3]]/tblRevenue[[#Totals],[m3]],"-")</f>
        <v>0.19878048780487806</v>
      </c>
      <c r="U13" s="35">
        <f>IFERROR(tblRevenue[[#This Row],[m4]]/tblRevenue[[#Totals],[m4]],"-")</f>
        <v>1.9639934533551555E-2</v>
      </c>
      <c r="V13" s="35">
        <f>IFERROR(tblRevenue[[#This Row],[m5]]/tblRevenue[[#Totals],[m5]],"-")</f>
        <v>0.14408866995073891</v>
      </c>
      <c r="W13" s="35">
        <f>IFERROR(tblRevenue[[#This Row],[m6]]/tblRevenue[[#Totals],[m6]],"-")</f>
        <v>0.14359861591695502</v>
      </c>
      <c r="X13" s="35">
        <f>IFERROR(tblRevenue[[#This Row],[m7]]/tblRevenue[[#Totals],[m7]],"-")</f>
        <v>0.27303182579564489</v>
      </c>
      <c r="Y13" s="35">
        <f>IFERROR(tblRevenue[[#This Row],[m8]]/tblRevenue[[#Totals],[m8]],"-")</f>
        <v>0.17777777777777778</v>
      </c>
      <c r="Z13" s="35">
        <f>IFERROR(tblRevenue[[#This Row],[m9]]/tblRevenue[[#Totals],[m9]],"-")</f>
        <v>0.22983870967741934</v>
      </c>
      <c r="AA13" s="35">
        <f>IFERROR(tblRevenue[[#This Row],[m10]]/tblRevenue[[#Totals],[m10]],"-")</f>
        <v>0.11600587371512482</v>
      </c>
      <c r="AB13" s="35">
        <f>IFERROR(tblRevenue[[#This Row],[m11]]/tblRevenue[[#Totals],[m11]],"-")</f>
        <v>0.14208389715832206</v>
      </c>
      <c r="AC13" s="35">
        <f>IFERROR(tblRevenue[[#This Row],[m12]]/tblRevenue[[#Totals],[m12]],"-")</f>
        <v>6.6155321188878236E-2</v>
      </c>
      <c r="AD13" s="36">
        <f>IFERROR(tblRevenue[[#This Row],[Yearly]]/tblRevenue[[#Totals],[Yearly]],"-")</f>
        <v>0.14341801385681294</v>
      </c>
    </row>
    <row r="14" spans="1:30" x14ac:dyDescent="0.45">
      <c r="B14" s="29" t="s">
        <v>54</v>
      </c>
      <c r="C14" s="37"/>
      <c r="D14" s="38">
        <f>SUBTOTAL(109,tblRevenue[m1])</f>
        <v>624</v>
      </c>
      <c r="E14" s="38">
        <f>SUBTOTAL(109,tblRevenue[m2])</f>
        <v>736</v>
      </c>
      <c r="F14" s="38">
        <f>SUBTOTAL(109,tblRevenue[m3])</f>
        <v>820</v>
      </c>
      <c r="G14" s="38">
        <f>SUBTOTAL(109,tblRevenue[m4])</f>
        <v>611</v>
      </c>
      <c r="H14" s="38">
        <f>SUBTOTAL(109,tblRevenue[m5])</f>
        <v>812</v>
      </c>
      <c r="I14" s="38">
        <f>SUBTOTAL(109,tblRevenue[m6])</f>
        <v>578</v>
      </c>
      <c r="J14" s="38">
        <f>SUBTOTAL(109,tblRevenue[m7])</f>
        <v>597</v>
      </c>
      <c r="K14" s="38">
        <f>SUBTOTAL(109,tblRevenue[m8])</f>
        <v>675</v>
      </c>
      <c r="L14" s="38">
        <f>SUBTOTAL(109,tblRevenue[m9])</f>
        <v>744</v>
      </c>
      <c r="M14" s="38">
        <f>SUBTOTAL(109,tblRevenue[m10])</f>
        <v>681</v>
      </c>
      <c r="N14" s="38">
        <f>SUBTOTAL(109,tblRevenue[m11])</f>
        <v>739</v>
      </c>
      <c r="O14" s="38">
        <f>SUBTOTAL(109,tblRevenue[m12])</f>
        <v>1043</v>
      </c>
      <c r="P14" s="39">
        <f>SUBTOTAL(109,tblRevenue[Yearly])</f>
        <v>8660</v>
      </c>
      <c r="Q14" s="40">
        <f>SUBTOTAL(109,tblRevenue[Ind %])</f>
        <v>1</v>
      </c>
      <c r="R14" s="40">
        <f>SUBTOTAL(109,tblRevenue[% m1])</f>
        <v>1</v>
      </c>
      <c r="S14" s="40">
        <f>SUBTOTAL(109,tblRevenue[% m2])</f>
        <v>1</v>
      </c>
      <c r="T14" s="40">
        <f>SUBTOTAL(109,tblRevenue[% m3])</f>
        <v>1</v>
      </c>
      <c r="U14" s="40">
        <f>SUBTOTAL(109,tblRevenue[% m4])</f>
        <v>0.99999999999999989</v>
      </c>
      <c r="V14" s="40">
        <f>SUBTOTAL(109,tblRevenue[% m5])</f>
        <v>0.99999999999999989</v>
      </c>
      <c r="W14" s="40">
        <f>SUBTOTAL(109,tblRevenue[% m6])</f>
        <v>1</v>
      </c>
      <c r="X14" s="40">
        <f>SUBTOTAL(109,tblRevenue[% m7])</f>
        <v>1</v>
      </c>
      <c r="Y14" s="40">
        <f>SUBTOTAL(109,tblRevenue[% m8])</f>
        <v>1</v>
      </c>
      <c r="Z14" s="40">
        <f>SUBTOTAL(109,tblRevenue[% m9])</f>
        <v>1</v>
      </c>
      <c r="AA14" s="40">
        <f>SUBTOTAL(109,tblRevenue[% m10])</f>
        <v>1</v>
      </c>
      <c r="AB14" s="40">
        <f>SUBTOTAL(109,tblRevenue[% m11])</f>
        <v>1</v>
      </c>
      <c r="AC14" s="40">
        <f>SUBTOTAL(109,tblRevenue[% m12])</f>
        <v>0.99999999999999989</v>
      </c>
      <c r="AD14" s="41">
        <f>SUBTOTAL(109,tblRevenue[% y])</f>
        <v>1</v>
      </c>
    </row>
    <row r="15" spans="1:30" x14ac:dyDescent="0.45"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</row>
    <row r="16" spans="1:30" ht="21" x14ac:dyDescent="0.65">
      <c r="B16" s="42" t="s">
        <v>1</v>
      </c>
      <c r="C16" s="43" t="s">
        <v>19</v>
      </c>
      <c r="D16" s="44" t="s">
        <v>20</v>
      </c>
      <c r="E16" s="44" t="s">
        <v>21</v>
      </c>
      <c r="F16" s="44" t="s">
        <v>22</v>
      </c>
      <c r="G16" s="44" t="s">
        <v>23</v>
      </c>
      <c r="H16" s="44" t="s">
        <v>24</v>
      </c>
      <c r="I16" s="44" t="s">
        <v>25</v>
      </c>
      <c r="J16" s="44" t="s">
        <v>26</v>
      </c>
      <c r="K16" s="44" t="s">
        <v>27</v>
      </c>
      <c r="L16" s="44" t="s">
        <v>28</v>
      </c>
      <c r="M16" s="44" t="s">
        <v>29</v>
      </c>
      <c r="N16" s="44" t="s">
        <v>30</v>
      </c>
      <c r="O16" s="44" t="s">
        <v>31</v>
      </c>
      <c r="P16" s="44" t="s">
        <v>32</v>
      </c>
      <c r="Q16" s="45" t="s">
        <v>33</v>
      </c>
      <c r="R16" s="45" t="s">
        <v>34</v>
      </c>
      <c r="S16" s="45" t="s">
        <v>35</v>
      </c>
      <c r="T16" s="45" t="s">
        <v>36</v>
      </c>
      <c r="U16" s="45" t="s">
        <v>37</v>
      </c>
      <c r="V16" s="45" t="s">
        <v>38</v>
      </c>
      <c r="W16" s="45" t="s">
        <v>39</v>
      </c>
      <c r="X16" s="45" t="s">
        <v>40</v>
      </c>
      <c r="Y16" s="45" t="s">
        <v>41</v>
      </c>
      <c r="Z16" s="45" t="s">
        <v>42</v>
      </c>
      <c r="AA16" s="45" t="s">
        <v>43</v>
      </c>
      <c r="AB16" s="45" t="s">
        <v>44</v>
      </c>
      <c r="AC16" s="45" t="s">
        <v>45</v>
      </c>
      <c r="AD16" s="45" t="s">
        <v>46</v>
      </c>
    </row>
    <row r="17" spans="1:30" x14ac:dyDescent="0.45">
      <c r="B17" s="46" t="s">
        <v>55</v>
      </c>
      <c r="C17" s="47"/>
      <c r="D17" s="48">
        <v>61</v>
      </c>
      <c r="E17" s="48">
        <v>78</v>
      </c>
      <c r="F17" s="48">
        <v>65</v>
      </c>
      <c r="G17" s="48">
        <v>29</v>
      </c>
      <c r="H17" s="48">
        <v>125</v>
      </c>
      <c r="I17" s="48">
        <v>49</v>
      </c>
      <c r="J17" s="48">
        <v>14</v>
      </c>
      <c r="K17" s="48">
        <v>26</v>
      </c>
      <c r="L17" s="48">
        <v>14</v>
      </c>
      <c r="M17" s="48">
        <v>129</v>
      </c>
      <c r="N17" s="48">
        <v>60</v>
      </c>
      <c r="O17" s="48">
        <v>65</v>
      </c>
      <c r="P17" s="49">
        <f>SUM(tblCostofSales[[#This Row],[m1]:[m12]])</f>
        <v>715</v>
      </c>
      <c r="Q17" s="50">
        <v>0.12</v>
      </c>
      <c r="R17" s="51">
        <f>IFERROR(tblCostofSales[[#This Row],[m1]]/tblCostofSales[[#Totals],[m1]],"-")</f>
        <v>0.23018867924528302</v>
      </c>
      <c r="S17" s="52">
        <f>IFERROR(tblCostofSales[[#This Row],[m2]]/tblCostofSales[[#Totals],[m2]],"-")</f>
        <v>0.21910112359550563</v>
      </c>
      <c r="T17" s="52">
        <f>IFERROR(tblCostofSales[[#This Row],[m3]]/tblCostofSales[[#Totals],[m3]],"-")</f>
        <v>0.20634920634920634</v>
      </c>
      <c r="U17" s="52">
        <f>IFERROR(tblCostofSales[[#This Row],[m4]]/tblCostofSales[[#Totals],[m4]],"-")</f>
        <v>0.12033195020746888</v>
      </c>
      <c r="V17" s="52">
        <f>IFERROR(tblCostofSales[[#This Row],[m5]]/tblCostofSales[[#Totals],[m5]],"-")</f>
        <v>0.31328320802005011</v>
      </c>
      <c r="W17" s="52">
        <f>IFERROR(tblCostofSales[[#This Row],[m6]]/tblCostofSales[[#Totals],[m6]],"-")</f>
        <v>0.15705128205128205</v>
      </c>
      <c r="X17" s="52">
        <f>IFERROR(tblCostofSales[[#This Row],[m7]]/tblCostofSales[[#Totals],[m7]],"-")</f>
        <v>4.6822742474916385E-2</v>
      </c>
      <c r="Y17" s="52">
        <f>IFERROR(tblCostofSales[[#This Row],[m8]]/tblCostofSales[[#Totals],[m8]],"-")</f>
        <v>0.11504424778761062</v>
      </c>
      <c r="Z17" s="52">
        <f>IFERROR(tblCostofSales[[#This Row],[m9]]/tblCostofSales[[#Totals],[m9]],"-")</f>
        <v>3.3816425120772944E-2</v>
      </c>
      <c r="AA17" s="52">
        <f>IFERROR(tblCostofSales[[#This Row],[m10]]/tblCostofSales[[#Totals],[m10]],"-")</f>
        <v>0.47080291970802918</v>
      </c>
      <c r="AB17" s="52">
        <f>IFERROR(tblCostofSales[[#This Row],[m11]]/tblCostofSales[[#Totals],[m11]],"-")</f>
        <v>0.22727272727272727</v>
      </c>
      <c r="AC17" s="52">
        <f>IFERROR(tblCostofSales[[#This Row],[m12]]/tblCostofSales[[#Totals],[m12]],"-")</f>
        <v>0.14348785871964681</v>
      </c>
      <c r="AD17" s="53">
        <f>IFERROR(tblCostofSales[[#This Row],[Yearly]]/tblCostofSales[[#Totals],[Yearly]],"-")</f>
        <v>0.18727082242011525</v>
      </c>
    </row>
    <row r="18" spans="1:30" x14ac:dyDescent="0.45">
      <c r="B18" s="46" t="s">
        <v>56</v>
      </c>
      <c r="C18" s="47"/>
      <c r="D18" s="48">
        <v>7</v>
      </c>
      <c r="E18" s="48">
        <v>5</v>
      </c>
      <c r="F18" s="48">
        <v>69</v>
      </c>
      <c r="G18" s="48">
        <v>32</v>
      </c>
      <c r="H18" s="48">
        <v>11</v>
      </c>
      <c r="I18" s="48">
        <v>30</v>
      </c>
      <c r="J18" s="48">
        <v>27</v>
      </c>
      <c r="K18" s="48">
        <v>32</v>
      </c>
      <c r="L18" s="48">
        <v>10</v>
      </c>
      <c r="M18" s="48">
        <v>41</v>
      </c>
      <c r="N18" s="48">
        <v>13</v>
      </c>
      <c r="O18" s="48">
        <v>105</v>
      </c>
      <c r="P18" s="49">
        <f>SUM(tblCostofSales[[#This Row],[m1]:[m12]])</f>
        <v>382</v>
      </c>
      <c r="Q18" s="50">
        <v>0.18</v>
      </c>
      <c r="R18" s="51">
        <f>IFERROR(tblCostofSales[[#This Row],[m1]]/tblCostofSales[[#Totals],[m1]],"-")</f>
        <v>2.6415094339622643E-2</v>
      </c>
      <c r="S18" s="52">
        <f>IFERROR(tblCostofSales[[#This Row],[m2]]/tblCostofSales[[#Totals],[m2]],"-")</f>
        <v>1.4044943820224719E-2</v>
      </c>
      <c r="T18" s="52">
        <f>IFERROR(tblCostofSales[[#This Row],[m3]]/tblCostofSales[[#Totals],[m3]],"-")</f>
        <v>0.21904761904761905</v>
      </c>
      <c r="U18" s="52">
        <f>IFERROR(tblCostofSales[[#This Row],[m4]]/tblCostofSales[[#Totals],[m4]],"-")</f>
        <v>0.13278008298755187</v>
      </c>
      <c r="V18" s="52">
        <f>IFERROR(tblCostofSales[[#This Row],[m5]]/tblCostofSales[[#Totals],[m5]],"-")</f>
        <v>2.7568922305764409E-2</v>
      </c>
      <c r="W18" s="52">
        <f>IFERROR(tblCostofSales[[#This Row],[m6]]/tblCostofSales[[#Totals],[m6]],"-")</f>
        <v>9.6153846153846159E-2</v>
      </c>
      <c r="X18" s="52">
        <f>IFERROR(tblCostofSales[[#This Row],[m7]]/tblCostofSales[[#Totals],[m7]],"-")</f>
        <v>9.0301003344481601E-2</v>
      </c>
      <c r="Y18" s="52">
        <f>IFERROR(tblCostofSales[[#This Row],[m8]]/tblCostofSales[[#Totals],[m8]],"-")</f>
        <v>0.1415929203539823</v>
      </c>
      <c r="Z18" s="52">
        <f>IFERROR(tblCostofSales[[#This Row],[m9]]/tblCostofSales[[#Totals],[m9]],"-")</f>
        <v>2.4154589371980676E-2</v>
      </c>
      <c r="AA18" s="52">
        <f>IFERROR(tblCostofSales[[#This Row],[m10]]/tblCostofSales[[#Totals],[m10]],"-")</f>
        <v>0.14963503649635038</v>
      </c>
      <c r="AB18" s="52">
        <f>IFERROR(tblCostofSales[[#This Row],[m11]]/tblCostofSales[[#Totals],[m11]],"-")</f>
        <v>4.924242424242424E-2</v>
      </c>
      <c r="AC18" s="52">
        <f>IFERROR(tblCostofSales[[#This Row],[m12]]/tblCostofSales[[#Totals],[m12]],"-")</f>
        <v>0.23178807947019867</v>
      </c>
      <c r="AD18" s="53">
        <f>IFERROR(tblCostofSales[[#This Row],[Yearly]]/tblCostofSales[[#Totals],[Yearly]],"-")</f>
        <v>0.1000523834468308</v>
      </c>
    </row>
    <row r="19" spans="1:30" x14ac:dyDescent="0.45">
      <c r="B19" s="46" t="s">
        <v>57</v>
      </c>
      <c r="C19" s="47"/>
      <c r="D19" s="48">
        <v>99</v>
      </c>
      <c r="E19" s="48">
        <v>95</v>
      </c>
      <c r="F19" s="48">
        <v>51</v>
      </c>
      <c r="G19" s="48">
        <v>90</v>
      </c>
      <c r="H19" s="48">
        <v>21</v>
      </c>
      <c r="I19" s="48">
        <v>34</v>
      </c>
      <c r="J19" s="48">
        <v>30</v>
      </c>
      <c r="K19" s="48">
        <v>24</v>
      </c>
      <c r="L19" s="48">
        <v>109</v>
      </c>
      <c r="M19" s="48">
        <v>16</v>
      </c>
      <c r="N19" s="48">
        <v>21</v>
      </c>
      <c r="O19" s="48">
        <v>52</v>
      </c>
      <c r="P19" s="49">
        <f>SUM(tblCostofSales[[#This Row],[m1]:[m12]])</f>
        <v>642</v>
      </c>
      <c r="Q19" s="50">
        <v>0.19</v>
      </c>
      <c r="R19" s="51">
        <f>IFERROR(tblCostofSales[[#This Row],[m1]]/tblCostofSales[[#Totals],[m1]],"-")</f>
        <v>0.37358490566037733</v>
      </c>
      <c r="S19" s="52">
        <f>IFERROR(tblCostofSales[[#This Row],[m2]]/tblCostofSales[[#Totals],[m2]],"-")</f>
        <v>0.26685393258426965</v>
      </c>
      <c r="T19" s="52">
        <f>IFERROR(tblCostofSales[[#This Row],[m3]]/tblCostofSales[[#Totals],[m3]],"-")</f>
        <v>0.16190476190476191</v>
      </c>
      <c r="U19" s="52">
        <f>IFERROR(tblCostofSales[[#This Row],[m4]]/tblCostofSales[[#Totals],[m4]],"-")</f>
        <v>0.37344398340248963</v>
      </c>
      <c r="V19" s="52">
        <f>IFERROR(tblCostofSales[[#This Row],[m5]]/tblCostofSales[[#Totals],[m5]],"-")</f>
        <v>5.2631578947368418E-2</v>
      </c>
      <c r="W19" s="52">
        <f>IFERROR(tblCostofSales[[#This Row],[m6]]/tblCostofSales[[#Totals],[m6]],"-")</f>
        <v>0.10897435897435898</v>
      </c>
      <c r="X19" s="52">
        <f>IFERROR(tblCostofSales[[#This Row],[m7]]/tblCostofSales[[#Totals],[m7]],"-")</f>
        <v>0.10033444816053512</v>
      </c>
      <c r="Y19" s="52">
        <f>IFERROR(tblCostofSales[[#This Row],[m8]]/tblCostofSales[[#Totals],[m8]],"-")</f>
        <v>0.10619469026548672</v>
      </c>
      <c r="Z19" s="52">
        <f>IFERROR(tblCostofSales[[#This Row],[m9]]/tblCostofSales[[#Totals],[m9]],"-")</f>
        <v>0.26328502415458938</v>
      </c>
      <c r="AA19" s="52">
        <f>IFERROR(tblCostofSales[[#This Row],[m10]]/tblCostofSales[[#Totals],[m10]],"-")</f>
        <v>5.8394160583941604E-2</v>
      </c>
      <c r="AB19" s="52">
        <f>IFERROR(tblCostofSales[[#This Row],[m11]]/tblCostofSales[[#Totals],[m11]],"-")</f>
        <v>7.9545454545454544E-2</v>
      </c>
      <c r="AC19" s="52">
        <f>IFERROR(tblCostofSales[[#This Row],[m12]]/tblCostofSales[[#Totals],[m12]],"-")</f>
        <v>0.11479028697571744</v>
      </c>
      <c r="AD19" s="53">
        <f>IFERROR(tblCostofSales[[#This Row],[Yearly]]/tblCostofSales[[#Totals],[Yearly]],"-")</f>
        <v>0.16815086432687271</v>
      </c>
    </row>
    <row r="20" spans="1:30" x14ac:dyDescent="0.45">
      <c r="B20" s="46" t="s">
        <v>58</v>
      </c>
      <c r="C20" s="47"/>
      <c r="D20" s="48">
        <v>13</v>
      </c>
      <c r="E20" s="48">
        <v>28</v>
      </c>
      <c r="F20" s="48">
        <v>15</v>
      </c>
      <c r="G20" s="48">
        <v>8</v>
      </c>
      <c r="H20" s="48">
        <v>84</v>
      </c>
      <c r="I20" s="48">
        <v>12</v>
      </c>
      <c r="J20" s="48">
        <v>54</v>
      </c>
      <c r="K20" s="48">
        <v>72</v>
      </c>
      <c r="L20" s="48">
        <v>49</v>
      </c>
      <c r="M20" s="48">
        <v>24</v>
      </c>
      <c r="N20" s="48">
        <v>60</v>
      </c>
      <c r="O20" s="48">
        <v>39</v>
      </c>
      <c r="P20" s="49">
        <f>SUM(tblCostofSales[[#This Row],[m1]:[m12]])</f>
        <v>458</v>
      </c>
      <c r="Q20" s="50">
        <v>0.11</v>
      </c>
      <c r="R20" s="51">
        <f>IFERROR(tblCostofSales[[#This Row],[m1]]/tblCostofSales[[#Totals],[m1]],"-")</f>
        <v>4.9056603773584909E-2</v>
      </c>
      <c r="S20" s="52">
        <f>IFERROR(tblCostofSales[[#This Row],[m2]]/tblCostofSales[[#Totals],[m2]],"-")</f>
        <v>7.8651685393258425E-2</v>
      </c>
      <c r="T20" s="52">
        <f>IFERROR(tblCostofSales[[#This Row],[m3]]/tblCostofSales[[#Totals],[m3]],"-")</f>
        <v>4.7619047619047616E-2</v>
      </c>
      <c r="U20" s="52">
        <f>IFERROR(tblCostofSales[[#This Row],[m4]]/tblCostofSales[[#Totals],[m4]],"-")</f>
        <v>3.3195020746887967E-2</v>
      </c>
      <c r="V20" s="52">
        <f>IFERROR(tblCostofSales[[#This Row],[m5]]/tblCostofSales[[#Totals],[m5]],"-")</f>
        <v>0.21052631578947367</v>
      </c>
      <c r="W20" s="52">
        <f>IFERROR(tblCostofSales[[#This Row],[m6]]/tblCostofSales[[#Totals],[m6]],"-")</f>
        <v>3.8461538461538464E-2</v>
      </c>
      <c r="X20" s="52">
        <f>IFERROR(tblCostofSales[[#This Row],[m7]]/tblCostofSales[[#Totals],[m7]],"-")</f>
        <v>0.1806020066889632</v>
      </c>
      <c r="Y20" s="52">
        <f>IFERROR(tblCostofSales[[#This Row],[m8]]/tblCostofSales[[#Totals],[m8]],"-")</f>
        <v>0.31858407079646017</v>
      </c>
      <c r="Z20" s="52">
        <f>IFERROR(tblCostofSales[[#This Row],[m9]]/tblCostofSales[[#Totals],[m9]],"-")</f>
        <v>0.11835748792270531</v>
      </c>
      <c r="AA20" s="52">
        <f>IFERROR(tblCostofSales[[#This Row],[m10]]/tblCostofSales[[#Totals],[m10]],"-")</f>
        <v>8.7591240875912413E-2</v>
      </c>
      <c r="AB20" s="52">
        <f>IFERROR(tblCostofSales[[#This Row],[m11]]/tblCostofSales[[#Totals],[m11]],"-")</f>
        <v>0.22727272727272727</v>
      </c>
      <c r="AC20" s="52">
        <f>IFERROR(tblCostofSales[[#This Row],[m12]]/tblCostofSales[[#Totals],[m12]],"-")</f>
        <v>8.6092715231788075E-2</v>
      </c>
      <c r="AD20" s="53">
        <f>IFERROR(tblCostofSales[[#This Row],[Yearly]]/tblCostofSales[[#Totals],[Yearly]],"-")</f>
        <v>0.11995809324253535</v>
      </c>
    </row>
    <row r="21" spans="1:30" x14ac:dyDescent="0.45">
      <c r="B21" s="46" t="s">
        <v>59</v>
      </c>
      <c r="C21" s="47"/>
      <c r="D21" s="48">
        <v>34</v>
      </c>
      <c r="E21" s="48">
        <v>78</v>
      </c>
      <c r="F21" s="48">
        <v>43</v>
      </c>
      <c r="G21" s="48">
        <v>30</v>
      </c>
      <c r="H21" s="48">
        <v>77</v>
      </c>
      <c r="I21" s="48">
        <v>54</v>
      </c>
      <c r="J21" s="48">
        <v>26</v>
      </c>
      <c r="K21" s="48">
        <v>13</v>
      </c>
      <c r="L21" s="48">
        <v>56</v>
      </c>
      <c r="M21" s="48">
        <v>30</v>
      </c>
      <c r="N21" s="48">
        <v>40</v>
      </c>
      <c r="O21" s="48">
        <v>63</v>
      </c>
      <c r="P21" s="49">
        <f>SUM(tblCostofSales[[#This Row],[m1]:[m12]])</f>
        <v>544</v>
      </c>
      <c r="Q21" s="50">
        <v>0.2</v>
      </c>
      <c r="R21" s="51">
        <f>IFERROR(tblCostofSales[[#This Row],[m1]]/tblCostofSales[[#Totals],[m1]],"-")</f>
        <v>0.12830188679245283</v>
      </c>
      <c r="S21" s="52">
        <f>IFERROR(tblCostofSales[[#This Row],[m2]]/tblCostofSales[[#Totals],[m2]],"-")</f>
        <v>0.21910112359550563</v>
      </c>
      <c r="T21" s="52">
        <f>IFERROR(tblCostofSales[[#This Row],[m3]]/tblCostofSales[[#Totals],[m3]],"-")</f>
        <v>0.13650793650793649</v>
      </c>
      <c r="U21" s="52">
        <f>IFERROR(tblCostofSales[[#This Row],[m4]]/tblCostofSales[[#Totals],[m4]],"-")</f>
        <v>0.12448132780082988</v>
      </c>
      <c r="V21" s="52">
        <f>IFERROR(tblCostofSales[[#This Row],[m5]]/tblCostofSales[[#Totals],[m5]],"-")</f>
        <v>0.19298245614035087</v>
      </c>
      <c r="W21" s="52">
        <f>IFERROR(tblCostofSales[[#This Row],[m6]]/tblCostofSales[[#Totals],[m6]],"-")</f>
        <v>0.17307692307692307</v>
      </c>
      <c r="X21" s="52">
        <f>IFERROR(tblCostofSales[[#This Row],[m7]]/tblCostofSales[[#Totals],[m7]],"-")</f>
        <v>8.6956521739130432E-2</v>
      </c>
      <c r="Y21" s="52">
        <f>IFERROR(tblCostofSales[[#This Row],[m8]]/tblCostofSales[[#Totals],[m8]],"-")</f>
        <v>5.7522123893805309E-2</v>
      </c>
      <c r="Z21" s="52">
        <f>IFERROR(tblCostofSales[[#This Row],[m9]]/tblCostofSales[[#Totals],[m9]],"-")</f>
        <v>0.13526570048309178</v>
      </c>
      <c r="AA21" s="52">
        <f>IFERROR(tblCostofSales[[#This Row],[m10]]/tblCostofSales[[#Totals],[m10]],"-")</f>
        <v>0.10948905109489052</v>
      </c>
      <c r="AB21" s="52">
        <f>IFERROR(tblCostofSales[[#This Row],[m11]]/tblCostofSales[[#Totals],[m11]],"-")</f>
        <v>0.15151515151515152</v>
      </c>
      <c r="AC21" s="52">
        <f>IFERROR(tblCostofSales[[#This Row],[m12]]/tblCostofSales[[#Totals],[m12]],"-")</f>
        <v>0.13907284768211919</v>
      </c>
      <c r="AD21" s="53">
        <f>IFERROR(tblCostofSales[[#This Row],[Yearly]]/tblCostofSales[[#Totals],[Yearly]],"-")</f>
        <v>0.14248297537978</v>
      </c>
    </row>
    <row r="22" spans="1:30" x14ac:dyDescent="0.45">
      <c r="B22" s="46" t="s">
        <v>60</v>
      </c>
      <c r="C22" s="47"/>
      <c r="D22" s="48">
        <v>33</v>
      </c>
      <c r="E22" s="48">
        <v>61</v>
      </c>
      <c r="F22" s="48">
        <v>42</v>
      </c>
      <c r="G22" s="48">
        <v>43</v>
      </c>
      <c r="H22" s="48">
        <v>19</v>
      </c>
      <c r="I22" s="48">
        <v>94</v>
      </c>
      <c r="J22" s="48">
        <v>46</v>
      </c>
      <c r="K22" s="48">
        <v>15</v>
      </c>
      <c r="L22" s="48">
        <v>55</v>
      </c>
      <c r="M22" s="48">
        <v>15</v>
      </c>
      <c r="N22" s="48">
        <v>37</v>
      </c>
      <c r="O22" s="48">
        <v>89</v>
      </c>
      <c r="P22" s="49">
        <f>SUM(tblCostofSales[[#This Row],[m1]:[m12]])</f>
        <v>549</v>
      </c>
      <c r="Q22" s="50">
        <v>0.1</v>
      </c>
      <c r="R22" s="51">
        <f>IFERROR(tblCostofSales[[#This Row],[m1]]/tblCostofSales[[#Totals],[m1]],"-")</f>
        <v>0.12452830188679245</v>
      </c>
      <c r="S22" s="52">
        <f>IFERROR(tblCostofSales[[#This Row],[m2]]/tblCostofSales[[#Totals],[m2]],"-")</f>
        <v>0.17134831460674158</v>
      </c>
      <c r="T22" s="52">
        <f>IFERROR(tblCostofSales[[#This Row],[m3]]/tblCostofSales[[#Totals],[m3]],"-")</f>
        <v>0.13333333333333333</v>
      </c>
      <c r="U22" s="52">
        <f>IFERROR(tblCostofSales[[#This Row],[m4]]/tblCostofSales[[#Totals],[m4]],"-")</f>
        <v>0.17842323651452283</v>
      </c>
      <c r="V22" s="52">
        <f>IFERROR(tblCostofSales[[#This Row],[m5]]/tblCostofSales[[#Totals],[m5]],"-")</f>
        <v>4.7619047619047616E-2</v>
      </c>
      <c r="W22" s="52">
        <f>IFERROR(tblCostofSales[[#This Row],[m6]]/tblCostofSales[[#Totals],[m6]],"-")</f>
        <v>0.30128205128205127</v>
      </c>
      <c r="X22" s="52">
        <f>IFERROR(tblCostofSales[[#This Row],[m7]]/tblCostofSales[[#Totals],[m7]],"-")</f>
        <v>0.15384615384615385</v>
      </c>
      <c r="Y22" s="52">
        <f>IFERROR(tblCostofSales[[#This Row],[m8]]/tblCostofSales[[#Totals],[m8]],"-")</f>
        <v>6.637168141592921E-2</v>
      </c>
      <c r="Z22" s="52">
        <f>IFERROR(tblCostofSales[[#This Row],[m9]]/tblCostofSales[[#Totals],[m9]],"-")</f>
        <v>0.13285024154589373</v>
      </c>
      <c r="AA22" s="52">
        <f>IFERROR(tblCostofSales[[#This Row],[m10]]/tblCostofSales[[#Totals],[m10]],"-")</f>
        <v>5.4744525547445258E-2</v>
      </c>
      <c r="AB22" s="52">
        <f>IFERROR(tblCostofSales[[#This Row],[m11]]/tblCostofSales[[#Totals],[m11]],"-")</f>
        <v>0.14015151515151514</v>
      </c>
      <c r="AC22" s="52">
        <f>IFERROR(tblCostofSales[[#This Row],[m12]]/tblCostofSales[[#Totals],[m12]],"-")</f>
        <v>0.19646799116997793</v>
      </c>
      <c r="AD22" s="53">
        <f>IFERROR(tblCostofSales[[#This Row],[Yearly]]/tblCostofSales[[#Totals],[Yearly]],"-")</f>
        <v>0.14379256155055004</v>
      </c>
    </row>
    <row r="23" spans="1:30" x14ac:dyDescent="0.45">
      <c r="A23" s="54"/>
      <c r="B23" s="46" t="s">
        <v>61</v>
      </c>
      <c r="C23" s="47"/>
      <c r="D23" s="48">
        <v>18</v>
      </c>
      <c r="E23" s="48">
        <v>11</v>
      </c>
      <c r="F23" s="48">
        <v>30</v>
      </c>
      <c r="G23" s="48">
        <v>9</v>
      </c>
      <c r="H23" s="48">
        <v>62</v>
      </c>
      <c r="I23" s="48">
        <v>39</v>
      </c>
      <c r="J23" s="48">
        <v>102</v>
      </c>
      <c r="K23" s="48">
        <v>44</v>
      </c>
      <c r="L23" s="48">
        <v>121</v>
      </c>
      <c r="M23" s="48">
        <v>19</v>
      </c>
      <c r="N23" s="48">
        <v>33</v>
      </c>
      <c r="O23" s="48">
        <v>40</v>
      </c>
      <c r="P23" s="49">
        <f>SUM(tblCostofSales[[#This Row],[m1]:[m12]])</f>
        <v>528</v>
      </c>
      <c r="Q23" s="50">
        <v>0.1</v>
      </c>
      <c r="R23" s="51">
        <f>IFERROR(tblCostofSales[[#This Row],[m1]]/tblCostofSales[[#Totals],[m1]],"-")</f>
        <v>6.7924528301886791E-2</v>
      </c>
      <c r="S23" s="52">
        <f>IFERROR(tblCostofSales[[#This Row],[m2]]/tblCostofSales[[#Totals],[m2]],"-")</f>
        <v>3.0898876404494381E-2</v>
      </c>
      <c r="T23" s="52">
        <f>IFERROR(tblCostofSales[[#This Row],[m3]]/tblCostofSales[[#Totals],[m3]],"-")</f>
        <v>9.5238095238095233E-2</v>
      </c>
      <c r="U23" s="52">
        <f>IFERROR(tblCostofSales[[#This Row],[m4]]/tblCostofSales[[#Totals],[m4]],"-")</f>
        <v>3.7344398340248962E-2</v>
      </c>
      <c r="V23" s="52">
        <f>IFERROR(tblCostofSales[[#This Row],[m5]]/tblCostofSales[[#Totals],[m5]],"-")</f>
        <v>0.15538847117794485</v>
      </c>
      <c r="W23" s="52">
        <f>IFERROR(tblCostofSales[[#This Row],[m6]]/tblCostofSales[[#Totals],[m6]],"-")</f>
        <v>0.125</v>
      </c>
      <c r="X23" s="52">
        <f>IFERROR(tblCostofSales[[#This Row],[m7]]/tblCostofSales[[#Totals],[m7]],"-")</f>
        <v>0.34113712374581939</v>
      </c>
      <c r="Y23" s="52">
        <f>IFERROR(tblCostofSales[[#This Row],[m8]]/tblCostofSales[[#Totals],[m8]],"-")</f>
        <v>0.19469026548672566</v>
      </c>
      <c r="Z23" s="52">
        <f>IFERROR(tblCostofSales[[#This Row],[m9]]/tblCostofSales[[#Totals],[m9]],"-")</f>
        <v>0.2922705314009662</v>
      </c>
      <c r="AA23" s="52">
        <f>IFERROR(tblCostofSales[[#This Row],[m10]]/tblCostofSales[[#Totals],[m10]],"-")</f>
        <v>6.9343065693430656E-2</v>
      </c>
      <c r="AB23" s="52">
        <f>IFERROR(tblCostofSales[[#This Row],[m11]]/tblCostofSales[[#Totals],[m11]],"-")</f>
        <v>0.125</v>
      </c>
      <c r="AC23" s="52">
        <f>IFERROR(tblCostofSales[[#This Row],[m12]]/tblCostofSales[[#Totals],[m12]],"-")</f>
        <v>8.8300220750551883E-2</v>
      </c>
      <c r="AD23" s="53">
        <f>IFERROR(tblCostofSales[[#This Row],[Yearly]]/tblCostofSales[[#Totals],[Yearly]],"-")</f>
        <v>0.13829229963331588</v>
      </c>
    </row>
    <row r="24" spans="1:30" x14ac:dyDescent="0.45">
      <c r="B24" s="46" t="s">
        <v>62</v>
      </c>
      <c r="C24" s="55"/>
      <c r="D24" s="56">
        <f>SUBTOTAL(109,tblCostofSales[m1])</f>
        <v>265</v>
      </c>
      <c r="E24" s="56">
        <f>SUBTOTAL(109,tblCostofSales[m2])</f>
        <v>356</v>
      </c>
      <c r="F24" s="56">
        <f>SUBTOTAL(109,tblCostofSales[m3])</f>
        <v>315</v>
      </c>
      <c r="G24" s="56">
        <f>SUBTOTAL(109,tblCostofSales[m4])</f>
        <v>241</v>
      </c>
      <c r="H24" s="56">
        <f>SUBTOTAL(109,tblCostofSales[m5])</f>
        <v>399</v>
      </c>
      <c r="I24" s="56">
        <f>SUBTOTAL(109,tblCostofSales[m6])</f>
        <v>312</v>
      </c>
      <c r="J24" s="56">
        <f>SUBTOTAL(109,tblCostofSales[m7])</f>
        <v>299</v>
      </c>
      <c r="K24" s="56">
        <f>SUBTOTAL(109,tblCostofSales[m8])</f>
        <v>226</v>
      </c>
      <c r="L24" s="56">
        <f>SUBTOTAL(109,tblCostofSales[m9])</f>
        <v>414</v>
      </c>
      <c r="M24" s="56">
        <f>SUBTOTAL(109,tblCostofSales[m10])</f>
        <v>274</v>
      </c>
      <c r="N24" s="56">
        <f>SUBTOTAL(109,tblCostofSales[m11])</f>
        <v>264</v>
      </c>
      <c r="O24" s="56">
        <f>SUBTOTAL(109,tblCostofSales[m12])</f>
        <v>453</v>
      </c>
      <c r="P24" s="57">
        <f>SUBTOTAL(109,tblCostofSales[Yearly])</f>
        <v>3818</v>
      </c>
      <c r="Q24" s="58">
        <f>SUBTOTAL(109,tblCostofSales[Ind %])</f>
        <v>1</v>
      </c>
      <c r="R24" s="59">
        <f>SUBTOTAL(109,tblCostofSales[% m1])</f>
        <v>0.99999999999999989</v>
      </c>
      <c r="S24" s="59">
        <f>SUBTOTAL(109,tblCostofSales[% m2])</f>
        <v>1</v>
      </c>
      <c r="T24" s="59">
        <f>SUBTOTAL(109,tblCostofSales[% m3])</f>
        <v>0.99999999999999989</v>
      </c>
      <c r="U24" s="59">
        <f>SUBTOTAL(109,tblCostofSales[% m4])</f>
        <v>1</v>
      </c>
      <c r="V24" s="59">
        <f>SUBTOTAL(109,tblCostofSales[% m5])</f>
        <v>0.99999999999999989</v>
      </c>
      <c r="W24" s="59">
        <f>SUBTOTAL(109,tblCostofSales[% m6])</f>
        <v>1</v>
      </c>
      <c r="X24" s="59">
        <f>SUBTOTAL(109,tblCostofSales[% m7])</f>
        <v>1</v>
      </c>
      <c r="Y24" s="59">
        <f>SUBTOTAL(109,tblCostofSales[% m8])</f>
        <v>0.99999999999999989</v>
      </c>
      <c r="Z24" s="59">
        <f>SUBTOTAL(109,tblCostofSales[% m9])</f>
        <v>1</v>
      </c>
      <c r="AA24" s="59">
        <f>SUBTOTAL(109,tblCostofSales[% m10])</f>
        <v>1</v>
      </c>
      <c r="AB24" s="59">
        <f>SUBTOTAL(109,tblCostofSales[% m11])</f>
        <v>0.99999999999999989</v>
      </c>
      <c r="AC24" s="59">
        <f>SUBTOTAL(109,tblCostofSales[% m12])</f>
        <v>1</v>
      </c>
      <c r="AD24" s="59">
        <f>SUBTOTAL(109,tblCostofSales[% y])</f>
        <v>0.99999999999999989</v>
      </c>
    </row>
    <row r="25" spans="1:30" x14ac:dyDescent="0.45"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</row>
    <row r="26" spans="1:30" ht="15.75" x14ac:dyDescent="0.45">
      <c r="B26" s="60" t="s">
        <v>63</v>
      </c>
      <c r="C26" s="61"/>
      <c r="D26" s="62">
        <f>tblRevenue[[#Totals],[m1]]-tblCostofSales[[#Totals],[m1]]</f>
        <v>359</v>
      </c>
      <c r="E26" s="62">
        <f>tblRevenue[[#Totals],[m2]]-tblCostofSales[[#Totals],[m2]]</f>
        <v>380</v>
      </c>
      <c r="F26" s="62">
        <f>tblRevenue[[#Totals],[m3]]-tblCostofSales[[#Totals],[m3]]</f>
        <v>505</v>
      </c>
      <c r="G26" s="62">
        <f>tblRevenue[[#Totals],[m4]]-tblCostofSales[[#Totals],[m4]]</f>
        <v>370</v>
      </c>
      <c r="H26" s="62">
        <f>tblRevenue[[#Totals],[m5]]-tblCostofSales[[#Totals],[m5]]</f>
        <v>413</v>
      </c>
      <c r="I26" s="62">
        <f>tblRevenue[[#Totals],[m6]]-tblCostofSales[[#Totals],[m6]]</f>
        <v>266</v>
      </c>
      <c r="J26" s="62">
        <f>tblRevenue[[#Totals],[m7]]-tblCostofSales[[#Totals],[m7]]</f>
        <v>298</v>
      </c>
      <c r="K26" s="62">
        <f>tblRevenue[[#Totals],[m8]]-tblCostofSales[[#Totals],[m8]]</f>
        <v>449</v>
      </c>
      <c r="L26" s="62">
        <f>tblRevenue[[#Totals],[m9]]-tblCostofSales[[#Totals],[m9]]</f>
        <v>330</v>
      </c>
      <c r="M26" s="62">
        <f>tblRevenue[[#Totals],[m10]]-tblCostofSales[[#Totals],[m10]]</f>
        <v>407</v>
      </c>
      <c r="N26" s="62">
        <f>tblRevenue[[#Totals],[m11]]-tblCostofSales[[#Totals],[m11]]</f>
        <v>475</v>
      </c>
      <c r="O26" s="62">
        <f>tblRevenue[[#Totals],[m12]]-tblCostofSales[[#Totals],[m12]]</f>
        <v>590</v>
      </c>
      <c r="P26" s="62">
        <f>tblRevenue[[#Totals],[Yearly]]-tblCostofSales[[#Totals],[Yearly]]</f>
        <v>4842</v>
      </c>
      <c r="Q26" s="63"/>
      <c r="R26" s="64">
        <f>D26/$P$26</f>
        <v>7.4142916150351096E-2</v>
      </c>
      <c r="S26" s="64">
        <f t="shared" ref="S26:AD26" si="1">E26/$P$26</f>
        <v>7.8479966955803393E-2</v>
      </c>
      <c r="T26" s="64">
        <f t="shared" si="1"/>
        <v>0.10429574555968608</v>
      </c>
      <c r="U26" s="64">
        <f t="shared" si="1"/>
        <v>7.6414704667492769E-2</v>
      </c>
      <c r="V26" s="64">
        <f t="shared" si="1"/>
        <v>8.5295332507228414E-2</v>
      </c>
      <c r="W26" s="64">
        <f t="shared" si="1"/>
        <v>5.4935976869062368E-2</v>
      </c>
      <c r="X26" s="64">
        <f t="shared" si="1"/>
        <v>6.1544816191656339E-2</v>
      </c>
      <c r="Y26" s="64">
        <f t="shared" si="1"/>
        <v>9.2730276745146639E-2</v>
      </c>
      <c r="Z26" s="64">
        <f t="shared" si="1"/>
        <v>6.8153655514250316E-2</v>
      </c>
      <c r="AA26" s="64">
        <f t="shared" si="1"/>
        <v>8.4056175134242045E-2</v>
      </c>
      <c r="AB26" s="64">
        <f t="shared" si="1"/>
        <v>9.8099958694754227E-2</v>
      </c>
      <c r="AC26" s="64">
        <f t="shared" si="1"/>
        <v>0.12185047501032631</v>
      </c>
      <c r="AD26" s="64">
        <f t="shared" si="1"/>
        <v>1</v>
      </c>
    </row>
    <row r="28" spans="1:30" ht="21" x14ac:dyDescent="0.65">
      <c r="B28" s="42" t="s">
        <v>64</v>
      </c>
      <c r="C28" s="43" t="s">
        <v>19</v>
      </c>
      <c r="D28" s="65" t="s">
        <v>20</v>
      </c>
      <c r="E28" s="65" t="s">
        <v>21</v>
      </c>
      <c r="F28" s="65" t="s">
        <v>22</v>
      </c>
      <c r="G28" s="65" t="s">
        <v>23</v>
      </c>
      <c r="H28" s="65" t="s">
        <v>24</v>
      </c>
      <c r="I28" s="65" t="s">
        <v>25</v>
      </c>
      <c r="J28" s="65" t="s">
        <v>26</v>
      </c>
      <c r="K28" s="65" t="s">
        <v>27</v>
      </c>
      <c r="L28" s="65" t="s">
        <v>28</v>
      </c>
      <c r="M28" s="65" t="s">
        <v>29</v>
      </c>
      <c r="N28" s="65" t="s">
        <v>30</v>
      </c>
      <c r="O28" s="65" t="s">
        <v>31</v>
      </c>
      <c r="P28" s="65" t="s">
        <v>32</v>
      </c>
      <c r="Q28" s="65" t="s">
        <v>33</v>
      </c>
      <c r="R28" s="65" t="s">
        <v>34</v>
      </c>
      <c r="S28" s="65" t="s">
        <v>35</v>
      </c>
      <c r="T28" s="65" t="s">
        <v>36</v>
      </c>
      <c r="U28" s="65" t="s">
        <v>37</v>
      </c>
      <c r="V28" s="65" t="s">
        <v>38</v>
      </c>
      <c r="W28" s="65" t="s">
        <v>39</v>
      </c>
      <c r="X28" s="65" t="s">
        <v>40</v>
      </c>
      <c r="Y28" s="65" t="s">
        <v>41</v>
      </c>
      <c r="Z28" s="65" t="s">
        <v>42</v>
      </c>
      <c r="AA28" s="65" t="s">
        <v>43</v>
      </c>
      <c r="AB28" s="65" t="s">
        <v>44</v>
      </c>
      <c r="AC28" s="65" t="s">
        <v>45</v>
      </c>
      <c r="AD28" s="65" t="s">
        <v>46</v>
      </c>
    </row>
    <row r="29" spans="1:30" x14ac:dyDescent="0.45">
      <c r="B29" s="66" t="s">
        <v>65</v>
      </c>
      <c r="C29" s="67" t="s">
        <v>66</v>
      </c>
      <c r="D29" s="48">
        <v>10</v>
      </c>
      <c r="E29" s="48">
        <v>18</v>
      </c>
      <c r="F29" s="48">
        <v>13</v>
      </c>
      <c r="G29" s="48">
        <v>8</v>
      </c>
      <c r="H29" s="48">
        <v>22</v>
      </c>
      <c r="I29" s="48">
        <v>18</v>
      </c>
      <c r="J29" s="48">
        <v>8</v>
      </c>
      <c r="K29" s="48">
        <v>17</v>
      </c>
      <c r="L29" s="48">
        <v>20</v>
      </c>
      <c r="M29" s="48">
        <v>8</v>
      </c>
      <c r="N29" s="48">
        <v>4</v>
      </c>
      <c r="O29" s="48">
        <v>12</v>
      </c>
      <c r="P29" s="68">
        <f>SUM(tblExpenses[[#This Row],[m1]:[m12]])</f>
        <v>158</v>
      </c>
      <c r="Q29" s="50">
        <v>0.12</v>
      </c>
      <c r="R29" s="69">
        <f>tblExpenses[[#This Row],[m1]]/tblExpenses[[#Totals],[m1]]</f>
        <v>4.2372881355932202E-2</v>
      </c>
      <c r="S29" s="70">
        <f>tblExpenses[[#This Row],[m2]]/tblExpenses[[#Totals],[m2]]</f>
        <v>8.7804878048780483E-2</v>
      </c>
      <c r="T29" s="70">
        <f>tblExpenses[[#This Row],[m3]]/tblExpenses[[#Totals],[m3]]</f>
        <v>5.2208835341365459E-2</v>
      </c>
      <c r="U29" s="70">
        <f>tblExpenses[[#This Row],[m4]]/tblExpenses[[#Totals],[m4]]</f>
        <v>3.0651340996168581E-2</v>
      </c>
      <c r="V29" s="70">
        <f>tblExpenses[[#This Row],[m5]]/tblExpenses[[#Totals],[m5]]</f>
        <v>8.5603112840466927E-2</v>
      </c>
      <c r="W29" s="70">
        <f>tblExpenses[[#This Row],[m6]]/tblExpenses[[#Totals],[m6]]</f>
        <v>6.569343065693431E-2</v>
      </c>
      <c r="X29" s="70">
        <f>tblExpenses[[#This Row],[m7]]/tblExpenses[[#Totals],[m7]]</f>
        <v>3.007518796992481E-2</v>
      </c>
      <c r="Y29" s="70">
        <f>tblExpenses[[#This Row],[m8]]/tblExpenses[[#Totals],[m8]]</f>
        <v>7.2340425531914887E-2</v>
      </c>
      <c r="Z29" s="70">
        <f>tblExpenses[[#This Row],[m9]]/tblExpenses[[#Totals],[m9]]</f>
        <v>8.6956521739130432E-2</v>
      </c>
      <c r="AA29" s="70">
        <f>tblExpenses[[#This Row],[m10]]/tblExpenses[[#Totals],[m10]]</f>
        <v>3.0888030888030889E-2</v>
      </c>
      <c r="AB29" s="70">
        <f>tblExpenses[[#This Row],[m11]]/tblExpenses[[#Totals],[m11]]</f>
        <v>1.3513513513513514E-2</v>
      </c>
      <c r="AC29" s="70">
        <f>tblExpenses[[#This Row],[m12]]/tblExpenses[[#Totals],[m12]]</f>
        <v>5.1948051948051951E-2</v>
      </c>
      <c r="AD29" s="71">
        <f>tblExpenses[[#This Row],[Yearly]]/tblExpenses[[#Totals],[Yearly]]</f>
        <v>5.2684228076025338E-2</v>
      </c>
    </row>
    <row r="30" spans="1:30" x14ac:dyDescent="0.45">
      <c r="B30" s="66" t="s">
        <v>67</v>
      </c>
      <c r="C30" s="67" t="s">
        <v>66</v>
      </c>
      <c r="D30" s="48">
        <v>23</v>
      </c>
      <c r="E30" s="48">
        <v>11</v>
      </c>
      <c r="F30" s="48">
        <v>7</v>
      </c>
      <c r="G30" s="48">
        <v>14</v>
      </c>
      <c r="H30" s="48">
        <v>12</v>
      </c>
      <c r="I30" s="48">
        <v>19</v>
      </c>
      <c r="J30" s="48">
        <v>19</v>
      </c>
      <c r="K30" s="48">
        <v>4</v>
      </c>
      <c r="L30" s="48">
        <v>7</v>
      </c>
      <c r="M30" s="48">
        <v>13</v>
      </c>
      <c r="N30" s="48">
        <v>25</v>
      </c>
      <c r="O30" s="48">
        <v>5</v>
      </c>
      <c r="P30" s="68">
        <f>SUM(tblExpenses[[#This Row],[m1]:[m12]])</f>
        <v>159</v>
      </c>
      <c r="Q30" s="50">
        <v>0.09</v>
      </c>
      <c r="R30" s="69">
        <f>tblExpenses[[#This Row],[m1]]/tblExpenses[[#Totals],[m1]]</f>
        <v>9.7457627118644072E-2</v>
      </c>
      <c r="S30" s="70">
        <f>tblExpenses[[#This Row],[m2]]/tblExpenses[[#Totals],[m2]]</f>
        <v>5.3658536585365853E-2</v>
      </c>
      <c r="T30" s="70">
        <f>tblExpenses[[#This Row],[m3]]/tblExpenses[[#Totals],[m3]]</f>
        <v>2.8112449799196786E-2</v>
      </c>
      <c r="U30" s="70">
        <f>tblExpenses[[#This Row],[m4]]/tblExpenses[[#Totals],[m4]]</f>
        <v>5.3639846743295021E-2</v>
      </c>
      <c r="V30" s="70">
        <f>tblExpenses[[#This Row],[m5]]/tblExpenses[[#Totals],[m5]]</f>
        <v>4.6692607003891051E-2</v>
      </c>
      <c r="W30" s="70">
        <f>tblExpenses[[#This Row],[m6]]/tblExpenses[[#Totals],[m6]]</f>
        <v>6.9343065693430656E-2</v>
      </c>
      <c r="X30" s="70">
        <f>tblExpenses[[#This Row],[m7]]/tblExpenses[[#Totals],[m7]]</f>
        <v>7.1428571428571425E-2</v>
      </c>
      <c r="Y30" s="70">
        <f>tblExpenses[[#This Row],[m8]]/tblExpenses[[#Totals],[m8]]</f>
        <v>1.7021276595744681E-2</v>
      </c>
      <c r="Z30" s="70">
        <f>tblExpenses[[#This Row],[m9]]/tblExpenses[[#Totals],[m9]]</f>
        <v>3.0434782608695653E-2</v>
      </c>
      <c r="AA30" s="70">
        <f>tblExpenses[[#This Row],[m10]]/tblExpenses[[#Totals],[m10]]</f>
        <v>5.019305019305019E-2</v>
      </c>
      <c r="AB30" s="70">
        <f>tblExpenses[[#This Row],[m11]]/tblExpenses[[#Totals],[m11]]</f>
        <v>8.4459459459459457E-2</v>
      </c>
      <c r="AC30" s="70">
        <f>tblExpenses[[#This Row],[m12]]/tblExpenses[[#Totals],[m12]]</f>
        <v>2.1645021645021644E-2</v>
      </c>
      <c r="AD30" s="71">
        <f>tblExpenses[[#This Row],[Yearly]]/tblExpenses[[#Totals],[Yearly]]</f>
        <v>5.3017672557519172E-2</v>
      </c>
    </row>
    <row r="31" spans="1:30" x14ac:dyDescent="0.45">
      <c r="B31" s="66" t="s">
        <v>68</v>
      </c>
      <c r="C31" s="67" t="s">
        <v>66</v>
      </c>
      <c r="D31" s="48">
        <v>23</v>
      </c>
      <c r="E31" s="48">
        <v>20</v>
      </c>
      <c r="F31" s="48">
        <v>3</v>
      </c>
      <c r="G31" s="48">
        <v>16</v>
      </c>
      <c r="H31" s="48">
        <v>10</v>
      </c>
      <c r="I31" s="48">
        <v>5</v>
      </c>
      <c r="J31" s="48">
        <v>20</v>
      </c>
      <c r="K31" s="48">
        <v>7</v>
      </c>
      <c r="L31" s="48">
        <v>4</v>
      </c>
      <c r="M31" s="48">
        <v>22</v>
      </c>
      <c r="N31" s="48">
        <v>13</v>
      </c>
      <c r="O31" s="48">
        <v>14</v>
      </c>
      <c r="P31" s="68">
        <f>SUM(tblExpenses[[#This Row],[m1]:[m12]])</f>
        <v>157</v>
      </c>
      <c r="Q31" s="50">
        <v>0.02</v>
      </c>
      <c r="R31" s="69">
        <f>tblExpenses[[#This Row],[m1]]/tblExpenses[[#Totals],[m1]]</f>
        <v>9.7457627118644072E-2</v>
      </c>
      <c r="S31" s="70">
        <f>tblExpenses[[#This Row],[m2]]/tblExpenses[[#Totals],[m2]]</f>
        <v>9.7560975609756101E-2</v>
      </c>
      <c r="T31" s="70">
        <f>tblExpenses[[#This Row],[m3]]/tblExpenses[[#Totals],[m3]]</f>
        <v>1.2048192771084338E-2</v>
      </c>
      <c r="U31" s="70">
        <f>tblExpenses[[#This Row],[m4]]/tblExpenses[[#Totals],[m4]]</f>
        <v>6.1302681992337162E-2</v>
      </c>
      <c r="V31" s="70">
        <f>tblExpenses[[#This Row],[m5]]/tblExpenses[[#Totals],[m5]]</f>
        <v>3.8910505836575876E-2</v>
      </c>
      <c r="W31" s="70">
        <f>tblExpenses[[#This Row],[m6]]/tblExpenses[[#Totals],[m6]]</f>
        <v>1.824817518248175E-2</v>
      </c>
      <c r="X31" s="70">
        <f>tblExpenses[[#This Row],[m7]]/tblExpenses[[#Totals],[m7]]</f>
        <v>7.5187969924812026E-2</v>
      </c>
      <c r="Y31" s="70">
        <f>tblExpenses[[#This Row],[m8]]/tblExpenses[[#Totals],[m8]]</f>
        <v>2.9787234042553193E-2</v>
      </c>
      <c r="Z31" s="70">
        <f>tblExpenses[[#This Row],[m9]]/tblExpenses[[#Totals],[m9]]</f>
        <v>1.7391304347826087E-2</v>
      </c>
      <c r="AA31" s="70">
        <f>tblExpenses[[#This Row],[m10]]/tblExpenses[[#Totals],[m10]]</f>
        <v>8.4942084942084939E-2</v>
      </c>
      <c r="AB31" s="70">
        <f>tblExpenses[[#This Row],[m11]]/tblExpenses[[#Totals],[m11]]</f>
        <v>4.3918918918918921E-2</v>
      </c>
      <c r="AC31" s="70">
        <f>tblExpenses[[#This Row],[m12]]/tblExpenses[[#Totals],[m12]]</f>
        <v>6.0606060606060608E-2</v>
      </c>
      <c r="AD31" s="71">
        <f>tblExpenses[[#This Row],[Yearly]]/tblExpenses[[#Totals],[Yearly]]</f>
        <v>5.2350783594531512E-2</v>
      </c>
    </row>
    <row r="32" spans="1:30" x14ac:dyDescent="0.45">
      <c r="B32" s="66" t="s">
        <v>69</v>
      </c>
      <c r="C32" s="67" t="s">
        <v>66</v>
      </c>
      <c r="D32" s="48">
        <v>19</v>
      </c>
      <c r="E32" s="48">
        <v>4</v>
      </c>
      <c r="F32" s="48">
        <v>7</v>
      </c>
      <c r="G32" s="48">
        <v>14</v>
      </c>
      <c r="H32" s="48">
        <v>22</v>
      </c>
      <c r="I32" s="48">
        <v>10</v>
      </c>
      <c r="J32" s="48">
        <v>22</v>
      </c>
      <c r="K32" s="48">
        <v>5</v>
      </c>
      <c r="L32" s="48">
        <v>4</v>
      </c>
      <c r="M32" s="48">
        <v>12</v>
      </c>
      <c r="N32" s="48">
        <v>18</v>
      </c>
      <c r="O32" s="48">
        <v>24</v>
      </c>
      <c r="P32" s="68">
        <f>SUM(tblExpenses[[#This Row],[m1]:[m12]])</f>
        <v>161</v>
      </c>
      <c r="Q32" s="50">
        <v>0.08</v>
      </c>
      <c r="R32" s="69">
        <f>tblExpenses[[#This Row],[m1]]/tblExpenses[[#Totals],[m1]]</f>
        <v>8.050847457627118E-2</v>
      </c>
      <c r="S32" s="70">
        <f>tblExpenses[[#This Row],[m2]]/tblExpenses[[#Totals],[m2]]</f>
        <v>1.9512195121951219E-2</v>
      </c>
      <c r="T32" s="70">
        <f>tblExpenses[[#This Row],[m3]]/tblExpenses[[#Totals],[m3]]</f>
        <v>2.8112449799196786E-2</v>
      </c>
      <c r="U32" s="70">
        <f>tblExpenses[[#This Row],[m4]]/tblExpenses[[#Totals],[m4]]</f>
        <v>5.3639846743295021E-2</v>
      </c>
      <c r="V32" s="70">
        <f>tblExpenses[[#This Row],[m5]]/tblExpenses[[#Totals],[m5]]</f>
        <v>8.5603112840466927E-2</v>
      </c>
      <c r="W32" s="70">
        <f>tblExpenses[[#This Row],[m6]]/tblExpenses[[#Totals],[m6]]</f>
        <v>3.6496350364963501E-2</v>
      </c>
      <c r="X32" s="70">
        <f>tblExpenses[[#This Row],[m7]]/tblExpenses[[#Totals],[m7]]</f>
        <v>8.2706766917293228E-2</v>
      </c>
      <c r="Y32" s="70">
        <f>tblExpenses[[#This Row],[m8]]/tblExpenses[[#Totals],[m8]]</f>
        <v>2.1276595744680851E-2</v>
      </c>
      <c r="Z32" s="70">
        <f>tblExpenses[[#This Row],[m9]]/tblExpenses[[#Totals],[m9]]</f>
        <v>1.7391304347826087E-2</v>
      </c>
      <c r="AA32" s="70">
        <f>tblExpenses[[#This Row],[m10]]/tblExpenses[[#Totals],[m10]]</f>
        <v>4.633204633204633E-2</v>
      </c>
      <c r="AB32" s="70">
        <f>tblExpenses[[#This Row],[m11]]/tblExpenses[[#Totals],[m11]]</f>
        <v>6.0810810810810814E-2</v>
      </c>
      <c r="AC32" s="70">
        <f>tblExpenses[[#This Row],[m12]]/tblExpenses[[#Totals],[m12]]</f>
        <v>0.1038961038961039</v>
      </c>
      <c r="AD32" s="71">
        <f>tblExpenses[[#This Row],[Yearly]]/tblExpenses[[#Totals],[Yearly]]</f>
        <v>5.3684561520506838E-2</v>
      </c>
    </row>
    <row r="33" spans="1:30" x14ac:dyDescent="0.45">
      <c r="B33" s="66" t="s">
        <v>70</v>
      </c>
      <c r="C33" s="67" t="s">
        <v>66</v>
      </c>
      <c r="D33" s="48">
        <v>11</v>
      </c>
      <c r="E33" s="48">
        <v>11</v>
      </c>
      <c r="F33" s="48">
        <v>17</v>
      </c>
      <c r="G33" s="48">
        <v>12</v>
      </c>
      <c r="H33" s="48">
        <v>2</v>
      </c>
      <c r="I33" s="48">
        <v>14</v>
      </c>
      <c r="J33" s="48">
        <v>12</v>
      </c>
      <c r="K33" s="48">
        <v>10</v>
      </c>
      <c r="L33" s="48">
        <v>18</v>
      </c>
      <c r="M33" s="48">
        <v>11</v>
      </c>
      <c r="N33" s="48">
        <v>23</v>
      </c>
      <c r="O33" s="48">
        <v>11</v>
      </c>
      <c r="P33" s="68">
        <f>SUM(tblExpenses[[#This Row],[m1]:[m12]])</f>
        <v>152</v>
      </c>
      <c r="Q33" s="50">
        <v>0.03</v>
      </c>
      <c r="R33" s="69">
        <f>tblExpenses[[#This Row],[m1]]/tblExpenses[[#Totals],[m1]]</f>
        <v>4.6610169491525424E-2</v>
      </c>
      <c r="S33" s="70">
        <f>tblExpenses[[#This Row],[m2]]/tblExpenses[[#Totals],[m2]]</f>
        <v>5.3658536585365853E-2</v>
      </c>
      <c r="T33" s="70">
        <f>tblExpenses[[#This Row],[m3]]/tblExpenses[[#Totals],[m3]]</f>
        <v>6.8273092369477914E-2</v>
      </c>
      <c r="U33" s="70">
        <f>tblExpenses[[#This Row],[m4]]/tblExpenses[[#Totals],[m4]]</f>
        <v>4.5977011494252873E-2</v>
      </c>
      <c r="V33" s="70">
        <f>tblExpenses[[#This Row],[m5]]/tblExpenses[[#Totals],[m5]]</f>
        <v>7.7821011673151752E-3</v>
      </c>
      <c r="W33" s="70">
        <f>tblExpenses[[#This Row],[m6]]/tblExpenses[[#Totals],[m6]]</f>
        <v>5.1094890510948905E-2</v>
      </c>
      <c r="X33" s="70">
        <f>tblExpenses[[#This Row],[m7]]/tblExpenses[[#Totals],[m7]]</f>
        <v>4.5112781954887216E-2</v>
      </c>
      <c r="Y33" s="70">
        <f>tblExpenses[[#This Row],[m8]]/tblExpenses[[#Totals],[m8]]</f>
        <v>4.2553191489361701E-2</v>
      </c>
      <c r="Z33" s="70">
        <f>tblExpenses[[#This Row],[m9]]/tblExpenses[[#Totals],[m9]]</f>
        <v>7.8260869565217397E-2</v>
      </c>
      <c r="AA33" s="70">
        <f>tblExpenses[[#This Row],[m10]]/tblExpenses[[#Totals],[m10]]</f>
        <v>4.2471042471042469E-2</v>
      </c>
      <c r="AB33" s="70">
        <f>tblExpenses[[#This Row],[m11]]/tblExpenses[[#Totals],[m11]]</f>
        <v>7.77027027027027E-2</v>
      </c>
      <c r="AC33" s="70">
        <f>tblExpenses[[#This Row],[m12]]/tblExpenses[[#Totals],[m12]]</f>
        <v>4.7619047619047616E-2</v>
      </c>
      <c r="AD33" s="71">
        <f>tblExpenses[[#This Row],[Yearly]]/tblExpenses[[#Totals],[Yearly]]</f>
        <v>5.0683561187062354E-2</v>
      </c>
    </row>
    <row r="34" spans="1:30" x14ac:dyDescent="0.45">
      <c r="B34" s="66" t="s">
        <v>6</v>
      </c>
      <c r="C34" s="67" t="s">
        <v>66</v>
      </c>
      <c r="D34" s="48">
        <v>2</v>
      </c>
      <c r="E34" s="48">
        <v>16</v>
      </c>
      <c r="F34" s="48">
        <v>6</v>
      </c>
      <c r="G34" s="48">
        <v>13</v>
      </c>
      <c r="H34" s="48">
        <v>11</v>
      </c>
      <c r="I34" s="48">
        <v>22</v>
      </c>
      <c r="J34" s="48">
        <v>21</v>
      </c>
      <c r="K34" s="48">
        <v>3</v>
      </c>
      <c r="L34" s="48">
        <v>12</v>
      </c>
      <c r="M34" s="48">
        <v>7</v>
      </c>
      <c r="N34" s="48">
        <v>17</v>
      </c>
      <c r="O34" s="48">
        <v>20</v>
      </c>
      <c r="P34" s="68">
        <f>SUM(tblExpenses[[#This Row],[m1]:[m12]])</f>
        <v>150</v>
      </c>
      <c r="Q34" s="50">
        <v>0.15</v>
      </c>
      <c r="R34" s="69">
        <f>tblExpenses[[#This Row],[m1]]/tblExpenses[[#Totals],[m1]]</f>
        <v>8.4745762711864406E-3</v>
      </c>
      <c r="S34" s="70">
        <f>tblExpenses[[#This Row],[m2]]/tblExpenses[[#Totals],[m2]]</f>
        <v>7.8048780487804878E-2</v>
      </c>
      <c r="T34" s="70">
        <f>tblExpenses[[#This Row],[m3]]/tblExpenses[[#Totals],[m3]]</f>
        <v>2.4096385542168676E-2</v>
      </c>
      <c r="U34" s="70">
        <f>tblExpenses[[#This Row],[m4]]/tblExpenses[[#Totals],[m4]]</f>
        <v>4.9808429118773943E-2</v>
      </c>
      <c r="V34" s="70">
        <f>tblExpenses[[#This Row],[m5]]/tblExpenses[[#Totals],[m5]]</f>
        <v>4.2801556420233464E-2</v>
      </c>
      <c r="W34" s="70">
        <f>tblExpenses[[#This Row],[m6]]/tblExpenses[[#Totals],[m6]]</f>
        <v>8.0291970802919707E-2</v>
      </c>
      <c r="X34" s="70">
        <f>tblExpenses[[#This Row],[m7]]/tblExpenses[[#Totals],[m7]]</f>
        <v>7.8947368421052627E-2</v>
      </c>
      <c r="Y34" s="70">
        <f>tblExpenses[[#This Row],[m8]]/tblExpenses[[#Totals],[m8]]</f>
        <v>1.276595744680851E-2</v>
      </c>
      <c r="Z34" s="70">
        <f>tblExpenses[[#This Row],[m9]]/tblExpenses[[#Totals],[m9]]</f>
        <v>5.2173913043478258E-2</v>
      </c>
      <c r="AA34" s="70">
        <f>tblExpenses[[#This Row],[m10]]/tblExpenses[[#Totals],[m10]]</f>
        <v>2.7027027027027029E-2</v>
      </c>
      <c r="AB34" s="70">
        <f>tblExpenses[[#This Row],[m11]]/tblExpenses[[#Totals],[m11]]</f>
        <v>5.7432432432432436E-2</v>
      </c>
      <c r="AC34" s="70">
        <f>tblExpenses[[#This Row],[m12]]/tblExpenses[[#Totals],[m12]]</f>
        <v>8.6580086580086577E-2</v>
      </c>
      <c r="AD34" s="71">
        <f>tblExpenses[[#This Row],[Yearly]]/tblExpenses[[#Totals],[Yearly]]</f>
        <v>5.0016672224074694E-2</v>
      </c>
    </row>
    <row r="35" spans="1:30" x14ac:dyDescent="0.45">
      <c r="B35" s="66" t="s">
        <v>71</v>
      </c>
      <c r="C35" s="67" t="s">
        <v>66</v>
      </c>
      <c r="D35" s="48">
        <v>8</v>
      </c>
      <c r="E35" s="48">
        <v>17</v>
      </c>
      <c r="F35" s="48">
        <v>11</v>
      </c>
      <c r="G35" s="48">
        <v>11</v>
      </c>
      <c r="H35" s="48">
        <v>21</v>
      </c>
      <c r="I35" s="48">
        <v>9</v>
      </c>
      <c r="J35" s="48">
        <v>20</v>
      </c>
      <c r="K35" s="48">
        <v>3</v>
      </c>
      <c r="L35" s="48">
        <v>14</v>
      </c>
      <c r="M35" s="48">
        <v>22</v>
      </c>
      <c r="N35" s="48">
        <v>16</v>
      </c>
      <c r="O35" s="48">
        <v>12</v>
      </c>
      <c r="P35" s="68">
        <f>SUM(tblExpenses[[#This Row],[m1]:[m12]])</f>
        <v>164</v>
      </c>
      <c r="Q35" s="50">
        <v>0.12</v>
      </c>
      <c r="R35" s="69">
        <f>tblExpenses[[#This Row],[m1]]/tblExpenses[[#Totals],[m1]]</f>
        <v>3.3898305084745763E-2</v>
      </c>
      <c r="S35" s="70">
        <f>tblExpenses[[#This Row],[m2]]/tblExpenses[[#Totals],[m2]]</f>
        <v>8.2926829268292687E-2</v>
      </c>
      <c r="T35" s="70">
        <f>tblExpenses[[#This Row],[m3]]/tblExpenses[[#Totals],[m3]]</f>
        <v>4.4176706827309238E-2</v>
      </c>
      <c r="U35" s="70">
        <f>tblExpenses[[#This Row],[m4]]/tblExpenses[[#Totals],[m4]]</f>
        <v>4.2145593869731802E-2</v>
      </c>
      <c r="V35" s="70">
        <f>tblExpenses[[#This Row],[m5]]/tblExpenses[[#Totals],[m5]]</f>
        <v>8.171206225680934E-2</v>
      </c>
      <c r="W35" s="70">
        <f>tblExpenses[[#This Row],[m6]]/tblExpenses[[#Totals],[m6]]</f>
        <v>3.2846715328467155E-2</v>
      </c>
      <c r="X35" s="70">
        <f>tblExpenses[[#This Row],[m7]]/tblExpenses[[#Totals],[m7]]</f>
        <v>7.5187969924812026E-2</v>
      </c>
      <c r="Y35" s="70">
        <f>tblExpenses[[#This Row],[m8]]/tblExpenses[[#Totals],[m8]]</f>
        <v>1.276595744680851E-2</v>
      </c>
      <c r="Z35" s="70">
        <f>tblExpenses[[#This Row],[m9]]/tblExpenses[[#Totals],[m9]]</f>
        <v>6.0869565217391307E-2</v>
      </c>
      <c r="AA35" s="70">
        <f>tblExpenses[[#This Row],[m10]]/tblExpenses[[#Totals],[m10]]</f>
        <v>8.4942084942084939E-2</v>
      </c>
      <c r="AB35" s="70">
        <f>tblExpenses[[#This Row],[m11]]/tblExpenses[[#Totals],[m11]]</f>
        <v>5.4054054054054057E-2</v>
      </c>
      <c r="AC35" s="70">
        <f>tblExpenses[[#This Row],[m12]]/tblExpenses[[#Totals],[m12]]</f>
        <v>5.1948051948051951E-2</v>
      </c>
      <c r="AD35" s="71">
        <f>tblExpenses[[#This Row],[Yearly]]/tblExpenses[[#Totals],[Yearly]]</f>
        <v>5.468489496498833E-2</v>
      </c>
    </row>
    <row r="36" spans="1:30" x14ac:dyDescent="0.45">
      <c r="B36" s="66" t="s">
        <v>72</v>
      </c>
      <c r="C36" s="67" t="s">
        <v>66</v>
      </c>
      <c r="D36" s="48">
        <v>5</v>
      </c>
      <c r="E36" s="48">
        <v>13</v>
      </c>
      <c r="F36" s="48">
        <v>6</v>
      </c>
      <c r="G36" s="48">
        <v>15</v>
      </c>
      <c r="H36" s="48">
        <v>19</v>
      </c>
      <c r="I36" s="48">
        <v>10</v>
      </c>
      <c r="J36" s="48">
        <v>12</v>
      </c>
      <c r="K36" s="48">
        <v>9</v>
      </c>
      <c r="L36" s="48">
        <v>15</v>
      </c>
      <c r="M36" s="48">
        <v>16</v>
      </c>
      <c r="N36" s="48">
        <v>4</v>
      </c>
      <c r="O36" s="48">
        <v>9</v>
      </c>
      <c r="P36" s="68">
        <f>SUM(tblExpenses[[#This Row],[m1]:[m12]])</f>
        <v>133</v>
      </c>
      <c r="Q36" s="50">
        <v>0.09</v>
      </c>
      <c r="R36" s="69">
        <f>tblExpenses[[#This Row],[m1]]/tblExpenses[[#Totals],[m1]]</f>
        <v>2.1186440677966101E-2</v>
      </c>
      <c r="S36" s="72">
        <f>tblExpenses[[#This Row],[m2]]/tblExpenses[[#Totals],[m2]]</f>
        <v>6.3414634146341464E-2</v>
      </c>
      <c r="T36" s="72">
        <f>tblExpenses[[#This Row],[m3]]/tblExpenses[[#Totals],[m3]]</f>
        <v>2.4096385542168676E-2</v>
      </c>
      <c r="U36" s="72">
        <f>tblExpenses[[#This Row],[m4]]/tblExpenses[[#Totals],[m4]]</f>
        <v>5.7471264367816091E-2</v>
      </c>
      <c r="V36" s="72">
        <f>tblExpenses[[#This Row],[m5]]/tblExpenses[[#Totals],[m5]]</f>
        <v>7.3929961089494164E-2</v>
      </c>
      <c r="W36" s="72">
        <f>tblExpenses[[#This Row],[m6]]/tblExpenses[[#Totals],[m6]]</f>
        <v>3.6496350364963501E-2</v>
      </c>
      <c r="X36" s="72">
        <f>tblExpenses[[#This Row],[m7]]/tblExpenses[[#Totals],[m7]]</f>
        <v>4.5112781954887216E-2</v>
      </c>
      <c r="Y36" s="72">
        <f>tblExpenses[[#This Row],[m8]]/tblExpenses[[#Totals],[m8]]</f>
        <v>3.8297872340425532E-2</v>
      </c>
      <c r="Z36" s="72">
        <f>tblExpenses[[#This Row],[m9]]/tblExpenses[[#Totals],[m9]]</f>
        <v>6.5217391304347824E-2</v>
      </c>
      <c r="AA36" s="72">
        <f>tblExpenses[[#This Row],[m10]]/tblExpenses[[#Totals],[m10]]</f>
        <v>6.1776061776061778E-2</v>
      </c>
      <c r="AB36" s="72">
        <f>tblExpenses[[#This Row],[m11]]/tblExpenses[[#Totals],[m11]]</f>
        <v>1.3513513513513514E-2</v>
      </c>
      <c r="AC36" s="72">
        <f>tblExpenses[[#This Row],[m12]]/tblExpenses[[#Totals],[m12]]</f>
        <v>3.896103896103896E-2</v>
      </c>
      <c r="AD36" s="73">
        <f>tblExpenses[[#This Row],[Yearly]]/tblExpenses[[#Totals],[Yearly]]</f>
        <v>4.4348116038679559E-2</v>
      </c>
    </row>
    <row r="37" spans="1:30" x14ac:dyDescent="0.45">
      <c r="B37" s="66" t="s">
        <v>5</v>
      </c>
      <c r="C37" s="67" t="s">
        <v>66</v>
      </c>
      <c r="D37" s="48">
        <v>8</v>
      </c>
      <c r="E37" s="48">
        <v>4</v>
      </c>
      <c r="F37" s="48">
        <v>23</v>
      </c>
      <c r="G37" s="48">
        <v>25</v>
      </c>
      <c r="H37" s="48">
        <v>10</v>
      </c>
      <c r="I37" s="48">
        <v>24</v>
      </c>
      <c r="J37" s="48">
        <v>22</v>
      </c>
      <c r="K37" s="48">
        <v>5</v>
      </c>
      <c r="L37" s="48">
        <v>12</v>
      </c>
      <c r="M37" s="48">
        <v>24</v>
      </c>
      <c r="N37" s="48">
        <v>24</v>
      </c>
      <c r="O37" s="48">
        <v>12</v>
      </c>
      <c r="P37" s="68">
        <f>SUM(tblExpenses[[#This Row],[m1]:[m12]])</f>
        <v>193</v>
      </c>
      <c r="Q37" s="50">
        <v>0.01</v>
      </c>
      <c r="R37" s="69">
        <f>tblExpenses[[#This Row],[m1]]/tblExpenses[[#Totals],[m1]]</f>
        <v>3.3898305084745763E-2</v>
      </c>
      <c r="S37" s="72">
        <f>tblExpenses[[#This Row],[m2]]/tblExpenses[[#Totals],[m2]]</f>
        <v>1.9512195121951219E-2</v>
      </c>
      <c r="T37" s="72">
        <f>tblExpenses[[#This Row],[m3]]/tblExpenses[[#Totals],[m3]]</f>
        <v>9.2369477911646583E-2</v>
      </c>
      <c r="U37" s="72">
        <f>tblExpenses[[#This Row],[m4]]/tblExpenses[[#Totals],[m4]]</f>
        <v>9.5785440613026823E-2</v>
      </c>
      <c r="V37" s="72">
        <f>tblExpenses[[#This Row],[m5]]/tblExpenses[[#Totals],[m5]]</f>
        <v>3.8910505836575876E-2</v>
      </c>
      <c r="W37" s="72">
        <f>tblExpenses[[#This Row],[m6]]/tblExpenses[[#Totals],[m6]]</f>
        <v>8.7591240875912413E-2</v>
      </c>
      <c r="X37" s="72">
        <f>tblExpenses[[#This Row],[m7]]/tblExpenses[[#Totals],[m7]]</f>
        <v>8.2706766917293228E-2</v>
      </c>
      <c r="Y37" s="72">
        <f>tblExpenses[[#This Row],[m8]]/tblExpenses[[#Totals],[m8]]</f>
        <v>2.1276595744680851E-2</v>
      </c>
      <c r="Z37" s="72">
        <f>tblExpenses[[#This Row],[m9]]/tblExpenses[[#Totals],[m9]]</f>
        <v>5.2173913043478258E-2</v>
      </c>
      <c r="AA37" s="72">
        <f>tblExpenses[[#This Row],[m10]]/tblExpenses[[#Totals],[m10]]</f>
        <v>9.2664092664092659E-2</v>
      </c>
      <c r="AB37" s="72">
        <f>tblExpenses[[#This Row],[m11]]/tblExpenses[[#Totals],[m11]]</f>
        <v>8.1081081081081086E-2</v>
      </c>
      <c r="AC37" s="72">
        <f>tblExpenses[[#This Row],[m12]]/tblExpenses[[#Totals],[m12]]</f>
        <v>5.1948051948051951E-2</v>
      </c>
      <c r="AD37" s="73">
        <f>tblExpenses[[#This Row],[Yearly]]/tblExpenses[[#Totals],[Yearly]]</f>
        <v>6.4354784928309441E-2</v>
      </c>
    </row>
    <row r="38" spans="1:30" x14ac:dyDescent="0.45">
      <c r="B38" s="66" t="s">
        <v>7</v>
      </c>
      <c r="C38" s="67" t="s">
        <v>66</v>
      </c>
      <c r="D38" s="48">
        <v>25</v>
      </c>
      <c r="E38" s="48">
        <v>2</v>
      </c>
      <c r="F38" s="48">
        <v>12</v>
      </c>
      <c r="G38" s="48">
        <v>25</v>
      </c>
      <c r="H38" s="48">
        <v>10</v>
      </c>
      <c r="I38" s="48">
        <v>24</v>
      </c>
      <c r="J38" s="48">
        <v>3</v>
      </c>
      <c r="K38" s="48">
        <v>20</v>
      </c>
      <c r="L38" s="48">
        <v>3</v>
      </c>
      <c r="M38" s="48">
        <v>9</v>
      </c>
      <c r="N38" s="48">
        <v>20</v>
      </c>
      <c r="O38" s="48">
        <v>18</v>
      </c>
      <c r="P38" s="68">
        <f>SUM(tblExpenses[[#This Row],[m1]:[m12]])</f>
        <v>171</v>
      </c>
      <c r="Q38" s="50">
        <v>0.01</v>
      </c>
      <c r="R38" s="69">
        <f>tblExpenses[[#This Row],[m1]]/tblExpenses[[#Totals],[m1]]</f>
        <v>0.1059322033898305</v>
      </c>
      <c r="S38" s="72">
        <f>tblExpenses[[#This Row],[m2]]/tblExpenses[[#Totals],[m2]]</f>
        <v>9.7560975609756097E-3</v>
      </c>
      <c r="T38" s="72">
        <f>tblExpenses[[#This Row],[m3]]/tblExpenses[[#Totals],[m3]]</f>
        <v>4.8192771084337352E-2</v>
      </c>
      <c r="U38" s="72">
        <f>tblExpenses[[#This Row],[m4]]/tblExpenses[[#Totals],[m4]]</f>
        <v>9.5785440613026823E-2</v>
      </c>
      <c r="V38" s="72">
        <f>tblExpenses[[#This Row],[m5]]/tblExpenses[[#Totals],[m5]]</f>
        <v>3.8910505836575876E-2</v>
      </c>
      <c r="W38" s="72">
        <f>tblExpenses[[#This Row],[m6]]/tblExpenses[[#Totals],[m6]]</f>
        <v>8.7591240875912413E-2</v>
      </c>
      <c r="X38" s="72">
        <f>tblExpenses[[#This Row],[m7]]/tblExpenses[[#Totals],[m7]]</f>
        <v>1.1278195488721804E-2</v>
      </c>
      <c r="Y38" s="72">
        <f>tblExpenses[[#This Row],[m8]]/tblExpenses[[#Totals],[m8]]</f>
        <v>8.5106382978723402E-2</v>
      </c>
      <c r="Z38" s="72">
        <f>tblExpenses[[#This Row],[m9]]/tblExpenses[[#Totals],[m9]]</f>
        <v>1.3043478260869565E-2</v>
      </c>
      <c r="AA38" s="72">
        <f>tblExpenses[[#This Row],[m10]]/tblExpenses[[#Totals],[m10]]</f>
        <v>3.4749034749034749E-2</v>
      </c>
      <c r="AB38" s="72">
        <f>tblExpenses[[#This Row],[m11]]/tblExpenses[[#Totals],[m11]]</f>
        <v>6.7567567567567571E-2</v>
      </c>
      <c r="AC38" s="72">
        <f>tblExpenses[[#This Row],[m12]]/tblExpenses[[#Totals],[m12]]</f>
        <v>7.792207792207792E-2</v>
      </c>
      <c r="AD38" s="73">
        <f>tblExpenses[[#This Row],[Yearly]]/tblExpenses[[#Totals],[Yearly]]</f>
        <v>5.7019006335445148E-2</v>
      </c>
    </row>
    <row r="39" spans="1:30" x14ac:dyDescent="0.45">
      <c r="B39" s="66" t="s">
        <v>73</v>
      </c>
      <c r="C39" s="67" t="s">
        <v>66</v>
      </c>
      <c r="D39" s="48">
        <v>16</v>
      </c>
      <c r="E39" s="48">
        <v>19</v>
      </c>
      <c r="F39" s="48">
        <v>9</v>
      </c>
      <c r="G39" s="48">
        <v>16</v>
      </c>
      <c r="H39" s="48">
        <v>13</v>
      </c>
      <c r="I39" s="48">
        <v>2</v>
      </c>
      <c r="J39" s="48">
        <v>4</v>
      </c>
      <c r="K39" s="48">
        <v>24</v>
      </c>
      <c r="L39" s="48">
        <v>16</v>
      </c>
      <c r="M39" s="48">
        <v>22</v>
      </c>
      <c r="N39" s="48">
        <v>7</v>
      </c>
      <c r="O39" s="48">
        <v>18</v>
      </c>
      <c r="P39" s="68">
        <f>SUM(tblExpenses[[#This Row],[m1]:[m12]])</f>
        <v>166</v>
      </c>
      <c r="Q39" s="50">
        <v>0.01</v>
      </c>
      <c r="R39" s="69">
        <f>tblExpenses[[#This Row],[m1]]/tblExpenses[[#Totals],[m1]]</f>
        <v>6.7796610169491525E-2</v>
      </c>
      <c r="S39" s="72">
        <f>tblExpenses[[#This Row],[m2]]/tblExpenses[[#Totals],[m2]]</f>
        <v>9.2682926829268292E-2</v>
      </c>
      <c r="T39" s="72">
        <f>tblExpenses[[#This Row],[m3]]/tblExpenses[[#Totals],[m3]]</f>
        <v>3.614457831325301E-2</v>
      </c>
      <c r="U39" s="72">
        <f>tblExpenses[[#This Row],[m4]]/tblExpenses[[#Totals],[m4]]</f>
        <v>6.1302681992337162E-2</v>
      </c>
      <c r="V39" s="72">
        <f>tblExpenses[[#This Row],[m5]]/tblExpenses[[#Totals],[m5]]</f>
        <v>5.0583657587548639E-2</v>
      </c>
      <c r="W39" s="72">
        <f>tblExpenses[[#This Row],[m6]]/tblExpenses[[#Totals],[m6]]</f>
        <v>7.2992700729927005E-3</v>
      </c>
      <c r="X39" s="72">
        <f>tblExpenses[[#This Row],[m7]]/tblExpenses[[#Totals],[m7]]</f>
        <v>1.5037593984962405E-2</v>
      </c>
      <c r="Y39" s="72">
        <f>tblExpenses[[#This Row],[m8]]/tblExpenses[[#Totals],[m8]]</f>
        <v>0.10212765957446808</v>
      </c>
      <c r="Z39" s="72">
        <f>tblExpenses[[#This Row],[m9]]/tblExpenses[[#Totals],[m9]]</f>
        <v>6.9565217391304349E-2</v>
      </c>
      <c r="AA39" s="72">
        <f>tblExpenses[[#This Row],[m10]]/tblExpenses[[#Totals],[m10]]</f>
        <v>8.4942084942084939E-2</v>
      </c>
      <c r="AB39" s="72">
        <f>tblExpenses[[#This Row],[m11]]/tblExpenses[[#Totals],[m11]]</f>
        <v>2.364864864864865E-2</v>
      </c>
      <c r="AC39" s="72">
        <f>tblExpenses[[#This Row],[m12]]/tblExpenses[[#Totals],[m12]]</f>
        <v>7.792207792207792E-2</v>
      </c>
      <c r="AD39" s="73">
        <f>tblExpenses[[#This Row],[Yearly]]/tblExpenses[[#Totals],[Yearly]]</f>
        <v>5.5351783927975989E-2</v>
      </c>
    </row>
    <row r="40" spans="1:30" x14ac:dyDescent="0.45">
      <c r="B40" s="66" t="s">
        <v>8</v>
      </c>
      <c r="C40" s="67" t="s">
        <v>66</v>
      </c>
      <c r="D40" s="48">
        <v>12</v>
      </c>
      <c r="E40" s="48">
        <v>9</v>
      </c>
      <c r="F40" s="48">
        <v>16</v>
      </c>
      <c r="G40" s="48">
        <v>19</v>
      </c>
      <c r="H40" s="48">
        <v>25</v>
      </c>
      <c r="I40" s="48">
        <v>17</v>
      </c>
      <c r="J40" s="48">
        <v>20</v>
      </c>
      <c r="K40" s="48">
        <v>14</v>
      </c>
      <c r="L40" s="48">
        <v>5</v>
      </c>
      <c r="M40" s="48">
        <v>14</v>
      </c>
      <c r="N40" s="48">
        <v>5</v>
      </c>
      <c r="O40" s="48">
        <v>2</v>
      </c>
      <c r="P40" s="68">
        <f>SUM(tblExpenses[[#This Row],[m1]:[m12]])</f>
        <v>158</v>
      </c>
      <c r="Q40" s="50">
        <v>0.01</v>
      </c>
      <c r="R40" s="69">
        <f>tblExpenses[[#This Row],[m1]]/tblExpenses[[#Totals],[m1]]</f>
        <v>5.0847457627118647E-2</v>
      </c>
      <c r="S40" s="72">
        <f>tblExpenses[[#This Row],[m2]]/tblExpenses[[#Totals],[m2]]</f>
        <v>4.3902439024390241E-2</v>
      </c>
      <c r="T40" s="72">
        <f>tblExpenses[[#This Row],[m3]]/tblExpenses[[#Totals],[m3]]</f>
        <v>6.4257028112449793E-2</v>
      </c>
      <c r="U40" s="72">
        <f>tblExpenses[[#This Row],[m4]]/tblExpenses[[#Totals],[m4]]</f>
        <v>7.2796934865900387E-2</v>
      </c>
      <c r="V40" s="72">
        <f>tblExpenses[[#This Row],[m5]]/tblExpenses[[#Totals],[m5]]</f>
        <v>9.727626459143969E-2</v>
      </c>
      <c r="W40" s="72">
        <f>tblExpenses[[#This Row],[m6]]/tblExpenses[[#Totals],[m6]]</f>
        <v>6.2043795620437957E-2</v>
      </c>
      <c r="X40" s="72">
        <f>tblExpenses[[#This Row],[m7]]/tblExpenses[[#Totals],[m7]]</f>
        <v>7.5187969924812026E-2</v>
      </c>
      <c r="Y40" s="72">
        <f>tblExpenses[[#This Row],[m8]]/tblExpenses[[#Totals],[m8]]</f>
        <v>5.9574468085106386E-2</v>
      </c>
      <c r="Z40" s="72">
        <f>tblExpenses[[#This Row],[m9]]/tblExpenses[[#Totals],[m9]]</f>
        <v>2.1739130434782608E-2</v>
      </c>
      <c r="AA40" s="72">
        <f>tblExpenses[[#This Row],[m10]]/tblExpenses[[#Totals],[m10]]</f>
        <v>5.4054054054054057E-2</v>
      </c>
      <c r="AB40" s="72">
        <f>tblExpenses[[#This Row],[m11]]/tblExpenses[[#Totals],[m11]]</f>
        <v>1.6891891891891893E-2</v>
      </c>
      <c r="AC40" s="72">
        <f>tblExpenses[[#This Row],[m12]]/tblExpenses[[#Totals],[m12]]</f>
        <v>8.658008658008658E-3</v>
      </c>
      <c r="AD40" s="73">
        <f>tblExpenses[[#This Row],[Yearly]]/tblExpenses[[#Totals],[Yearly]]</f>
        <v>5.2684228076025338E-2</v>
      </c>
    </row>
    <row r="41" spans="1:30" x14ac:dyDescent="0.45">
      <c r="B41" s="66" t="s">
        <v>74</v>
      </c>
      <c r="C41" s="67" t="s">
        <v>66</v>
      </c>
      <c r="D41" s="48">
        <v>16</v>
      </c>
      <c r="E41" s="48">
        <v>13</v>
      </c>
      <c r="F41" s="48">
        <v>10</v>
      </c>
      <c r="G41" s="48">
        <v>7</v>
      </c>
      <c r="H41" s="48">
        <v>13</v>
      </c>
      <c r="I41" s="48">
        <v>3</v>
      </c>
      <c r="J41" s="48">
        <v>13</v>
      </c>
      <c r="K41" s="48">
        <v>17</v>
      </c>
      <c r="L41" s="48">
        <v>9</v>
      </c>
      <c r="M41" s="48">
        <v>4</v>
      </c>
      <c r="N41" s="48">
        <v>22</v>
      </c>
      <c r="O41" s="48">
        <v>18</v>
      </c>
      <c r="P41" s="68">
        <f>SUM(tblExpenses[[#This Row],[m1]:[m12]])</f>
        <v>145</v>
      </c>
      <c r="Q41" s="50">
        <v>0.14000000000000001</v>
      </c>
      <c r="R41" s="69">
        <f>tblExpenses[[#This Row],[m1]]/tblExpenses[[#Totals],[m1]]</f>
        <v>6.7796610169491525E-2</v>
      </c>
      <c r="S41" s="72">
        <f>tblExpenses[[#This Row],[m2]]/tblExpenses[[#Totals],[m2]]</f>
        <v>6.3414634146341464E-2</v>
      </c>
      <c r="T41" s="72">
        <f>tblExpenses[[#This Row],[m3]]/tblExpenses[[#Totals],[m3]]</f>
        <v>4.0160642570281124E-2</v>
      </c>
      <c r="U41" s="72">
        <f>tblExpenses[[#This Row],[m4]]/tblExpenses[[#Totals],[m4]]</f>
        <v>2.681992337164751E-2</v>
      </c>
      <c r="V41" s="72">
        <f>tblExpenses[[#This Row],[m5]]/tblExpenses[[#Totals],[m5]]</f>
        <v>5.0583657587548639E-2</v>
      </c>
      <c r="W41" s="72">
        <f>tblExpenses[[#This Row],[m6]]/tblExpenses[[#Totals],[m6]]</f>
        <v>1.0948905109489052E-2</v>
      </c>
      <c r="X41" s="72">
        <f>tblExpenses[[#This Row],[m7]]/tblExpenses[[#Totals],[m7]]</f>
        <v>4.8872180451127817E-2</v>
      </c>
      <c r="Y41" s="72">
        <f>tblExpenses[[#This Row],[m8]]/tblExpenses[[#Totals],[m8]]</f>
        <v>7.2340425531914887E-2</v>
      </c>
      <c r="Z41" s="72">
        <f>tblExpenses[[#This Row],[m9]]/tblExpenses[[#Totals],[m9]]</f>
        <v>3.9130434782608699E-2</v>
      </c>
      <c r="AA41" s="72">
        <f>tblExpenses[[#This Row],[m10]]/tblExpenses[[#Totals],[m10]]</f>
        <v>1.5444015444015444E-2</v>
      </c>
      <c r="AB41" s="72">
        <f>tblExpenses[[#This Row],[m11]]/tblExpenses[[#Totals],[m11]]</f>
        <v>7.4324324324324328E-2</v>
      </c>
      <c r="AC41" s="72">
        <f>tblExpenses[[#This Row],[m12]]/tblExpenses[[#Totals],[m12]]</f>
        <v>7.792207792207792E-2</v>
      </c>
      <c r="AD41" s="73">
        <f>tblExpenses[[#This Row],[Yearly]]/tblExpenses[[#Totals],[Yearly]]</f>
        <v>4.8349449816605536E-2</v>
      </c>
    </row>
    <row r="42" spans="1:30" x14ac:dyDescent="0.45">
      <c r="B42" s="66" t="s">
        <v>9</v>
      </c>
      <c r="C42" s="67" t="s">
        <v>66</v>
      </c>
      <c r="D42" s="48">
        <v>3</v>
      </c>
      <c r="E42" s="48">
        <v>2</v>
      </c>
      <c r="F42" s="48">
        <v>19</v>
      </c>
      <c r="G42" s="48">
        <v>21</v>
      </c>
      <c r="H42" s="48">
        <v>13</v>
      </c>
      <c r="I42" s="48">
        <v>9</v>
      </c>
      <c r="J42" s="48">
        <v>7</v>
      </c>
      <c r="K42" s="48">
        <v>13</v>
      </c>
      <c r="L42" s="48">
        <v>3</v>
      </c>
      <c r="M42" s="48">
        <v>6</v>
      </c>
      <c r="N42" s="48">
        <v>10</v>
      </c>
      <c r="O42" s="48">
        <v>13</v>
      </c>
      <c r="P42" s="68">
        <f>SUM(tblExpenses[[#This Row],[m1]:[m12]])</f>
        <v>119</v>
      </c>
      <c r="Q42" s="50">
        <v>0.06</v>
      </c>
      <c r="R42" s="69">
        <f>tblExpenses[[#This Row],[m1]]/tblExpenses[[#Totals],[m1]]</f>
        <v>1.2711864406779662E-2</v>
      </c>
      <c r="S42" s="72">
        <f>tblExpenses[[#This Row],[m2]]/tblExpenses[[#Totals],[m2]]</f>
        <v>9.7560975609756097E-3</v>
      </c>
      <c r="T42" s="72">
        <f>tblExpenses[[#This Row],[m3]]/tblExpenses[[#Totals],[m3]]</f>
        <v>7.6305220883534142E-2</v>
      </c>
      <c r="U42" s="72">
        <f>tblExpenses[[#This Row],[m4]]/tblExpenses[[#Totals],[m4]]</f>
        <v>8.0459770114942528E-2</v>
      </c>
      <c r="V42" s="72">
        <f>tblExpenses[[#This Row],[m5]]/tblExpenses[[#Totals],[m5]]</f>
        <v>5.0583657587548639E-2</v>
      </c>
      <c r="W42" s="72">
        <f>tblExpenses[[#This Row],[m6]]/tblExpenses[[#Totals],[m6]]</f>
        <v>3.2846715328467155E-2</v>
      </c>
      <c r="X42" s="72">
        <f>tblExpenses[[#This Row],[m7]]/tblExpenses[[#Totals],[m7]]</f>
        <v>2.6315789473684209E-2</v>
      </c>
      <c r="Y42" s="72">
        <f>tblExpenses[[#This Row],[m8]]/tblExpenses[[#Totals],[m8]]</f>
        <v>5.5319148936170209E-2</v>
      </c>
      <c r="Z42" s="72">
        <f>tblExpenses[[#This Row],[m9]]/tblExpenses[[#Totals],[m9]]</f>
        <v>1.3043478260869565E-2</v>
      </c>
      <c r="AA42" s="72">
        <f>tblExpenses[[#This Row],[m10]]/tblExpenses[[#Totals],[m10]]</f>
        <v>2.3166023166023165E-2</v>
      </c>
      <c r="AB42" s="72">
        <f>tblExpenses[[#This Row],[m11]]/tblExpenses[[#Totals],[m11]]</f>
        <v>3.3783783783783786E-2</v>
      </c>
      <c r="AC42" s="72">
        <f>tblExpenses[[#This Row],[m12]]/tblExpenses[[#Totals],[m12]]</f>
        <v>5.627705627705628E-2</v>
      </c>
      <c r="AD42" s="73">
        <f>tblExpenses[[#This Row],[Yearly]]/tblExpenses[[#Totals],[Yearly]]</f>
        <v>3.9679893297765924E-2</v>
      </c>
    </row>
    <row r="43" spans="1:30" x14ac:dyDescent="0.45">
      <c r="B43" s="66" t="s">
        <v>75</v>
      </c>
      <c r="C43" s="67" t="s">
        <v>66</v>
      </c>
      <c r="D43" s="48">
        <v>8</v>
      </c>
      <c r="E43" s="48">
        <v>7</v>
      </c>
      <c r="F43" s="48">
        <v>6</v>
      </c>
      <c r="G43" s="48">
        <v>7</v>
      </c>
      <c r="H43" s="48">
        <v>7</v>
      </c>
      <c r="I43" s="48">
        <v>6</v>
      </c>
      <c r="J43" s="48">
        <v>15</v>
      </c>
      <c r="K43" s="48">
        <v>23</v>
      </c>
      <c r="L43" s="48">
        <v>21</v>
      </c>
      <c r="M43" s="48">
        <v>16</v>
      </c>
      <c r="N43" s="48">
        <v>19</v>
      </c>
      <c r="O43" s="48">
        <v>7</v>
      </c>
      <c r="P43" s="68">
        <f>SUM(tblExpenses[[#This Row],[m1]:[m12]])</f>
        <v>142</v>
      </c>
      <c r="Q43" s="50">
        <v>0.01</v>
      </c>
      <c r="R43" s="69">
        <f>tblExpenses[[#This Row],[m1]]/tblExpenses[[#Totals],[m1]]</f>
        <v>3.3898305084745763E-2</v>
      </c>
      <c r="S43" s="72">
        <f>tblExpenses[[#This Row],[m2]]/tblExpenses[[#Totals],[m2]]</f>
        <v>3.4146341463414637E-2</v>
      </c>
      <c r="T43" s="72">
        <f>tblExpenses[[#This Row],[m3]]/tblExpenses[[#Totals],[m3]]</f>
        <v>2.4096385542168676E-2</v>
      </c>
      <c r="U43" s="72">
        <f>tblExpenses[[#This Row],[m4]]/tblExpenses[[#Totals],[m4]]</f>
        <v>2.681992337164751E-2</v>
      </c>
      <c r="V43" s="72">
        <f>tblExpenses[[#This Row],[m5]]/tblExpenses[[#Totals],[m5]]</f>
        <v>2.7237354085603113E-2</v>
      </c>
      <c r="W43" s="72">
        <f>tblExpenses[[#This Row],[m6]]/tblExpenses[[#Totals],[m6]]</f>
        <v>2.1897810218978103E-2</v>
      </c>
      <c r="X43" s="72">
        <f>tblExpenses[[#This Row],[m7]]/tblExpenses[[#Totals],[m7]]</f>
        <v>5.6390977443609019E-2</v>
      </c>
      <c r="Y43" s="72">
        <f>tblExpenses[[#This Row],[m8]]/tblExpenses[[#Totals],[m8]]</f>
        <v>9.7872340425531917E-2</v>
      </c>
      <c r="Z43" s="72">
        <f>tblExpenses[[#This Row],[m9]]/tblExpenses[[#Totals],[m9]]</f>
        <v>9.1304347826086957E-2</v>
      </c>
      <c r="AA43" s="72">
        <f>tblExpenses[[#This Row],[m10]]/tblExpenses[[#Totals],[m10]]</f>
        <v>6.1776061776061778E-2</v>
      </c>
      <c r="AB43" s="72">
        <f>tblExpenses[[#This Row],[m11]]/tblExpenses[[#Totals],[m11]]</f>
        <v>6.4189189189189186E-2</v>
      </c>
      <c r="AC43" s="72">
        <f>tblExpenses[[#This Row],[m12]]/tblExpenses[[#Totals],[m12]]</f>
        <v>3.0303030303030304E-2</v>
      </c>
      <c r="AD43" s="73">
        <f>tblExpenses[[#This Row],[Yearly]]/tblExpenses[[#Totals],[Yearly]]</f>
        <v>4.7349116372124044E-2</v>
      </c>
    </row>
    <row r="44" spans="1:30" x14ac:dyDescent="0.45">
      <c r="B44" s="66" t="s">
        <v>76</v>
      </c>
      <c r="C44" s="67" t="s">
        <v>66</v>
      </c>
      <c r="D44" s="48">
        <v>14</v>
      </c>
      <c r="E44" s="48">
        <v>4</v>
      </c>
      <c r="F44" s="48">
        <v>24</v>
      </c>
      <c r="G44" s="48">
        <v>6</v>
      </c>
      <c r="H44" s="48">
        <v>20</v>
      </c>
      <c r="I44" s="48">
        <v>14</v>
      </c>
      <c r="J44" s="48">
        <v>21</v>
      </c>
      <c r="K44" s="48">
        <v>20</v>
      </c>
      <c r="L44" s="48">
        <v>22</v>
      </c>
      <c r="M44" s="48">
        <v>3</v>
      </c>
      <c r="N44" s="48">
        <v>14</v>
      </c>
      <c r="O44" s="48">
        <v>6</v>
      </c>
      <c r="P44" s="68">
        <f>SUM(tblExpenses[[#This Row],[m1]:[m12]])</f>
        <v>168</v>
      </c>
      <c r="Q44" s="50">
        <v>0.01</v>
      </c>
      <c r="R44" s="69">
        <f>tblExpenses[[#This Row],[m1]]/tblExpenses[[#Totals],[m1]]</f>
        <v>5.9322033898305086E-2</v>
      </c>
      <c r="S44" s="72">
        <f>tblExpenses[[#This Row],[m2]]/tblExpenses[[#Totals],[m2]]</f>
        <v>1.9512195121951219E-2</v>
      </c>
      <c r="T44" s="72">
        <f>tblExpenses[[#This Row],[m3]]/tblExpenses[[#Totals],[m3]]</f>
        <v>9.6385542168674704E-2</v>
      </c>
      <c r="U44" s="72">
        <f>tblExpenses[[#This Row],[m4]]/tblExpenses[[#Totals],[m4]]</f>
        <v>2.2988505747126436E-2</v>
      </c>
      <c r="V44" s="72">
        <f>tblExpenses[[#This Row],[m5]]/tblExpenses[[#Totals],[m5]]</f>
        <v>7.7821011673151752E-2</v>
      </c>
      <c r="W44" s="72">
        <f>tblExpenses[[#This Row],[m6]]/tblExpenses[[#Totals],[m6]]</f>
        <v>5.1094890510948905E-2</v>
      </c>
      <c r="X44" s="72">
        <f>tblExpenses[[#This Row],[m7]]/tblExpenses[[#Totals],[m7]]</f>
        <v>7.8947368421052627E-2</v>
      </c>
      <c r="Y44" s="72">
        <f>tblExpenses[[#This Row],[m8]]/tblExpenses[[#Totals],[m8]]</f>
        <v>8.5106382978723402E-2</v>
      </c>
      <c r="Z44" s="72">
        <f>tblExpenses[[#This Row],[m9]]/tblExpenses[[#Totals],[m9]]</f>
        <v>9.5652173913043481E-2</v>
      </c>
      <c r="AA44" s="72">
        <f>tblExpenses[[#This Row],[m10]]/tblExpenses[[#Totals],[m10]]</f>
        <v>1.1583011583011582E-2</v>
      </c>
      <c r="AB44" s="72">
        <f>tblExpenses[[#This Row],[m11]]/tblExpenses[[#Totals],[m11]]</f>
        <v>4.72972972972973E-2</v>
      </c>
      <c r="AC44" s="72">
        <f>tblExpenses[[#This Row],[m12]]/tblExpenses[[#Totals],[m12]]</f>
        <v>2.5974025974025976E-2</v>
      </c>
      <c r="AD44" s="73">
        <f>tblExpenses[[#This Row],[Yearly]]/tblExpenses[[#Totals],[Yearly]]</f>
        <v>5.6018672890963656E-2</v>
      </c>
    </row>
    <row r="45" spans="1:30" x14ac:dyDescent="0.45">
      <c r="B45" s="66" t="s">
        <v>76</v>
      </c>
      <c r="C45" s="67" t="s">
        <v>66</v>
      </c>
      <c r="D45" s="48">
        <v>14</v>
      </c>
      <c r="E45" s="48">
        <v>7</v>
      </c>
      <c r="F45" s="48">
        <v>24</v>
      </c>
      <c r="G45" s="48">
        <v>10</v>
      </c>
      <c r="H45" s="48">
        <v>7</v>
      </c>
      <c r="I45" s="48">
        <v>24</v>
      </c>
      <c r="J45" s="48">
        <v>2</v>
      </c>
      <c r="K45" s="48">
        <v>11</v>
      </c>
      <c r="L45" s="48">
        <v>21</v>
      </c>
      <c r="M45" s="48">
        <v>19</v>
      </c>
      <c r="N45" s="48">
        <v>19</v>
      </c>
      <c r="O45" s="48">
        <v>20</v>
      </c>
      <c r="P45" s="68">
        <f>SUM(tblExpenses[[#This Row],[m1]:[m12]])</f>
        <v>178</v>
      </c>
      <c r="Q45" s="50">
        <v>0.01</v>
      </c>
      <c r="R45" s="69">
        <f>tblExpenses[[#This Row],[m1]]/tblExpenses[[#Totals],[m1]]</f>
        <v>5.9322033898305086E-2</v>
      </c>
      <c r="S45" s="72">
        <f>tblExpenses[[#This Row],[m2]]/tblExpenses[[#Totals],[m2]]</f>
        <v>3.4146341463414637E-2</v>
      </c>
      <c r="T45" s="72">
        <f>tblExpenses[[#This Row],[m3]]/tblExpenses[[#Totals],[m3]]</f>
        <v>9.6385542168674704E-2</v>
      </c>
      <c r="U45" s="72">
        <f>tblExpenses[[#This Row],[m4]]/tblExpenses[[#Totals],[m4]]</f>
        <v>3.8314176245210725E-2</v>
      </c>
      <c r="V45" s="72">
        <f>tblExpenses[[#This Row],[m5]]/tblExpenses[[#Totals],[m5]]</f>
        <v>2.7237354085603113E-2</v>
      </c>
      <c r="W45" s="72">
        <f>tblExpenses[[#This Row],[m6]]/tblExpenses[[#Totals],[m6]]</f>
        <v>8.7591240875912413E-2</v>
      </c>
      <c r="X45" s="72">
        <f>tblExpenses[[#This Row],[m7]]/tblExpenses[[#Totals],[m7]]</f>
        <v>7.5187969924812026E-3</v>
      </c>
      <c r="Y45" s="72">
        <f>tblExpenses[[#This Row],[m8]]/tblExpenses[[#Totals],[m8]]</f>
        <v>4.6808510638297871E-2</v>
      </c>
      <c r="Z45" s="72">
        <f>tblExpenses[[#This Row],[m9]]/tblExpenses[[#Totals],[m9]]</f>
        <v>9.1304347826086957E-2</v>
      </c>
      <c r="AA45" s="72">
        <f>tblExpenses[[#This Row],[m10]]/tblExpenses[[#Totals],[m10]]</f>
        <v>7.3359073359073365E-2</v>
      </c>
      <c r="AB45" s="72">
        <f>tblExpenses[[#This Row],[m11]]/tblExpenses[[#Totals],[m11]]</f>
        <v>6.4189189189189186E-2</v>
      </c>
      <c r="AC45" s="72">
        <f>tblExpenses[[#This Row],[m12]]/tblExpenses[[#Totals],[m12]]</f>
        <v>8.6580086580086577E-2</v>
      </c>
      <c r="AD45" s="73">
        <f>tblExpenses[[#This Row],[Yearly]]/tblExpenses[[#Totals],[Yearly]]</f>
        <v>5.9353117705901966E-2</v>
      </c>
    </row>
    <row r="46" spans="1:30" x14ac:dyDescent="0.45">
      <c r="A46" s="74"/>
      <c r="B46" s="66" t="s">
        <v>76</v>
      </c>
      <c r="C46" s="67" t="s">
        <v>66</v>
      </c>
      <c r="D46" s="48">
        <v>11</v>
      </c>
      <c r="E46" s="48">
        <v>8</v>
      </c>
      <c r="F46" s="48">
        <v>25</v>
      </c>
      <c r="G46" s="48">
        <v>11</v>
      </c>
      <c r="H46" s="48">
        <v>9</v>
      </c>
      <c r="I46" s="48">
        <v>24</v>
      </c>
      <c r="J46" s="48">
        <v>13</v>
      </c>
      <c r="K46" s="48">
        <v>14</v>
      </c>
      <c r="L46" s="48">
        <v>19</v>
      </c>
      <c r="M46" s="48">
        <v>24</v>
      </c>
      <c r="N46" s="48">
        <v>15</v>
      </c>
      <c r="O46" s="48">
        <v>7</v>
      </c>
      <c r="P46" s="68">
        <f>SUM(tblExpenses[[#This Row],[m1]:[m12]])</f>
        <v>180</v>
      </c>
      <c r="Q46" s="50">
        <v>0.01</v>
      </c>
      <c r="R46" s="69">
        <f>tblExpenses[[#This Row],[m1]]/tblExpenses[[#Totals],[m1]]</f>
        <v>4.6610169491525424E-2</v>
      </c>
      <c r="S46" s="72">
        <f>tblExpenses[[#This Row],[m2]]/tblExpenses[[#Totals],[m2]]</f>
        <v>3.9024390243902439E-2</v>
      </c>
      <c r="T46" s="72">
        <f>tblExpenses[[#This Row],[m3]]/tblExpenses[[#Totals],[m3]]</f>
        <v>0.10040160642570281</v>
      </c>
      <c r="U46" s="72">
        <f>tblExpenses[[#This Row],[m4]]/tblExpenses[[#Totals],[m4]]</f>
        <v>4.2145593869731802E-2</v>
      </c>
      <c r="V46" s="72">
        <f>tblExpenses[[#This Row],[m5]]/tblExpenses[[#Totals],[m5]]</f>
        <v>3.5019455252918288E-2</v>
      </c>
      <c r="W46" s="72">
        <f>tblExpenses[[#This Row],[m6]]/tblExpenses[[#Totals],[m6]]</f>
        <v>8.7591240875912413E-2</v>
      </c>
      <c r="X46" s="72">
        <f>tblExpenses[[#This Row],[m7]]/tblExpenses[[#Totals],[m7]]</f>
        <v>4.8872180451127817E-2</v>
      </c>
      <c r="Y46" s="72">
        <f>tblExpenses[[#This Row],[m8]]/tblExpenses[[#Totals],[m8]]</f>
        <v>5.9574468085106386E-2</v>
      </c>
      <c r="Z46" s="72">
        <f>tblExpenses[[#This Row],[m9]]/tblExpenses[[#Totals],[m9]]</f>
        <v>8.2608695652173908E-2</v>
      </c>
      <c r="AA46" s="72">
        <f>tblExpenses[[#This Row],[m10]]/tblExpenses[[#Totals],[m10]]</f>
        <v>9.2664092664092659E-2</v>
      </c>
      <c r="AB46" s="72">
        <f>tblExpenses[[#This Row],[m11]]/tblExpenses[[#Totals],[m11]]</f>
        <v>5.0675675675675678E-2</v>
      </c>
      <c r="AC46" s="72">
        <f>tblExpenses[[#This Row],[m12]]/tblExpenses[[#Totals],[m12]]</f>
        <v>3.0303030303030304E-2</v>
      </c>
      <c r="AD46" s="73">
        <f>tblExpenses[[#This Row],[Yearly]]/tblExpenses[[#Totals],[Yearly]]</f>
        <v>6.0020006668889632E-2</v>
      </c>
    </row>
    <row r="47" spans="1:30" x14ac:dyDescent="0.45">
      <c r="A47" s="54"/>
      <c r="B47" s="66" t="s">
        <v>77</v>
      </c>
      <c r="C47" s="67" t="s">
        <v>66</v>
      </c>
      <c r="D47" s="48">
        <v>8</v>
      </c>
      <c r="E47" s="48">
        <v>20</v>
      </c>
      <c r="F47" s="48">
        <v>11</v>
      </c>
      <c r="G47" s="48">
        <v>11</v>
      </c>
      <c r="H47" s="48">
        <v>11</v>
      </c>
      <c r="I47" s="48">
        <v>20</v>
      </c>
      <c r="J47" s="48">
        <v>12</v>
      </c>
      <c r="K47" s="48">
        <v>16</v>
      </c>
      <c r="L47" s="48">
        <v>5</v>
      </c>
      <c r="M47" s="48">
        <v>7</v>
      </c>
      <c r="N47" s="48">
        <v>21</v>
      </c>
      <c r="O47" s="48">
        <v>3</v>
      </c>
      <c r="P47" s="68">
        <f>SUM(tblExpenses[[#This Row],[m1]:[m12]])</f>
        <v>145</v>
      </c>
      <c r="Q47" s="50">
        <v>0.02</v>
      </c>
      <c r="R47" s="69">
        <f>tblExpenses[[#This Row],[m1]]/tblExpenses[[#Totals],[m1]]</f>
        <v>3.3898305084745763E-2</v>
      </c>
      <c r="S47" s="72">
        <f>tblExpenses[[#This Row],[m2]]/tblExpenses[[#Totals],[m2]]</f>
        <v>9.7560975609756101E-2</v>
      </c>
      <c r="T47" s="72">
        <f>tblExpenses[[#This Row],[m3]]/tblExpenses[[#Totals],[m3]]</f>
        <v>4.4176706827309238E-2</v>
      </c>
      <c r="U47" s="72">
        <f>tblExpenses[[#This Row],[m4]]/tblExpenses[[#Totals],[m4]]</f>
        <v>4.2145593869731802E-2</v>
      </c>
      <c r="V47" s="72">
        <f>tblExpenses[[#This Row],[m5]]/tblExpenses[[#Totals],[m5]]</f>
        <v>4.2801556420233464E-2</v>
      </c>
      <c r="W47" s="72">
        <f>tblExpenses[[#This Row],[m6]]/tblExpenses[[#Totals],[m6]]</f>
        <v>7.2992700729927001E-2</v>
      </c>
      <c r="X47" s="72">
        <f>tblExpenses[[#This Row],[m7]]/tblExpenses[[#Totals],[m7]]</f>
        <v>4.5112781954887216E-2</v>
      </c>
      <c r="Y47" s="72">
        <f>tblExpenses[[#This Row],[m8]]/tblExpenses[[#Totals],[m8]]</f>
        <v>6.8085106382978725E-2</v>
      </c>
      <c r="Z47" s="72">
        <f>tblExpenses[[#This Row],[m9]]/tblExpenses[[#Totals],[m9]]</f>
        <v>2.1739130434782608E-2</v>
      </c>
      <c r="AA47" s="72">
        <f>tblExpenses[[#This Row],[m10]]/tblExpenses[[#Totals],[m10]]</f>
        <v>2.7027027027027029E-2</v>
      </c>
      <c r="AB47" s="72">
        <f>tblExpenses[[#This Row],[m11]]/tblExpenses[[#Totals],[m11]]</f>
        <v>7.0945945945945943E-2</v>
      </c>
      <c r="AC47" s="72">
        <f>tblExpenses[[#This Row],[m12]]/tblExpenses[[#Totals],[m12]]</f>
        <v>1.2987012987012988E-2</v>
      </c>
      <c r="AD47" s="73">
        <f>tblExpenses[[#This Row],[Yearly]]/tblExpenses[[#Totals],[Yearly]]</f>
        <v>4.8349449816605536E-2</v>
      </c>
    </row>
    <row r="48" spans="1:30" x14ac:dyDescent="0.45">
      <c r="B48" s="66" t="s">
        <v>78</v>
      </c>
      <c r="C48" s="75" t="s">
        <v>66</v>
      </c>
      <c r="D48" s="56">
        <f>SUBTOTAL(109,tblExpenses[m1])</f>
        <v>236</v>
      </c>
      <c r="E48" s="56">
        <f>SUBTOTAL(109,tblExpenses[m2])</f>
        <v>205</v>
      </c>
      <c r="F48" s="56">
        <f>SUBTOTAL(109,tblExpenses[m3])</f>
        <v>249</v>
      </c>
      <c r="G48" s="56">
        <f>SUBTOTAL(109,tblExpenses[m4])</f>
        <v>261</v>
      </c>
      <c r="H48" s="56">
        <f>SUBTOTAL(109,tblExpenses[m5])</f>
        <v>257</v>
      </c>
      <c r="I48" s="56">
        <f>SUBTOTAL(109,tblExpenses[m6])</f>
        <v>274</v>
      </c>
      <c r="J48" s="56">
        <f>SUBTOTAL(109,tblExpenses[m7])</f>
        <v>266</v>
      </c>
      <c r="K48" s="56">
        <f>SUBTOTAL(109,tblExpenses[m8])</f>
        <v>235</v>
      </c>
      <c r="L48" s="56">
        <f>SUBTOTAL(109,tblExpenses[m9])</f>
        <v>230</v>
      </c>
      <c r="M48" s="56">
        <f>SUBTOTAL(109,tblExpenses[m10])</f>
        <v>259</v>
      </c>
      <c r="N48" s="56">
        <f>SUBTOTAL(109,tblExpenses[m11])</f>
        <v>296</v>
      </c>
      <c r="O48" s="56">
        <f>SUBTOTAL(109,tblExpenses[m12])</f>
        <v>231</v>
      </c>
      <c r="P48" s="56">
        <f>SUBTOTAL(109,tblExpenses[Yearly])</f>
        <v>2999</v>
      </c>
      <c r="Q48" s="76">
        <f>SUBTOTAL(109,tblExpenses[Ind %])</f>
        <v>1</v>
      </c>
      <c r="R48" s="76">
        <f>SUBTOTAL(109,tblExpenses[% m1])</f>
        <v>1</v>
      </c>
      <c r="S48" s="76">
        <f>SUBTOTAL(109,tblExpenses[% m2])</f>
        <v>1.0000000000000002</v>
      </c>
      <c r="T48" s="76">
        <f>SUBTOTAL(109,tblExpenses[% m3])</f>
        <v>1.0000000000000002</v>
      </c>
      <c r="U48" s="76">
        <f>SUBTOTAL(109,tblExpenses[% m4])</f>
        <v>1</v>
      </c>
      <c r="V48" s="76">
        <f>SUBTOTAL(109,tblExpenses[% m5])</f>
        <v>1.0000000000000002</v>
      </c>
      <c r="W48" s="76">
        <f>SUBTOTAL(109,tblExpenses[% m6])</f>
        <v>1</v>
      </c>
      <c r="X48" s="76">
        <f>SUBTOTAL(109,tblExpenses[% m7])</f>
        <v>1</v>
      </c>
      <c r="Y48" s="76">
        <f>SUBTOTAL(109,tblExpenses[% m8])</f>
        <v>0.99999999999999989</v>
      </c>
      <c r="Z48" s="76">
        <f>SUBTOTAL(109,tblExpenses[% m9])</f>
        <v>1</v>
      </c>
      <c r="AA48" s="76">
        <f>SUBTOTAL(109,tblExpenses[% m10])</f>
        <v>1</v>
      </c>
      <c r="AB48" s="76">
        <f>SUBTOTAL(109,tblExpenses[% m11])</f>
        <v>0.99999999999999989</v>
      </c>
      <c r="AC48" s="76">
        <f>SUBTOTAL(109,tblExpenses[% m12])</f>
        <v>1</v>
      </c>
      <c r="AD48" s="76">
        <f>SUBTOTAL(109,tblExpenses[% y])</f>
        <v>0.99999999999999989</v>
      </c>
    </row>
    <row r="49" spans="2:30" x14ac:dyDescent="0.45"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</row>
    <row r="50" spans="2:30" ht="15.75" x14ac:dyDescent="0.45">
      <c r="B50" s="60" t="s">
        <v>79</v>
      </c>
      <c r="C50" s="61"/>
      <c r="D50" s="62">
        <f>D26-tblExpenses[[#Totals],[m1]]</f>
        <v>123</v>
      </c>
      <c r="E50" s="62">
        <f>E26-tblExpenses[[#Totals],[m2]]</f>
        <v>175</v>
      </c>
      <c r="F50" s="62">
        <f>F26-tblExpenses[[#Totals],[m3]]</f>
        <v>256</v>
      </c>
      <c r="G50" s="62">
        <f>G26-tblExpenses[[#Totals],[m4]]</f>
        <v>109</v>
      </c>
      <c r="H50" s="62">
        <f>H26-tblExpenses[[#Totals],[m5]]</f>
        <v>156</v>
      </c>
      <c r="I50" s="62">
        <f>I26-tblExpenses[[#Totals],[m6]]</f>
        <v>-8</v>
      </c>
      <c r="J50" s="62">
        <f>J26-tblExpenses[[#Totals],[m7]]</f>
        <v>32</v>
      </c>
      <c r="K50" s="62">
        <f>K26-tblExpenses[[#Totals],[m8]]</f>
        <v>214</v>
      </c>
      <c r="L50" s="62">
        <f>L26-tblExpenses[[#Totals],[m9]]</f>
        <v>100</v>
      </c>
      <c r="M50" s="62">
        <f>M26-tblExpenses[[#Totals],[m10]]</f>
        <v>148</v>
      </c>
      <c r="N50" s="62">
        <f>N26-tblExpenses[[#Totals],[m11]]</f>
        <v>179</v>
      </c>
      <c r="O50" s="62">
        <f>O26-tblExpenses[[#Totals],[m12]]</f>
        <v>359</v>
      </c>
      <c r="P50" s="62">
        <f>SUM(D50:O50)</f>
        <v>1843</v>
      </c>
      <c r="Q50" s="63"/>
      <c r="R50" s="64">
        <f>D50/$P$50</f>
        <v>6.6739012479652735E-2</v>
      </c>
      <c r="S50" s="64">
        <f t="shared" ref="S50:AD50" si="2">E50/$P$50</f>
        <v>9.4953879544221381E-2</v>
      </c>
      <c r="T50" s="64">
        <f t="shared" si="2"/>
        <v>0.13890396093326099</v>
      </c>
      <c r="U50" s="64">
        <f t="shared" si="2"/>
        <v>5.9142702116115033E-2</v>
      </c>
      <c r="V50" s="64">
        <f t="shared" si="2"/>
        <v>8.4644601193705912E-2</v>
      </c>
      <c r="W50" s="64">
        <f t="shared" si="2"/>
        <v>-4.3407487791644059E-3</v>
      </c>
      <c r="X50" s="64">
        <f t="shared" si="2"/>
        <v>1.7362995116657624E-2</v>
      </c>
      <c r="Y50" s="64">
        <f t="shared" si="2"/>
        <v>0.11611502984264786</v>
      </c>
      <c r="Z50" s="64">
        <f t="shared" si="2"/>
        <v>5.425935973955507E-2</v>
      </c>
      <c r="AA50" s="64">
        <f t="shared" si="2"/>
        <v>8.0303852414541507E-2</v>
      </c>
      <c r="AB50" s="64">
        <f t="shared" si="2"/>
        <v>9.7124253933803584E-2</v>
      </c>
      <c r="AC50" s="64">
        <f t="shared" si="2"/>
        <v>0.19479110146500273</v>
      </c>
      <c r="AD50" s="64">
        <f t="shared" si="2"/>
        <v>1</v>
      </c>
    </row>
  </sheetData>
  <mergeCells count="4">
    <mergeCell ref="P1:AD1"/>
    <mergeCell ref="B15:AD15"/>
    <mergeCell ref="B25:AD25"/>
    <mergeCell ref="B49:AD49"/>
  </mergeCells>
  <dataValidations count="2">
    <dataValidation type="list" errorStyle="information" allowBlank="1" showInputMessage="1" errorTitle="Unknown Year" error="Please select a year from the drop down list. To add or remove a year from the list, on the Data tab, in the Data Tools group, click Data Validation." sqref="AD2">
      <formula1>"2010,2011,2012,2013,2014,2015,2016,2017,2018,2019,2020"</formula1>
    </dataValidation>
    <dataValidation type="list" errorStyle="information" allowBlank="1" showInputMessage="1" showErrorMessage="1" errorTitle="Unknown Month" error="Please select a month from the drop down list." sqref="AC2">
      <formula1>"JAN,FEB,MAR,APR,MAY,JUN,JUL,AUG,SEP,OCT,NOV,DEC"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Sparklines'!D17:O17</xm:f>
              <xm:sqref>C17</xm:sqref>
            </x14:sparkline>
            <x14:sparkline>
              <xm:f>'P&amp;L Statement Sparklines'!D18:O18</xm:f>
              <xm:sqref>C18</xm:sqref>
            </x14:sparkline>
            <x14:sparkline>
              <xm:f>'P&amp;L Statement Sparklines'!D19:O19</xm:f>
              <xm:sqref>C19</xm:sqref>
            </x14:sparkline>
            <x14:sparkline>
              <xm:f>'P&amp;L Statement Sparklines'!D20:O20</xm:f>
              <xm:sqref>C20</xm:sqref>
            </x14:sparkline>
            <x14:sparkline>
              <xm:f>'P&amp;L Statement Sparklines'!D21:O21</xm:f>
              <xm:sqref>C21</xm:sqref>
            </x14:sparkline>
            <x14:sparkline>
              <xm:f>'P&amp;L Statement Sparklines'!D22:O22</xm:f>
              <xm:sqref>C22</xm:sqref>
            </x14:sparkline>
            <x14:sparkline>
              <xm:f>'P&amp;L Statement Sparklines'!D23:O23</xm:f>
              <xm:sqref>C23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Sparklines'!D24:O24</xm:f>
              <xm:sqref>C24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Sparklines'!D29:O29</xm:f>
              <xm:sqref>C29</xm:sqref>
            </x14:sparkline>
            <x14:sparkline>
              <xm:f>'P&amp;L Statement Sparklines'!D30:O30</xm:f>
              <xm:sqref>C30</xm:sqref>
            </x14:sparkline>
            <x14:sparkline>
              <xm:f>'P&amp;L Statement Sparklines'!D31:O31</xm:f>
              <xm:sqref>C31</xm:sqref>
            </x14:sparkline>
            <x14:sparkline>
              <xm:f>'P&amp;L Statement Sparklines'!D32:O32</xm:f>
              <xm:sqref>C32</xm:sqref>
            </x14:sparkline>
            <x14:sparkline>
              <xm:f>'P&amp;L Statement Sparklines'!D33:O33</xm:f>
              <xm:sqref>C33</xm:sqref>
            </x14:sparkline>
            <x14:sparkline>
              <xm:f>'P&amp;L Statement Sparklines'!D34:O34</xm:f>
              <xm:sqref>C34</xm:sqref>
            </x14:sparkline>
            <x14:sparkline>
              <xm:f>'P&amp;L Statement Sparklines'!D35:O35</xm:f>
              <xm:sqref>C35</xm:sqref>
            </x14:sparkline>
            <x14:sparkline>
              <xm:f>'P&amp;L Statement Sparklines'!D36:O36</xm:f>
              <xm:sqref>C36</xm:sqref>
            </x14:sparkline>
            <x14:sparkline>
              <xm:f>'P&amp;L Statement Sparklines'!D37:O37</xm:f>
              <xm:sqref>C37</xm:sqref>
            </x14:sparkline>
            <x14:sparkline>
              <xm:f>'P&amp;L Statement Sparklines'!D38:O38</xm:f>
              <xm:sqref>C38</xm:sqref>
            </x14:sparkline>
            <x14:sparkline>
              <xm:f>'P&amp;L Statement Sparklines'!D39:O39</xm:f>
              <xm:sqref>C39</xm:sqref>
            </x14:sparkline>
            <x14:sparkline>
              <xm:f>'P&amp;L Statement Sparklines'!D40:O40</xm:f>
              <xm:sqref>C40</xm:sqref>
            </x14:sparkline>
            <x14:sparkline>
              <xm:f>'P&amp;L Statement Sparklines'!D41:O41</xm:f>
              <xm:sqref>C41</xm:sqref>
            </x14:sparkline>
            <x14:sparkline>
              <xm:f>'P&amp;L Statement Sparklines'!D42:O42</xm:f>
              <xm:sqref>C42</xm:sqref>
            </x14:sparkline>
            <x14:sparkline>
              <xm:f>'P&amp;L Statement Sparklines'!D43:O43</xm:f>
              <xm:sqref>C43</xm:sqref>
            </x14:sparkline>
            <x14:sparkline>
              <xm:f>'P&amp;L Statement Sparklines'!D44:O44</xm:f>
              <xm:sqref>C44</xm:sqref>
            </x14:sparkline>
            <x14:sparkline>
              <xm:f>'P&amp;L Statement Sparklines'!D45:O45</xm:f>
              <xm:sqref>C45</xm:sqref>
            </x14:sparkline>
            <x14:sparkline>
              <xm:f>'P&amp;L Statement Sparklines'!D46:O46</xm:f>
              <xm:sqref>C46</xm:sqref>
            </x14:sparkline>
            <x14:sparkline>
              <xm:f>'P&amp;L Statement Sparklines'!D47:O47</xm:f>
              <xm:sqref>C47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'P&amp;L Statement Sparklines'!D14:O14</xm:f>
              <xm:sqref>C14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Sparklines'!D48:O48</xm:f>
              <xm:sqref>C48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'P&amp;L Statement Sparklines'!$D$7:$O$7</xm:f>
              <xm:sqref>C7</xm:sqref>
            </x14:sparkline>
            <x14:sparkline>
              <xm:f>'P&amp;L Statement Sparklines'!$D$8:$O$8</xm:f>
              <xm:sqref>C8</xm:sqref>
            </x14:sparkline>
            <x14:sparkline>
              <xm:f>'P&amp;L Statement Sparklines'!$D$9:$O$9</xm:f>
              <xm:sqref>C9</xm:sqref>
            </x14:sparkline>
            <x14:sparkline>
              <xm:f>'P&amp;L Statement Sparklines'!$D$10:$O$10</xm:f>
              <xm:sqref>C10</xm:sqref>
            </x14:sparkline>
            <x14:sparkline>
              <xm:f>'P&amp;L Statement Sparklines'!$D$11:$O$11</xm:f>
              <xm:sqref>C11</xm:sqref>
            </x14:sparkline>
            <x14:sparkline>
              <xm:f>'P&amp;L Statement Sparklines'!$D$12:$O$12</xm:f>
              <xm:sqref>C12</xm:sqref>
            </x14:sparkline>
            <x14:sparkline>
              <xm:f>'P&amp;L Statement Sparklines'!$D$13:$O$13</xm:f>
              <xm:sqref>C13</xm:sqref>
            </x14:sparkline>
          </x14:sparklines>
        </x14:sparklineGroup>
      </x14:sparklineGroup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4:I10"/>
  <sheetViews>
    <sheetView workbookViewId="0">
      <selection activeCell="W2" sqref="W2"/>
    </sheetView>
  </sheetViews>
  <sheetFormatPr defaultRowHeight="14.25" x14ac:dyDescent="0.45"/>
  <cols>
    <col min="1" max="1" width="1.73046875" customWidth="1"/>
    <col min="4" max="4" width="2.73046875" customWidth="1"/>
  </cols>
  <sheetData>
    <row r="4" spans="2:9" ht="14.65" thickBot="1" x14ac:dyDescent="0.5"/>
    <row r="5" spans="2:9" x14ac:dyDescent="0.45">
      <c r="E5" s="77"/>
      <c r="F5" s="78" t="s">
        <v>80</v>
      </c>
      <c r="G5" s="78" t="s">
        <v>81</v>
      </c>
      <c r="H5" s="78" t="s">
        <v>82</v>
      </c>
      <c r="I5" s="79" t="s">
        <v>83</v>
      </c>
    </row>
    <row r="6" spans="2:9" x14ac:dyDescent="0.45">
      <c r="E6" s="80" t="s">
        <v>84</v>
      </c>
      <c r="F6" s="74">
        <v>575</v>
      </c>
      <c r="G6" s="74">
        <v>625</v>
      </c>
      <c r="H6" s="74">
        <v>705</v>
      </c>
      <c r="I6" s="81">
        <f>F6+G6+H6</f>
        <v>1905</v>
      </c>
    </row>
    <row r="7" spans="2:9" x14ac:dyDescent="0.45">
      <c r="E7" s="80" t="s">
        <v>85</v>
      </c>
      <c r="F7" s="74">
        <v>375</v>
      </c>
      <c r="G7" s="74">
        <v>425</v>
      </c>
      <c r="H7" s="74">
        <v>395</v>
      </c>
      <c r="I7" s="81">
        <f>F7+G7+H7</f>
        <v>1195</v>
      </c>
    </row>
    <row r="8" spans="2:9" x14ac:dyDescent="0.45">
      <c r="E8" s="80" t="s">
        <v>86</v>
      </c>
      <c r="F8" s="74">
        <v>480</v>
      </c>
      <c r="G8" s="74">
        <v>593</v>
      </c>
      <c r="H8" s="74">
        <v>617</v>
      </c>
      <c r="I8" s="81">
        <f>F8+G8+H8</f>
        <v>1690</v>
      </c>
    </row>
    <row r="9" spans="2:9" ht="14.65" thickBot="1" x14ac:dyDescent="0.5">
      <c r="E9" s="82" t="s">
        <v>83</v>
      </c>
      <c r="F9" s="83">
        <f>F6+F7+F8</f>
        <v>1430</v>
      </c>
      <c r="G9" s="83">
        <f>G6+G7+G8</f>
        <v>1643</v>
      </c>
      <c r="H9" s="83">
        <f>H6+H7+H8</f>
        <v>1717</v>
      </c>
      <c r="I9" s="84">
        <f>I6+I7+I8</f>
        <v>4790</v>
      </c>
    </row>
    <row r="10" spans="2:9" ht="14.65" thickBot="1" x14ac:dyDescent="0.5">
      <c r="B10" s="85" t="s">
        <v>88</v>
      </c>
      <c r="C10" s="88">
        <v>0.09</v>
      </c>
      <c r="E10" s="85" t="s">
        <v>87</v>
      </c>
      <c r="F10" s="86">
        <f>F9*$C$10</f>
        <v>128.69999999999999</v>
      </c>
      <c r="G10" s="86">
        <f>G9*$C$10</f>
        <v>147.87</v>
      </c>
      <c r="H10" s="86">
        <f>H9*$C$10</f>
        <v>154.53</v>
      </c>
      <c r="I10" s="87">
        <f>I9*$C$10</f>
        <v>431.09999999999997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W2" sqref="W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4:D12"/>
  <sheetViews>
    <sheetView workbookViewId="0">
      <selection activeCell="E35" sqref="E35"/>
    </sheetView>
  </sheetViews>
  <sheetFormatPr defaultColWidth="9.1328125" defaultRowHeight="14.25" x14ac:dyDescent="0.45"/>
  <cols>
    <col min="1" max="2" width="9.1328125" style="167"/>
    <col min="3" max="3" width="19.1328125" style="167" bestFit="1" customWidth="1"/>
    <col min="4" max="4" width="15.86328125" style="167" customWidth="1"/>
    <col min="5" max="16384" width="9.1328125" style="167"/>
  </cols>
  <sheetData>
    <row r="4" spans="3:4" x14ac:dyDescent="0.45">
      <c r="C4" s="167" t="s">
        <v>93</v>
      </c>
      <c r="D4" s="167" t="s">
        <v>94</v>
      </c>
    </row>
    <row r="5" spans="3:4" x14ac:dyDescent="0.45">
      <c r="C5" s="168" t="s">
        <v>102</v>
      </c>
      <c r="D5" s="169">
        <v>16000</v>
      </c>
    </row>
    <row r="6" spans="3:4" x14ac:dyDescent="0.45">
      <c r="C6" s="170" t="s">
        <v>104</v>
      </c>
      <c r="D6" s="171">
        <v>25000</v>
      </c>
    </row>
    <row r="7" spans="3:4" x14ac:dyDescent="0.45">
      <c r="C7" s="168" t="s">
        <v>106</v>
      </c>
      <c r="D7" s="169">
        <v>25000</v>
      </c>
    </row>
    <row r="8" spans="3:4" x14ac:dyDescent="0.45">
      <c r="C8" s="170" t="s">
        <v>108</v>
      </c>
      <c r="D8" s="171">
        <v>76000</v>
      </c>
    </row>
    <row r="9" spans="3:4" x14ac:dyDescent="0.45">
      <c r="C9" s="168" t="s">
        <v>109</v>
      </c>
      <c r="D9" s="169">
        <v>27000</v>
      </c>
    </row>
    <row r="10" spans="3:4" x14ac:dyDescent="0.45">
      <c r="C10" s="170" t="s">
        <v>111</v>
      </c>
      <c r="D10" s="171">
        <v>27000</v>
      </c>
    </row>
    <row r="11" spans="3:4" x14ac:dyDescent="0.45">
      <c r="C11" s="168" t="s">
        <v>112</v>
      </c>
      <c r="D11" s="169">
        <v>28000</v>
      </c>
    </row>
    <row r="12" spans="3:4" x14ac:dyDescent="0.45">
      <c r="C12" s="170" t="s">
        <v>114</v>
      </c>
      <c r="D12" s="171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B57"/>
  <sheetViews>
    <sheetView showGridLines="0" workbookViewId="0">
      <selection activeCell="W2" sqref="W2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4"/>
      <c r="B2" s="5"/>
    </row>
    <row r="3" spans="1:2" x14ac:dyDescent="0.45">
      <c r="A3" s="6" t="s">
        <v>2</v>
      </c>
      <c r="B3" s="7" t="s">
        <v>3</v>
      </c>
    </row>
    <row r="4" spans="1:2" x14ac:dyDescent="0.45">
      <c r="A4" s="8">
        <v>41278</v>
      </c>
      <c r="B4" s="109">
        <v>141984.99999999988</v>
      </c>
    </row>
    <row r="5" spans="1:2" x14ac:dyDescent="0.45">
      <c r="A5" s="9">
        <f>IF(ISNUMBER(A4),A4+7,"")</f>
        <v>41285</v>
      </c>
      <c r="B5" s="109">
        <v>170382</v>
      </c>
    </row>
    <row r="6" spans="1:2" x14ac:dyDescent="0.45">
      <c r="A6" s="9">
        <f t="shared" ref="A6:A53" si="0">IF(ISNUMBER(A5),A5+7,"")</f>
        <v>41292</v>
      </c>
      <c r="B6" s="109">
        <v>227175.99999999994</v>
      </c>
    </row>
    <row r="7" spans="1:2" x14ac:dyDescent="0.45">
      <c r="A7" s="9">
        <f t="shared" si="0"/>
        <v>41299</v>
      </c>
      <c r="B7" s="109">
        <v>283970.00000000006</v>
      </c>
    </row>
    <row r="8" spans="1:2" x14ac:dyDescent="0.45">
      <c r="A8" s="9">
        <f t="shared" si="0"/>
        <v>41306</v>
      </c>
      <c r="B8" s="109">
        <v>340764</v>
      </c>
    </row>
    <row r="9" spans="1:2" x14ac:dyDescent="0.45">
      <c r="A9" s="9">
        <f t="shared" si="0"/>
        <v>41313</v>
      </c>
      <c r="B9" s="109">
        <v>170382</v>
      </c>
    </row>
    <row r="10" spans="1:2" x14ac:dyDescent="0.45">
      <c r="A10" s="9">
        <f t="shared" si="0"/>
        <v>41320</v>
      </c>
      <c r="B10" s="109">
        <v>141984.99999999988</v>
      </c>
    </row>
    <row r="11" spans="1:2" x14ac:dyDescent="0.45">
      <c r="A11" s="9">
        <f t="shared" si="0"/>
        <v>41327</v>
      </c>
      <c r="B11" s="109">
        <v>85191</v>
      </c>
    </row>
    <row r="12" spans="1:2" x14ac:dyDescent="0.45">
      <c r="A12" s="9">
        <f t="shared" si="0"/>
        <v>41334</v>
      </c>
      <c r="B12" s="109">
        <v>56793.999999999985</v>
      </c>
    </row>
    <row r="13" spans="1:2" x14ac:dyDescent="0.45">
      <c r="A13" s="9">
        <f t="shared" si="0"/>
        <v>41341</v>
      </c>
      <c r="B13" s="109">
        <v>227175.99999999994</v>
      </c>
    </row>
    <row r="14" spans="1:2" x14ac:dyDescent="0.45">
      <c r="A14" s="9">
        <f t="shared" si="0"/>
        <v>41348</v>
      </c>
      <c r="B14" s="109">
        <v>141984.99999999988</v>
      </c>
    </row>
    <row r="15" spans="1:2" x14ac:dyDescent="0.45">
      <c r="A15" s="9">
        <f t="shared" si="0"/>
        <v>41355</v>
      </c>
      <c r="B15" s="109">
        <v>170382</v>
      </c>
    </row>
    <row r="16" spans="1:2" x14ac:dyDescent="0.45">
      <c r="A16" s="9">
        <f t="shared" si="0"/>
        <v>41362</v>
      </c>
      <c r="B16" s="109">
        <v>283970.00000000006</v>
      </c>
    </row>
    <row r="17" spans="1:2" x14ac:dyDescent="0.45">
      <c r="A17" s="9">
        <f t="shared" si="0"/>
        <v>41369</v>
      </c>
      <c r="B17" s="109">
        <v>340764</v>
      </c>
    </row>
    <row r="18" spans="1:2" x14ac:dyDescent="0.45">
      <c r="A18" s="9">
        <f t="shared" si="0"/>
        <v>41376</v>
      </c>
      <c r="B18" s="109">
        <v>170382</v>
      </c>
    </row>
    <row r="19" spans="1:2" x14ac:dyDescent="0.45">
      <c r="A19" s="9">
        <f t="shared" si="0"/>
        <v>41383</v>
      </c>
      <c r="B19" s="109">
        <v>141984.99999999988</v>
      </c>
    </row>
    <row r="20" spans="1:2" x14ac:dyDescent="0.45">
      <c r="A20" s="9">
        <f t="shared" si="0"/>
        <v>41390</v>
      </c>
      <c r="B20" s="109">
        <v>85191</v>
      </c>
    </row>
    <row r="21" spans="1:2" x14ac:dyDescent="0.45">
      <c r="A21" s="9">
        <f t="shared" si="0"/>
        <v>41397</v>
      </c>
      <c r="B21" s="109">
        <v>56793.999999999985</v>
      </c>
    </row>
    <row r="22" spans="1:2" x14ac:dyDescent="0.45">
      <c r="A22" s="9">
        <f t="shared" si="0"/>
        <v>41404</v>
      </c>
      <c r="B22" s="109">
        <v>227175.99999999994</v>
      </c>
    </row>
    <row r="23" spans="1:2" x14ac:dyDescent="0.45">
      <c r="A23" s="9">
        <f t="shared" si="0"/>
        <v>41411</v>
      </c>
      <c r="B23" s="109">
        <v>85191</v>
      </c>
    </row>
    <row r="24" spans="1:2" x14ac:dyDescent="0.45">
      <c r="A24" s="9">
        <f t="shared" si="0"/>
        <v>41418</v>
      </c>
      <c r="B24" s="109">
        <v>56793.999999999985</v>
      </c>
    </row>
    <row r="25" spans="1:2" x14ac:dyDescent="0.45">
      <c r="A25" s="9">
        <f t="shared" si="0"/>
        <v>41425</v>
      </c>
      <c r="B25" s="109">
        <v>227175.99999999994</v>
      </c>
    </row>
    <row r="26" spans="1:2" x14ac:dyDescent="0.45">
      <c r="A26" s="9">
        <f t="shared" si="0"/>
        <v>41432</v>
      </c>
      <c r="B26" s="109">
        <v>141984.99999999988</v>
      </c>
    </row>
    <row r="27" spans="1:2" x14ac:dyDescent="0.45">
      <c r="A27" s="9">
        <f t="shared" si="0"/>
        <v>41439</v>
      </c>
      <c r="B27" s="109">
        <v>170382</v>
      </c>
    </row>
    <row r="28" spans="1:2" x14ac:dyDescent="0.45">
      <c r="A28" s="9">
        <f t="shared" si="0"/>
        <v>41446</v>
      </c>
      <c r="B28" s="109">
        <v>283970.00000000006</v>
      </c>
    </row>
    <row r="29" spans="1:2" x14ac:dyDescent="0.45">
      <c r="A29" s="9">
        <f t="shared" si="0"/>
        <v>41453</v>
      </c>
      <c r="B29" s="109">
        <v>340764</v>
      </c>
    </row>
    <row r="30" spans="1:2" x14ac:dyDescent="0.45">
      <c r="A30" s="9">
        <f t="shared" si="0"/>
        <v>41460</v>
      </c>
      <c r="B30" s="109">
        <v>170382</v>
      </c>
    </row>
    <row r="31" spans="1:2" x14ac:dyDescent="0.45">
      <c r="A31" s="9">
        <f t="shared" si="0"/>
        <v>41467</v>
      </c>
      <c r="B31" s="109">
        <v>141984.99999999988</v>
      </c>
    </row>
    <row r="32" spans="1:2" x14ac:dyDescent="0.45">
      <c r="A32" s="9">
        <f t="shared" si="0"/>
        <v>41474</v>
      </c>
      <c r="B32" s="109">
        <v>85191</v>
      </c>
    </row>
    <row r="33" spans="1:2" x14ac:dyDescent="0.45">
      <c r="A33" s="9">
        <f t="shared" si="0"/>
        <v>41481</v>
      </c>
      <c r="B33" s="109">
        <v>56793.999999999985</v>
      </c>
    </row>
    <row r="34" spans="1:2" x14ac:dyDescent="0.45">
      <c r="A34" s="9">
        <f t="shared" si="0"/>
        <v>41488</v>
      </c>
      <c r="B34" s="109">
        <v>227175.99999999994</v>
      </c>
    </row>
    <row r="35" spans="1:2" x14ac:dyDescent="0.45">
      <c r="A35" s="9">
        <f t="shared" si="0"/>
        <v>41495</v>
      </c>
      <c r="B35" s="109">
        <v>227175.99999999994</v>
      </c>
    </row>
    <row r="36" spans="1:2" x14ac:dyDescent="0.45">
      <c r="A36" s="9">
        <f t="shared" si="0"/>
        <v>41502</v>
      </c>
      <c r="B36" s="109">
        <v>85191</v>
      </c>
    </row>
    <row r="37" spans="1:2" x14ac:dyDescent="0.45">
      <c r="A37" s="9">
        <f t="shared" si="0"/>
        <v>41509</v>
      </c>
      <c r="B37" s="109">
        <v>56793.999999999985</v>
      </c>
    </row>
    <row r="38" spans="1:2" x14ac:dyDescent="0.45">
      <c r="A38" s="9">
        <f t="shared" si="0"/>
        <v>41516</v>
      </c>
      <c r="B38" s="109">
        <v>227175.99999999994</v>
      </c>
    </row>
    <row r="39" spans="1:2" x14ac:dyDescent="0.45">
      <c r="A39" s="9">
        <f t="shared" si="0"/>
        <v>41523</v>
      </c>
      <c r="B39" s="109">
        <v>141984.99999999988</v>
      </c>
    </row>
    <row r="40" spans="1:2" x14ac:dyDescent="0.45">
      <c r="A40" s="9">
        <f t="shared" si="0"/>
        <v>41530</v>
      </c>
      <c r="B40" s="109">
        <v>170382</v>
      </c>
    </row>
    <row r="41" spans="1:2" x14ac:dyDescent="0.45">
      <c r="A41" s="9">
        <f t="shared" si="0"/>
        <v>41537</v>
      </c>
      <c r="B41" s="109">
        <v>283970.00000000006</v>
      </c>
    </row>
    <row r="42" spans="1:2" x14ac:dyDescent="0.45">
      <c r="A42" s="9">
        <f t="shared" si="0"/>
        <v>41544</v>
      </c>
      <c r="B42" s="109">
        <v>340764</v>
      </c>
    </row>
    <row r="43" spans="1:2" x14ac:dyDescent="0.45">
      <c r="A43" s="9">
        <f t="shared" si="0"/>
        <v>41551</v>
      </c>
      <c r="B43" s="109">
        <v>170382</v>
      </c>
    </row>
    <row r="44" spans="1:2" x14ac:dyDescent="0.45">
      <c r="A44" s="9">
        <f t="shared" si="0"/>
        <v>41558</v>
      </c>
      <c r="B44" s="109">
        <v>170382</v>
      </c>
    </row>
    <row r="45" spans="1:2" x14ac:dyDescent="0.45">
      <c r="A45" s="9">
        <f t="shared" si="0"/>
        <v>41565</v>
      </c>
      <c r="B45" s="109">
        <v>141984.99999999988</v>
      </c>
    </row>
    <row r="46" spans="1:2" x14ac:dyDescent="0.45">
      <c r="A46" s="9">
        <f t="shared" si="0"/>
        <v>41572</v>
      </c>
      <c r="B46" s="109">
        <v>85191</v>
      </c>
    </row>
    <row r="47" spans="1:2" x14ac:dyDescent="0.45">
      <c r="A47" s="9">
        <f t="shared" si="0"/>
        <v>41579</v>
      </c>
      <c r="B47" s="109">
        <v>56793.999999999985</v>
      </c>
    </row>
    <row r="48" spans="1:2" x14ac:dyDescent="0.45">
      <c r="A48" s="9">
        <f t="shared" si="0"/>
        <v>41586</v>
      </c>
      <c r="B48" s="109">
        <v>227175.99999999994</v>
      </c>
    </row>
    <row r="49" spans="1:2" x14ac:dyDescent="0.45">
      <c r="A49" s="9">
        <f t="shared" si="0"/>
        <v>41593</v>
      </c>
      <c r="B49" s="109">
        <v>227175.99999999994</v>
      </c>
    </row>
    <row r="50" spans="1:2" x14ac:dyDescent="0.45">
      <c r="A50" s="9">
        <f t="shared" si="0"/>
        <v>41600</v>
      </c>
      <c r="B50" s="109">
        <v>85191</v>
      </c>
    </row>
    <row r="51" spans="1:2" x14ac:dyDescent="0.45">
      <c r="A51" s="9">
        <f t="shared" si="0"/>
        <v>41607</v>
      </c>
      <c r="B51" s="109">
        <v>56793.999999999985</v>
      </c>
    </row>
    <row r="52" spans="1:2" x14ac:dyDescent="0.45">
      <c r="A52" s="9">
        <f t="shared" si="0"/>
        <v>41614</v>
      </c>
      <c r="B52" s="109">
        <v>227175.99999999994</v>
      </c>
    </row>
    <row r="53" spans="1:2" x14ac:dyDescent="0.45">
      <c r="A53" s="9">
        <f t="shared" si="0"/>
        <v>41621</v>
      </c>
      <c r="B53" s="109">
        <v>85191</v>
      </c>
    </row>
    <row r="54" spans="1:2" x14ac:dyDescent="0.45">
      <c r="A54" s="9">
        <f>IF(ISNUMBER(A53),A53+7,"")</f>
        <v>41628</v>
      </c>
      <c r="B54" s="109">
        <v>56793.999999999985</v>
      </c>
    </row>
    <row r="55" spans="1:2" x14ac:dyDescent="0.45">
      <c r="A55" s="9">
        <f>IF(ISNUMBER(A54),A54+7,"")</f>
        <v>41635</v>
      </c>
      <c r="B55" s="109">
        <v>227175.99999999994</v>
      </c>
    </row>
    <row r="56" spans="1:2" ht="14.65" thickBot="1" x14ac:dyDescent="0.5">
      <c r="A56" s="10" t="s">
        <v>4</v>
      </c>
      <c r="B56" s="110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9"/>
  <sheetViews>
    <sheetView workbookViewId="0">
      <selection activeCell="E33" sqref="E33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1" t="s">
        <v>80</v>
      </c>
      <c r="D1" s="111" t="s">
        <v>81</v>
      </c>
      <c r="E1" s="111" t="s">
        <v>82</v>
      </c>
      <c r="F1" s="111" t="s">
        <v>214</v>
      </c>
      <c r="G1" s="111" t="s">
        <v>215</v>
      </c>
      <c r="H1" s="111" t="s">
        <v>216</v>
      </c>
      <c r="I1" s="111" t="s">
        <v>217</v>
      </c>
      <c r="J1" s="111" t="s">
        <v>218</v>
      </c>
      <c r="K1" s="111" t="s">
        <v>219</v>
      </c>
      <c r="L1" s="111" t="s">
        <v>220</v>
      </c>
      <c r="M1" s="111" t="s">
        <v>221</v>
      </c>
      <c r="N1" s="111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Month'!C3:N3</xm:f>
              <xm:sqref>B3</xm:sqref>
            </x14:sparkline>
            <x14:sparkline>
              <xm:f>'Column - Month'!C4:N4</xm:f>
              <xm:sqref>B4</xm:sqref>
            </x14:sparkline>
            <x14:sparkline>
              <xm:f>'Column - Month'!C5:N5</xm:f>
              <xm:sqref>B5</xm:sqref>
            </x14:sparkline>
            <x14:sparkline>
              <xm:f>'Column - Month'!C6:N6</xm:f>
              <xm:sqref>B6</xm:sqref>
            </x14:sparkline>
            <x14:sparkline>
              <xm:f>'Column - Month'!C7:N7</xm:f>
              <xm:sqref>B7</xm:sqref>
            </x14:sparkline>
            <x14:sparkline>
              <xm:f>'Column - Month'!C8:N8</xm:f>
              <xm:sqref>B8</xm:sqref>
            </x14:sparkline>
            <x14:sparkline>
              <xm:f>'Column - Month'!C9:N9</xm:f>
              <xm:sqref>B9</xm:sqref>
            </x14:sparkline>
          </x14:sparklines>
        </x14:sparklineGroup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P2</xm:sqref>
            </x14:sparkline>
            <x14:sparkline>
              <xm:f>'Column - Month'!C3:N3</xm:f>
              <xm:sqref>P3</xm:sqref>
            </x14:sparkline>
            <x14:sparkline>
              <xm:f>'Column - Month'!C4:N4</xm:f>
              <xm:sqref>P4</xm:sqref>
            </x14:sparkline>
            <x14:sparkline>
              <xm:f>'Column - Month'!C5:N5</xm:f>
              <xm:sqref>P5</xm:sqref>
            </x14:sparkline>
            <x14:sparkline>
              <xm:f>'Column - Month'!C6:N6</xm:f>
              <xm:sqref>P6</xm:sqref>
            </x14:sparkline>
            <x14:sparkline>
              <xm:f>'Column - Month'!C7:N7</xm:f>
              <xm:sqref>P7</xm:sqref>
            </x14:sparkline>
            <x14:sparkline>
              <xm:f>'Column - Month'!C8:N8</xm:f>
              <xm:sqref>P8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Q2</xm:sqref>
            </x14:sparkline>
            <x14:sparkline>
              <xm:f>'Column - Month'!C3:N3</xm:f>
              <xm:sqref>Q3</xm:sqref>
            </x14:sparkline>
            <x14:sparkline>
              <xm:f>'Column - Month'!C4:N4</xm:f>
              <xm:sqref>Q4</xm:sqref>
            </x14:sparkline>
            <x14:sparkline>
              <xm:f>'Column - Month'!C5:N5</xm:f>
              <xm:sqref>Q5</xm:sqref>
            </x14:sparkline>
            <x14:sparkline>
              <xm:f>'Column - Month'!C6:N6</xm:f>
              <xm:sqref>Q6</xm:sqref>
            </x14:sparkline>
            <x14:sparkline>
              <xm:f>'Column - Month'!C7:N7</xm:f>
              <xm:sqref>Q7</xm:sqref>
            </x14:sparkline>
            <x14:sparkline>
              <xm:f>'Column - Month'!C8:N8</xm:f>
              <xm:sqref>Q8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9"/>
  <sheetViews>
    <sheetView workbookViewId="0">
      <selection activeCell="R3" sqref="R3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1" t="s">
        <v>80</v>
      </c>
      <c r="D1" s="111" t="s">
        <v>81</v>
      </c>
      <c r="E1" s="111" t="s">
        <v>82</v>
      </c>
      <c r="F1" s="111" t="s">
        <v>214</v>
      </c>
      <c r="G1" s="111" t="s">
        <v>215</v>
      </c>
      <c r="H1" s="111" t="s">
        <v>216</v>
      </c>
      <c r="I1" s="111" t="s">
        <v>217</v>
      </c>
      <c r="J1" s="111" t="s">
        <v>218</v>
      </c>
      <c r="K1" s="111" t="s">
        <v>219</v>
      </c>
      <c r="L1" s="111" t="s">
        <v>220</v>
      </c>
      <c r="M1" s="111" t="s">
        <v>221</v>
      </c>
      <c r="N1" s="111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Month'!C3:N3</xm:f>
              <xm:sqref>B3</xm:sqref>
            </x14:sparkline>
            <x14:sparkline>
              <xm:f>'Stacked Column - Month'!C4:N4</xm:f>
              <xm:sqref>B4</xm:sqref>
            </x14:sparkline>
            <x14:sparkline>
              <xm:f>'Stacked Column - Month'!C5:N5</xm:f>
              <xm:sqref>B5</xm:sqref>
            </x14:sparkline>
            <x14:sparkline>
              <xm:f>'Stacked Column - Month'!C6:N6</xm:f>
              <xm:sqref>B6</xm:sqref>
            </x14:sparkline>
            <x14:sparkline>
              <xm:f>'Stacked Column - Month'!C7:N7</xm:f>
              <xm:sqref>B7</xm:sqref>
            </x14:sparkline>
            <x14:sparkline>
              <xm:f>'Stacked Column - Month'!C8:N8</xm:f>
              <xm:sqref>B8</xm:sqref>
            </x14:sparkline>
            <x14:sparkline>
              <xm:f>'Stacked Column - Month'!C9:N9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Month'!C2:N2</xm:f>
              <xm:sqref>B2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9"/>
  <sheetViews>
    <sheetView workbookViewId="0">
      <selection activeCell="W2" sqref="W2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1" t="s">
        <v>80</v>
      </c>
      <c r="D1" s="111" t="s">
        <v>81</v>
      </c>
      <c r="E1" s="111" t="s">
        <v>82</v>
      </c>
      <c r="F1" s="111" t="s">
        <v>214</v>
      </c>
      <c r="G1" s="111" t="s">
        <v>215</v>
      </c>
      <c r="H1" s="111" t="s">
        <v>216</v>
      </c>
      <c r="I1" s="111" t="s">
        <v>217</v>
      </c>
      <c r="J1" s="111" t="s">
        <v>218</v>
      </c>
      <c r="K1" s="111" t="s">
        <v>219</v>
      </c>
      <c r="L1" s="111" t="s">
        <v>220</v>
      </c>
      <c r="M1" s="111" t="s">
        <v>221</v>
      </c>
      <c r="N1" s="111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City'!C2:N2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City'!C3:N3</xm:f>
              <xm:sqref>B3</xm:sqref>
            </x14:sparkline>
            <x14:sparkline>
              <xm:f>'Stacked Column - City'!C4:N4</xm:f>
              <xm:sqref>B4</xm:sqref>
            </x14:sparkline>
            <x14:sparkline>
              <xm:f>'Stacked Column - City'!C5:N5</xm:f>
              <xm:sqref>B5</xm:sqref>
            </x14:sparkline>
            <x14:sparkline>
              <xm:f>'Stacked Column - City'!C6:N6</xm:f>
              <xm:sqref>B6</xm:sqref>
            </x14:sparkline>
            <x14:sparkline>
              <xm:f>'Stacked Column - City'!C7:N7</xm:f>
              <xm:sqref>B7</xm:sqref>
            </x14:sparkline>
            <x14:sparkline>
              <xm:f>'Stacked Column - City'!C8:N8</xm:f>
              <xm:sqref>B8</xm:sqref>
            </x14:sparkline>
            <x14:sparkline>
              <xm:f>'Stacked Column - City'!C9:N9</xm:f>
              <xm:sqref>B9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9"/>
  <sheetViews>
    <sheetView workbookViewId="0">
      <selection activeCell="B15" sqref="B15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1" t="s">
        <v>80</v>
      </c>
      <c r="D1" s="111" t="s">
        <v>81</v>
      </c>
      <c r="E1" s="111" t="s">
        <v>82</v>
      </c>
      <c r="F1" s="111" t="s">
        <v>214</v>
      </c>
      <c r="G1" s="111" t="s">
        <v>215</v>
      </c>
      <c r="H1" s="111" t="s">
        <v>216</v>
      </c>
      <c r="I1" s="111" t="s">
        <v>217</v>
      </c>
      <c r="J1" s="111" t="s">
        <v>218</v>
      </c>
      <c r="K1" s="111" t="s">
        <v>219</v>
      </c>
      <c r="L1" s="111" t="s">
        <v>220</v>
      </c>
      <c r="M1" s="111" t="s">
        <v>221</v>
      </c>
      <c r="N1" s="111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Bar - City'!C3:N3</xm:f>
              <xm:sqref>B3</xm:sqref>
            </x14:sparkline>
            <x14:sparkline>
              <xm:f>'Stacked Bar - City'!C4:N4</xm:f>
              <xm:sqref>B4</xm:sqref>
            </x14:sparkline>
            <x14:sparkline>
              <xm:f>'Stacked Bar - City'!C5:N5</xm:f>
              <xm:sqref>B5</xm:sqref>
            </x14:sparkline>
            <x14:sparkline>
              <xm:f>'Stacked Bar - City'!C6:N6</xm:f>
              <xm:sqref>B6</xm:sqref>
            </x14:sparkline>
            <x14:sparkline>
              <xm:f>'Stacked Bar - City'!C7:N7</xm:f>
              <xm:sqref>B7</xm:sqref>
            </x14:sparkline>
            <x14:sparkline>
              <xm:f>'Stacked Bar - City'!C8:N8</xm:f>
              <xm:sqref>B8</xm:sqref>
            </x14:sparkline>
            <x14:sparkline>
              <xm:f>'Stacked Bar - City'!C9:N9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Bar - City'!C2:N2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Creating Charts (graphs)</vt:lpstr>
      <vt:lpstr>GapMinder.org</vt:lpstr>
      <vt:lpstr>Aaron Koblin</vt:lpstr>
      <vt:lpstr>Pie</vt:lpstr>
      <vt:lpstr>Line</vt:lpstr>
      <vt:lpstr>Column - Month</vt:lpstr>
      <vt:lpstr>Stacked Column - Month</vt:lpstr>
      <vt:lpstr>Stacked Column - City</vt:lpstr>
      <vt:lpstr>Stacked Bar - City</vt:lpstr>
      <vt:lpstr>Column - Location</vt:lpstr>
      <vt:lpstr>Pie Comparison</vt:lpstr>
      <vt:lpstr>Doughnut</vt:lpstr>
      <vt:lpstr>Scatter</vt:lpstr>
      <vt:lpstr>Scatter - Year</vt:lpstr>
      <vt:lpstr>Line - Year</vt:lpstr>
      <vt:lpstr>Scatter - Trendline</vt:lpstr>
      <vt:lpstr>$ Life Exepectancy</vt:lpstr>
      <vt:lpstr>Life Exepectancy $</vt:lpstr>
      <vt:lpstr>Creating Life Expectancy $</vt:lpstr>
      <vt:lpstr>Scatter 2</vt:lpstr>
      <vt:lpstr>Area Stacked</vt:lpstr>
      <vt:lpstr>Combo</vt:lpstr>
      <vt:lpstr>Combo 99</vt:lpstr>
      <vt:lpstr>Combo 99 (2)</vt:lpstr>
      <vt:lpstr>Employee Data</vt:lpstr>
      <vt:lpstr>TrendLine</vt:lpstr>
      <vt:lpstr>Pivotchart 1</vt:lpstr>
      <vt:lpstr>Pivotchart 2</vt:lpstr>
      <vt:lpstr>Pivotchart 3</vt:lpstr>
      <vt:lpstr>P&amp;L Statement Sparklines</vt:lpstr>
      <vt:lpstr>Your Business</vt:lpstr>
      <vt:lpstr>Templates</vt:lpstr>
      <vt:lpstr>FYMonthStart</vt:lpstr>
      <vt:lpstr>FYStartYear</vt:lpstr>
      <vt:lpstr>'Combo 99'!participation_by_year</vt:lpstr>
      <vt:lpstr>'Line - Year'!participation_by_year</vt:lpstr>
      <vt:lpstr>Scatter!participation_by_year</vt:lpstr>
      <vt:lpstr>'Scatter - Trendline'!participation_by_year</vt:lpstr>
      <vt:lpstr>'Scatter - Year'!participation_by_year</vt:lpstr>
      <vt:lpstr>Scatter!participation_by_year_1</vt:lpstr>
      <vt:lpstr>'Combo 99'!participation_by_year_2</vt:lpstr>
      <vt:lpstr>Scatter!participation_by_year_2</vt:lpstr>
      <vt:lpstr>'Combo 99'!participation_by_year_3</vt:lpstr>
      <vt:lpstr>'Combo 99 (2)'!participation_by_year_3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2017-09-28T18:59:13Z</dcterms:modified>
</cp:coreProperties>
</file>