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29b4690f9d67ff/Documents/Desktop/MSBA MASTER FOLDER/ALL RECRUTING MATERIALS/"/>
    </mc:Choice>
  </mc:AlternateContent>
  <xr:revisionPtr revIDLastSave="7" documentId="13_ncr:1_{5EDA1705-1DB2-4100-8B09-2B4352E6B78B}" xr6:coauthVersionLast="47" xr6:coauthVersionMax="47" xr10:uidLastSave="{82281F96-CECC-4641-B79F-BF2B137580FC}"/>
  <bookViews>
    <workbookView xWindow="-110" yWindow="-110" windowWidth="19420" windowHeight="10420" xr2:uid="{2582F13E-B4A3-45D0-A786-FD7775DF5FB0}"/>
  </bookViews>
  <sheets>
    <sheet name="Case With Synergies" sheetId="1" r:id="rId1"/>
    <sheet name="Base Case No synergies" sheetId="7" r:id="rId2"/>
    <sheet name="Ku and Asset Beta Using Comps" sheetId="2" r:id="rId3"/>
    <sheet name="PV of ITS" sheetId="5" r:id="rId4"/>
    <sheet name="EV EBITDA Multiples Approach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7" l="1"/>
  <c r="B40" i="7"/>
  <c r="O21" i="7"/>
  <c r="F18" i="7"/>
  <c r="E33" i="6"/>
  <c r="I5" i="5"/>
  <c r="L10" i="5"/>
  <c r="B27" i="7" s="1"/>
  <c r="D19" i="2"/>
  <c r="D13" i="2"/>
  <c r="E13" i="6"/>
  <c r="E14" i="6"/>
  <c r="E15" i="6"/>
  <c r="E16" i="6"/>
  <c r="E12" i="6"/>
  <c r="G12" i="6" s="1"/>
  <c r="G18" i="6" s="1"/>
  <c r="E32" i="6" s="1"/>
  <c r="G29" i="6"/>
  <c r="G30" i="6"/>
  <c r="E26" i="6"/>
  <c r="E24" i="6"/>
  <c r="F24" i="6"/>
  <c r="F26" i="6" s="1"/>
  <c r="G24" i="6"/>
  <c r="G26" i="6" s="1"/>
  <c r="H24" i="6"/>
  <c r="H26" i="6" s="1"/>
  <c r="D24" i="6"/>
  <c r="D26" i="6" s="1"/>
  <c r="F12" i="1"/>
  <c r="G15" i="6"/>
  <c r="G16" i="6"/>
  <c r="F13" i="6"/>
  <c r="F14" i="6"/>
  <c r="F15" i="6"/>
  <c r="F16" i="6"/>
  <c r="F12" i="6"/>
  <c r="G13" i="6"/>
  <c r="G14" i="6"/>
  <c r="K16" i="1"/>
  <c r="K15" i="1"/>
  <c r="L16" i="1"/>
  <c r="K17" i="1"/>
  <c r="K10" i="1"/>
  <c r="J21" i="7"/>
  <c r="O19" i="7"/>
  <c r="N19" i="7"/>
  <c r="L18" i="7"/>
  <c r="K18" i="7"/>
  <c r="L17" i="7"/>
  <c r="K17" i="7"/>
  <c r="O16" i="7"/>
  <c r="K16" i="7"/>
  <c r="O15" i="7"/>
  <c r="N15" i="7"/>
  <c r="M15" i="7"/>
  <c r="L15" i="7"/>
  <c r="N14" i="7"/>
  <c r="B12" i="7"/>
  <c r="O10" i="7"/>
  <c r="O18" i="7" s="1"/>
  <c r="N10" i="7"/>
  <c r="N16" i="7" s="1"/>
  <c r="M10" i="7"/>
  <c r="M19" i="7" s="1"/>
  <c r="L10" i="7"/>
  <c r="L19" i="7" s="1"/>
  <c r="K10" i="7"/>
  <c r="K19" i="7" s="1"/>
  <c r="N7" i="7"/>
  <c r="N6" i="7"/>
  <c r="F6" i="7"/>
  <c r="F12" i="7" s="1"/>
  <c r="E6" i="7"/>
  <c r="E12" i="7" s="1"/>
  <c r="D6" i="7"/>
  <c r="M14" i="7" s="1"/>
  <c r="C6" i="7"/>
  <c r="L14" i="7" s="1"/>
  <c r="B6" i="7"/>
  <c r="K14" i="7" s="1"/>
  <c r="N5" i="7"/>
  <c r="N3" i="7"/>
  <c r="K15" i="7" s="1"/>
  <c r="N2" i="7"/>
  <c r="I64" i="5"/>
  <c r="I10" i="6"/>
  <c r="H10" i="6"/>
  <c r="G10" i="6"/>
  <c r="B27" i="1" l="1"/>
  <c r="O14" i="7"/>
  <c r="B14" i="7"/>
  <c r="B15" i="7" s="1"/>
  <c r="B19" i="7" s="1"/>
  <c r="B23" i="7" s="1"/>
  <c r="K21" i="7"/>
  <c r="K22" i="7" s="1"/>
  <c r="B18" i="7" s="1"/>
  <c r="E14" i="7"/>
  <c r="E15" i="7" s="1"/>
  <c r="L21" i="7"/>
  <c r="L22" i="7" s="1"/>
  <c r="C18" i="7" s="1"/>
  <c r="F14" i="7"/>
  <c r="F15" i="7" s="1"/>
  <c r="N17" i="7"/>
  <c r="N21" i="7" s="1"/>
  <c r="D12" i="7"/>
  <c r="L16" i="7"/>
  <c r="O17" i="7"/>
  <c r="M18" i="7"/>
  <c r="C12" i="7"/>
  <c r="M16" i="7"/>
  <c r="M21" i="7" s="1"/>
  <c r="M22" i="7" s="1"/>
  <c r="D18" i="7" s="1"/>
  <c r="N18" i="7"/>
  <c r="M17" i="7"/>
  <c r="O22" i="7" l="1"/>
  <c r="F19" i="7" s="1"/>
  <c r="N22" i="7"/>
  <c r="E18" i="7" s="1"/>
  <c r="E19" i="7" s="1"/>
  <c r="E23" i="7" s="1"/>
  <c r="C14" i="7"/>
  <c r="C15" i="7" s="1"/>
  <c r="C19" i="7" s="1"/>
  <c r="C23" i="7" s="1"/>
  <c r="D14" i="7"/>
  <c r="D15" i="7" s="1"/>
  <c r="D19" i="7" s="1"/>
  <c r="D23" i="7" s="1"/>
  <c r="F23" i="7" l="1"/>
  <c r="B25" i="7" s="1"/>
  <c r="F21" i="7"/>
  <c r="F22" i="7" s="1"/>
  <c r="B26" i="7" s="1"/>
  <c r="B28" i="7" l="1"/>
  <c r="N6" i="1" l="1"/>
  <c r="N3" i="1"/>
  <c r="N15" i="1" s="1"/>
  <c r="N5" i="1"/>
  <c r="K18" i="1" s="1"/>
  <c r="N7" i="1"/>
  <c r="K19" i="1" s="1"/>
  <c r="N2" i="1"/>
  <c r="M15" i="1" l="1"/>
  <c r="O15" i="1"/>
  <c r="L15" i="1"/>
  <c r="M10" i="1"/>
  <c r="N10" i="1"/>
  <c r="O10" i="1"/>
  <c r="L10" i="1"/>
  <c r="J21" i="1"/>
  <c r="L18" i="1" l="1"/>
  <c r="L17" i="1"/>
  <c r="L19" i="1"/>
  <c r="O16" i="1"/>
  <c r="O18" i="1"/>
  <c r="O19" i="1"/>
  <c r="O17" i="1"/>
  <c r="M16" i="1"/>
  <c r="M18" i="1"/>
  <c r="M19" i="1"/>
  <c r="M17" i="1"/>
  <c r="N16" i="1"/>
  <c r="N18" i="1"/>
  <c r="N19" i="1"/>
  <c r="N17" i="1"/>
  <c r="D15" i="2"/>
  <c r="E13" i="2"/>
  <c r="C6" i="1"/>
  <c r="D6" i="1"/>
  <c r="M14" i="1" s="1"/>
  <c r="M21" i="1" s="1"/>
  <c r="E6" i="1"/>
  <c r="N14" i="1" s="1"/>
  <c r="F6" i="1"/>
  <c r="B6" i="1"/>
  <c r="B12" i="1" l="1"/>
  <c r="K14" i="1"/>
  <c r="K21" i="1" s="1"/>
  <c r="K22" i="1" s="1"/>
  <c r="B18" i="1" s="1"/>
  <c r="O14" i="1"/>
  <c r="O21" i="1" s="1"/>
  <c r="C12" i="1"/>
  <c r="L14" i="1"/>
  <c r="L21" i="1" s="1"/>
  <c r="L22" i="1" s="1"/>
  <c r="C18" i="1" s="1"/>
  <c r="N21" i="1"/>
  <c r="N22" i="1" s="1"/>
  <c r="E18" i="1" s="1"/>
  <c r="F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G46" i="5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C46" i="5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5" i="5"/>
  <c r="C7" i="5"/>
  <c r="C8" i="5" s="1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C6" i="5"/>
  <c r="C5" i="5"/>
  <c r="G6" i="2"/>
  <c r="G7" i="2"/>
  <c r="G8" i="2"/>
  <c r="G9" i="2"/>
  <c r="G5" i="2"/>
  <c r="G11" i="2"/>
  <c r="G13" i="2" s="1"/>
  <c r="D14" i="2" s="1"/>
  <c r="O22" i="1" l="1"/>
  <c r="F18" i="1" s="1"/>
  <c r="M22" i="1"/>
  <c r="D18" i="1" s="1"/>
  <c r="E46" i="5"/>
  <c r="F46" i="5" s="1"/>
  <c r="F47" i="5" s="1"/>
  <c r="E47" i="5"/>
  <c r="E5" i="5"/>
  <c r="E6" i="5" s="1"/>
  <c r="F6" i="5" s="1"/>
  <c r="C9" i="5"/>
  <c r="E48" i="5" l="1"/>
  <c r="F48" i="5" s="1"/>
  <c r="C10" i="5"/>
  <c r="E7" i="5"/>
  <c r="F7" i="5" s="1"/>
  <c r="E49" i="5" l="1"/>
  <c r="F49" i="5" s="1"/>
  <c r="E8" i="5"/>
  <c r="F8" i="5" s="1"/>
  <c r="C11" i="5"/>
  <c r="E50" i="5" l="1"/>
  <c r="F50" i="5" s="1"/>
  <c r="E9" i="5"/>
  <c r="F9" i="5" s="1"/>
  <c r="C12" i="5"/>
  <c r="E51" i="5" l="1"/>
  <c r="F51" i="5" s="1"/>
  <c r="E10" i="5"/>
  <c r="F10" i="5" s="1"/>
  <c r="C13" i="5"/>
  <c r="E52" i="5" l="1"/>
  <c r="F52" i="5" s="1"/>
  <c r="E11" i="5"/>
  <c r="F11" i="5" s="1"/>
  <c r="C14" i="5"/>
  <c r="E53" i="5" l="1"/>
  <c r="F53" i="5" s="1"/>
  <c r="C15" i="5"/>
  <c r="E12" i="5"/>
  <c r="F12" i="5" s="1"/>
  <c r="E54" i="5" l="1"/>
  <c r="F54" i="5" s="1"/>
  <c r="F13" i="5"/>
  <c r="E13" i="5"/>
  <c r="C16" i="5"/>
  <c r="E55" i="5" l="1"/>
  <c r="F55" i="5" s="1"/>
  <c r="E14" i="5"/>
  <c r="F14" i="5" s="1"/>
  <c r="C17" i="5"/>
  <c r="E56" i="5" l="1"/>
  <c r="F56" i="5" s="1"/>
  <c r="E15" i="5"/>
  <c r="F15" i="5" s="1"/>
  <c r="C18" i="5"/>
  <c r="E57" i="5" l="1"/>
  <c r="F57" i="5" s="1"/>
  <c r="E16" i="5"/>
  <c r="F16" i="5" s="1"/>
  <c r="C19" i="5"/>
  <c r="E58" i="5" l="1"/>
  <c r="F58" i="5" s="1"/>
  <c r="E17" i="5"/>
  <c r="F17" i="5" s="1"/>
  <c r="C20" i="5"/>
  <c r="E59" i="5" l="1"/>
  <c r="F59" i="5" s="1"/>
  <c r="E18" i="5"/>
  <c r="F18" i="5" s="1"/>
  <c r="C21" i="5"/>
  <c r="E60" i="5" l="1"/>
  <c r="F60" i="5" s="1"/>
  <c r="E19" i="5"/>
  <c r="F19" i="5" s="1"/>
  <c r="C22" i="5"/>
  <c r="F61" i="5" l="1"/>
  <c r="E61" i="5"/>
  <c r="E20" i="5"/>
  <c r="F20" i="5" s="1"/>
  <c r="C23" i="5"/>
  <c r="E62" i="5" l="1"/>
  <c r="F62" i="5" s="1"/>
  <c r="E21" i="5"/>
  <c r="F21" i="5" s="1"/>
  <c r="C24" i="5"/>
  <c r="E63" i="5" l="1"/>
  <c r="F63" i="5" s="1"/>
  <c r="E22" i="5"/>
  <c r="F22" i="5" s="1"/>
  <c r="C25" i="5"/>
  <c r="D64" i="5" l="1"/>
  <c r="C64" i="5" s="1"/>
  <c r="E64" i="5" s="1"/>
  <c r="F64" i="5" s="1"/>
  <c r="E23" i="5"/>
  <c r="F23" i="5" s="1"/>
  <c r="C26" i="5"/>
  <c r="E24" i="5" l="1"/>
  <c r="F24" i="5" s="1"/>
  <c r="C27" i="5"/>
  <c r="C28" i="5" l="1"/>
  <c r="E25" i="5"/>
  <c r="F25" i="5" s="1"/>
  <c r="E26" i="5" l="1"/>
  <c r="F26" i="5" s="1"/>
  <c r="C29" i="5"/>
  <c r="E27" i="5" l="1"/>
  <c r="F27" i="5" s="1"/>
  <c r="C30" i="5"/>
  <c r="E28" i="5" l="1"/>
  <c r="F28" i="5" s="1"/>
  <c r="C31" i="5"/>
  <c r="E29" i="5" l="1"/>
  <c r="F29" i="5" s="1"/>
  <c r="C32" i="5"/>
  <c r="E30" i="5" l="1"/>
  <c r="F30" i="5" s="1"/>
  <c r="C33" i="5"/>
  <c r="E31" i="5" l="1"/>
  <c r="F31" i="5" s="1"/>
  <c r="C34" i="5"/>
  <c r="E32" i="5" l="1"/>
  <c r="F32" i="5" s="1"/>
  <c r="C35" i="5"/>
  <c r="E33" i="5" l="1"/>
  <c r="F33" i="5" s="1"/>
  <c r="C36" i="5"/>
  <c r="E34" i="5" l="1"/>
  <c r="F34" i="5" s="1"/>
  <c r="C37" i="5"/>
  <c r="E35" i="5" l="1"/>
  <c r="F35" i="5" s="1"/>
  <c r="C38" i="5"/>
  <c r="E36" i="5" l="1"/>
  <c r="F36" i="5" s="1"/>
  <c r="C39" i="5"/>
  <c r="E37" i="5" l="1"/>
  <c r="F37" i="5" s="1"/>
  <c r="C40" i="5"/>
  <c r="E38" i="5" l="1"/>
  <c r="F38" i="5" s="1"/>
  <c r="C41" i="5"/>
  <c r="E39" i="5" l="1"/>
  <c r="F39" i="5" s="1"/>
  <c r="C42" i="5"/>
  <c r="E40" i="5" l="1"/>
  <c r="F40" i="5" s="1"/>
  <c r="C43" i="5"/>
  <c r="E41" i="5" l="1"/>
  <c r="F41" i="5" s="1"/>
  <c r="C44" i="5"/>
  <c r="E42" i="5" l="1"/>
  <c r="F42" i="5" s="1"/>
  <c r="C45" i="5"/>
  <c r="E43" i="5" l="1"/>
  <c r="F43" i="5" s="1"/>
  <c r="E44" i="5" l="1"/>
  <c r="F44" i="5" s="1"/>
  <c r="E45" i="5" l="1"/>
  <c r="F45" i="5" s="1"/>
  <c r="D12" i="1" l="1"/>
  <c r="E12" i="1"/>
  <c r="B14" i="1" l="1"/>
  <c r="B15" i="1" s="1"/>
  <c r="B19" i="1" s="1"/>
  <c r="B23" i="1" s="1"/>
  <c r="F14" i="1"/>
  <c r="F15" i="1" s="1"/>
  <c r="F19" i="1" s="1"/>
  <c r="E14" i="1"/>
  <c r="E15" i="1" s="1"/>
  <c r="E19" i="1" s="1"/>
  <c r="E23" i="1" s="1"/>
  <c r="D14" i="1"/>
  <c r="D15" i="1" s="1"/>
  <c r="D19" i="1" s="1"/>
  <c r="D23" i="1" s="1"/>
  <c r="C14" i="1"/>
  <c r="C15" i="1" s="1"/>
  <c r="C19" i="1" s="1"/>
  <c r="C23" i="1" s="1"/>
  <c r="F23" i="1" l="1"/>
  <c r="B25" i="1" s="1"/>
  <c r="F21" i="1"/>
  <c r="F22" i="1" s="1"/>
  <c r="B26" i="1" s="1"/>
  <c r="B28" i="1" l="1"/>
  <c r="B31" i="1" s="1"/>
</calcChain>
</file>

<file path=xl/sharedStrings.xml><?xml version="1.0" encoding="utf-8"?>
<sst xmlns="http://schemas.openxmlformats.org/spreadsheetml/2006/main" count="174" uniqueCount="109">
  <si>
    <t xml:space="preserve">Year: </t>
  </si>
  <si>
    <t>Service Revenue</t>
  </si>
  <si>
    <t>Equipment Revenue</t>
  </si>
  <si>
    <t>Total Revenue</t>
  </si>
  <si>
    <t>System Operating Expenses</t>
  </si>
  <si>
    <t>COGS</t>
  </si>
  <si>
    <t>SG&amp;A</t>
  </si>
  <si>
    <t>Depreciation &amp; Amortization</t>
  </si>
  <si>
    <t>EBIT</t>
  </si>
  <si>
    <t>Tax Rate</t>
  </si>
  <si>
    <t>Taxes</t>
  </si>
  <si>
    <t>NOPAT</t>
  </si>
  <si>
    <t>Addback: Depreciation &amp; Amortization</t>
  </si>
  <si>
    <t>Less: CAPEX</t>
  </si>
  <si>
    <t>Less: Change NWC</t>
  </si>
  <si>
    <t>FCFF</t>
  </si>
  <si>
    <t xml:space="preserve">AirThread Ke Using Comps: </t>
  </si>
  <si>
    <t>presumably from an SCL regression</t>
  </si>
  <si>
    <t xml:space="preserve">probably comes from B/S and MV( E) </t>
  </si>
  <si>
    <t>Comes from assumptions</t>
  </si>
  <si>
    <t>comes from lever/unlever formulas</t>
  </si>
  <si>
    <t xml:space="preserve">(Levered) Equity Beta </t>
  </si>
  <si>
    <t>D/E Ratio</t>
  </si>
  <si>
    <t>Assumed Debt</t>
  </si>
  <si>
    <t xml:space="preserve">Unlevered Equity Beta </t>
  </si>
  <si>
    <t>Comparable Companies:</t>
  </si>
  <si>
    <t>Universal Mobile</t>
  </si>
  <si>
    <t>Neuberger Wireless</t>
  </si>
  <si>
    <t>Agile Connections</t>
  </si>
  <si>
    <t>Big Country Communications</t>
  </si>
  <si>
    <t>Rocky Mountain Wireless</t>
  </si>
  <si>
    <t>Average unlevered Be of comps</t>
  </si>
  <si>
    <t xml:space="preserve">Assumptions: </t>
  </si>
  <si>
    <t xml:space="preserve">Assumptions &amp; Parameters: </t>
  </si>
  <si>
    <t>Risk Free Rate</t>
  </si>
  <si>
    <t>MRP</t>
  </si>
  <si>
    <t>Ke of AirThread Using CAPM</t>
  </si>
  <si>
    <t>AirThread Kd</t>
  </si>
  <si>
    <t>Kd of AirThread</t>
  </si>
  <si>
    <t>Vf (APV) = FCFFt / (1+WACCunlv) ^t + (tax*int expt) / (1+kd)^t</t>
  </si>
  <si>
    <t>Annual</t>
  </si>
  <si>
    <t>Amortization</t>
  </si>
  <si>
    <t>Payment</t>
  </si>
  <si>
    <t>Interest</t>
  </si>
  <si>
    <t>Principal</t>
  </si>
  <si>
    <t>Balance</t>
  </si>
  <si>
    <t>Period</t>
  </si>
  <si>
    <t>Date:</t>
  </si>
  <si>
    <t>PV of Interest Payment</t>
  </si>
  <si>
    <t>Kd</t>
  </si>
  <si>
    <t>PV of ITS</t>
  </si>
  <si>
    <t>APV Valuation of AirThread</t>
  </si>
  <si>
    <t>Plus: Backhaul Savings From Synergies</t>
  </si>
  <si>
    <t>Annual Business Revenue Increase</t>
  </si>
  <si>
    <t>Accounts Receivable</t>
  </si>
  <si>
    <t>Days Sales Equip. Rev.</t>
  </si>
  <si>
    <t>Prepaid Expenses</t>
  </si>
  <si>
    <t>Accounts Payable</t>
  </si>
  <si>
    <t>Deferred Serv. Revenue</t>
  </si>
  <si>
    <t>Accrued Liabilities</t>
  </si>
  <si>
    <t xml:space="preserve">Working Capital: </t>
  </si>
  <si>
    <t>D/V for AirThread</t>
  </si>
  <si>
    <t>D/E for AirThread</t>
  </si>
  <si>
    <t>Ba for Airthread</t>
  </si>
  <si>
    <t>Ku for Airthread:</t>
  </si>
  <si>
    <t xml:space="preserve">Accounts Receivable </t>
  </si>
  <si>
    <t>Plus: Inventory</t>
  </si>
  <si>
    <t>Plus: Prepaid Expenses</t>
  </si>
  <si>
    <t>Less: Deferred Revenue</t>
  </si>
  <si>
    <t>Less: Accounts Payable</t>
  </si>
  <si>
    <t xml:space="preserve">Less: Accrued Liabilities </t>
  </si>
  <si>
    <t>Net Working Capital</t>
  </si>
  <si>
    <t xml:space="preserve">Working Capital Assumptions: </t>
  </si>
  <si>
    <t>Change NWC</t>
  </si>
  <si>
    <t xml:space="preserve">System Operating Expenses: </t>
  </si>
  <si>
    <t>AirThread Levered Be</t>
  </si>
  <si>
    <t>Equity</t>
  </si>
  <si>
    <t>Net</t>
  </si>
  <si>
    <t>Debt/</t>
  </si>
  <si>
    <t>Market Value</t>
  </si>
  <si>
    <t>Debt</t>
  </si>
  <si>
    <t>Value</t>
  </si>
  <si>
    <t>Revenue</t>
  </si>
  <si>
    <t>EBITDA</t>
  </si>
  <si>
    <t>Income</t>
  </si>
  <si>
    <t>Average</t>
  </si>
  <si>
    <r>
      <t>Beta</t>
    </r>
    <r>
      <rPr>
        <b/>
        <vertAlign val="superscript"/>
        <sz val="11"/>
        <color theme="1"/>
        <rFont val="Times New Roman"/>
        <family val="1"/>
      </rPr>
      <t>1</t>
    </r>
  </si>
  <si>
    <t>Terminal Growth Rate</t>
  </si>
  <si>
    <t>Ku:</t>
  </si>
  <si>
    <t xml:space="preserve">Terminal Value </t>
  </si>
  <si>
    <t>Sum of PV of FCFF</t>
  </si>
  <si>
    <t>Sum of PV of ITS</t>
  </si>
  <si>
    <t>PV of FCFF</t>
  </si>
  <si>
    <t>Sum of PV of TV</t>
  </si>
  <si>
    <t>EV</t>
  </si>
  <si>
    <t>EV/EBITDA</t>
  </si>
  <si>
    <t>Average Comps EV/EBITDA</t>
  </si>
  <si>
    <t>Revenues</t>
  </si>
  <si>
    <t>Less: Cost of Goods Sold</t>
  </si>
  <si>
    <t>Gross Profits</t>
  </si>
  <si>
    <t>Less: Operating Expenses</t>
  </si>
  <si>
    <t>AirThread Average EBITDA</t>
  </si>
  <si>
    <t xml:space="preserve">Terminal Value Using Multiples Approach: </t>
  </si>
  <si>
    <t xml:space="preserve">PV of Terminal Value: </t>
  </si>
  <si>
    <t xml:space="preserve">Period: </t>
  </si>
  <si>
    <t>Ku</t>
  </si>
  <si>
    <t>AirThreads for ACC with Synergies</t>
  </si>
  <si>
    <t>AirThreads for ACC without Synergies</t>
  </si>
  <si>
    <t>AirThreads for ACC with Synergies using P/E multiples 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</si>
</sst>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.00&quot;x&quot;;\(#,##0.00&quot;x&quot;\)"/>
    <numFmt numFmtId="165" formatCode="0.0%"/>
    <numFmt numFmtId="166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8"/>
      <color theme="1"/>
      <name val="Times New Roman"/>
      <family val="2"/>
    </font>
    <font>
      <sz val="8"/>
      <color theme="1"/>
      <name val="Times New Roman"/>
      <family val="1"/>
    </font>
    <font>
      <sz val="11"/>
      <color theme="1"/>
      <name val="Times New Roman"/>
      <family val="2"/>
    </font>
    <font>
      <i/>
      <u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8"/>
      <name val="Times New Roman"/>
      <family val="1"/>
    </font>
    <font>
      <sz val="8"/>
      <color indexed="14"/>
      <name val="Times New Roman"/>
      <family val="1"/>
    </font>
    <font>
      <sz val="8"/>
      <color indexed="8"/>
      <name val="Times New Roman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1"/>
      <color indexed="14"/>
      <name val="Times New Roman"/>
      <family val="1"/>
    </font>
    <font>
      <sz val="11"/>
      <color indexed="8"/>
      <name val="Times New Roman"/>
      <family val="1"/>
    </font>
    <font>
      <sz val="11"/>
      <name val="Times New Roman"/>
      <family val="1"/>
    </font>
    <font>
      <i/>
      <u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/>
    <xf numFmtId="8" fontId="2" fillId="0" borderId="0" xfId="0" applyNumberFormat="1" applyFont="1"/>
    <xf numFmtId="44" fontId="2" fillId="0" borderId="0" xfId="1" applyFont="1"/>
    <xf numFmtId="0" fontId="2" fillId="0" borderId="1" xfId="0" applyFont="1" applyBorder="1"/>
    <xf numFmtId="8" fontId="2" fillId="0" borderId="1" xfId="0" applyNumberFormat="1" applyFont="1" applyBorder="1"/>
    <xf numFmtId="0" fontId="3" fillId="0" borderId="0" xfId="0" applyFont="1"/>
    <xf numFmtId="9" fontId="2" fillId="0" borderId="0" xfId="0" applyNumberFormat="1" applyFont="1"/>
    <xf numFmtId="44" fontId="2" fillId="0" borderId="1" xfId="1" applyFont="1" applyBorder="1"/>
    <xf numFmtId="44" fontId="2" fillId="0" borderId="0" xfId="1" applyFont="1" applyBorder="1"/>
    <xf numFmtId="44" fontId="6" fillId="0" borderId="0" xfId="1" applyFont="1"/>
    <xf numFmtId="0" fontId="5" fillId="0" borderId="0" xfId="0" applyFont="1"/>
    <xf numFmtId="37" fontId="2" fillId="0" borderId="0" xfId="0" applyNumberFormat="1" applyFont="1"/>
    <xf numFmtId="9" fontId="7" fillId="0" borderId="0" xfId="3" applyFont="1"/>
    <xf numFmtId="9" fontId="8" fillId="0" borderId="0" xfId="3" applyFont="1"/>
    <xf numFmtId="37" fontId="8" fillId="0" borderId="0" xfId="0" applyNumberFormat="1" applyFont="1"/>
    <xf numFmtId="0" fontId="9" fillId="0" borderId="0" xfId="0" applyFont="1"/>
    <xf numFmtId="10" fontId="2" fillId="0" borderId="0" xfId="0" applyNumberFormat="1" applyFont="1"/>
    <xf numFmtId="39" fontId="10" fillId="0" borderId="0" xfId="3" applyNumberFormat="1" applyFont="1"/>
    <xf numFmtId="165" fontId="10" fillId="0" borderId="0" xfId="3" applyNumberFormat="1" applyFont="1"/>
    <xf numFmtId="0" fontId="10" fillId="0" borderId="0" xfId="0" applyFont="1"/>
    <xf numFmtId="165" fontId="10" fillId="0" borderId="0" xfId="3" applyNumberFormat="1" applyFont="1" applyBorder="1"/>
    <xf numFmtId="2" fontId="9" fillId="2" borderId="0" xfId="0" applyNumberFormat="1" applyFont="1" applyFill="1"/>
    <xf numFmtId="10" fontId="2" fillId="0" borderId="0" xfId="4" applyNumberFormat="1" applyFont="1"/>
    <xf numFmtId="37" fontId="11" fillId="0" borderId="0" xfId="0" applyNumberFormat="1" applyFont="1"/>
    <xf numFmtId="37" fontId="12" fillId="0" borderId="1" xfId="0" applyNumberFormat="1" applyFont="1" applyBorder="1"/>
    <xf numFmtId="10" fontId="12" fillId="0" borderId="1" xfId="0" applyNumberFormat="1" applyFont="1" applyBorder="1"/>
    <xf numFmtId="37" fontId="13" fillId="0" borderId="1" xfId="0" applyNumberFormat="1" applyFont="1" applyBorder="1"/>
    <xf numFmtId="14" fontId="11" fillId="0" borderId="0" xfId="0" applyNumberFormat="1" applyFont="1"/>
    <xf numFmtId="14" fontId="14" fillId="0" borderId="0" xfId="0" applyNumberFormat="1" applyFont="1"/>
    <xf numFmtId="37" fontId="15" fillId="0" borderId="0" xfId="0" applyNumberFormat="1" applyFont="1"/>
    <xf numFmtId="14" fontId="12" fillId="0" borderId="0" xfId="0" applyNumberFormat="1" applyFont="1"/>
    <xf numFmtId="37" fontId="12" fillId="0" borderId="0" xfId="0" applyNumberFormat="1" applyFont="1"/>
    <xf numFmtId="37" fontId="2" fillId="0" borderId="0" xfId="0" applyNumberFormat="1" applyFont="1" applyAlignment="1">
      <alignment horizontal="right"/>
    </xf>
    <xf numFmtId="37" fontId="2" fillId="0" borderId="1" xfId="0" applyNumberFormat="1" applyFont="1" applyBorder="1"/>
    <xf numFmtId="10" fontId="12" fillId="0" borderId="0" xfId="0" applyNumberFormat="1" applyFont="1"/>
    <xf numFmtId="37" fontId="9" fillId="0" borderId="0" xfId="0" applyNumberFormat="1" applyFont="1"/>
    <xf numFmtId="37" fontId="16" fillId="0" borderId="0" xfId="0" applyNumberFormat="1" applyFont="1"/>
    <xf numFmtId="9" fontId="17" fillId="0" borderId="0" xfId="4" applyFont="1" applyBorder="1"/>
    <xf numFmtId="164" fontId="2" fillId="0" borderId="0" xfId="2" applyNumberFormat="1" applyFont="1"/>
    <xf numFmtId="10" fontId="2" fillId="0" borderId="0" xfId="2" applyNumberFormat="1" applyFont="1"/>
    <xf numFmtId="166" fontId="18" fillId="0" borderId="0" xfId="0" applyNumberFormat="1" applyFont="1"/>
    <xf numFmtId="37" fontId="0" fillId="0" borderId="0" xfId="0" applyNumberFormat="1"/>
    <xf numFmtId="164" fontId="2" fillId="0" borderId="0" xfId="0" applyNumberFormat="1" applyFont="1"/>
    <xf numFmtId="44" fontId="0" fillId="0" borderId="0" xfId="1" applyFont="1"/>
    <xf numFmtId="2" fontId="2" fillId="0" borderId="0" xfId="0" applyNumberFormat="1" applyFont="1"/>
    <xf numFmtId="44" fontId="2" fillId="0" borderId="0" xfId="0" applyNumberFormat="1" applyFont="1"/>
    <xf numFmtId="10" fontId="9" fillId="0" borderId="0" xfId="0" applyNumberFormat="1" applyFont="1"/>
    <xf numFmtId="44" fontId="2" fillId="0" borderId="1" xfId="0" applyNumberFormat="1" applyFont="1" applyBorder="1"/>
    <xf numFmtId="10" fontId="0" fillId="0" borderId="0" xfId="4" applyNumberFormat="1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7" fontId="2" fillId="0" borderId="5" xfId="0" applyNumberFormat="1" applyFont="1" applyBorder="1"/>
    <xf numFmtId="37" fontId="2" fillId="0" borderId="7" xfId="0" applyNumberFormat="1" applyFont="1" applyBorder="1"/>
    <xf numFmtId="10" fontId="0" fillId="0" borderId="0" xfId="4" applyNumberFormat="1" applyFont="1"/>
    <xf numFmtId="0" fontId="2" fillId="2" borderId="0" xfId="0" applyFont="1" applyFill="1"/>
    <xf numFmtId="10" fontId="2" fillId="0" borderId="0" xfId="4" applyNumberFormat="1" applyFont="1" applyBorder="1"/>
    <xf numFmtId="0" fontId="2" fillId="0" borderId="6" xfId="0" applyFont="1" applyBorder="1"/>
    <xf numFmtId="164" fontId="2" fillId="0" borderId="1" xfId="0" applyNumberFormat="1" applyFont="1" applyBorder="1"/>
    <xf numFmtId="10" fontId="2" fillId="0" borderId="1" xfId="4" applyNumberFormat="1" applyFont="1" applyBorder="1"/>
    <xf numFmtId="0" fontId="2" fillId="0" borderId="8" xfId="0" applyFont="1" applyBorder="1"/>
    <xf numFmtId="166" fontId="9" fillId="0" borderId="0" xfId="0" applyNumberFormat="1" applyFont="1"/>
    <xf numFmtId="39" fontId="2" fillId="0" borderId="0" xfId="0" applyNumberFormat="1" applyFont="1"/>
    <xf numFmtId="39" fontId="2" fillId="2" borderId="0" xfId="0" applyNumberFormat="1" applyFont="1" applyFill="1"/>
    <xf numFmtId="165" fontId="2" fillId="0" borderId="0" xfId="0" applyNumberFormat="1" applyFont="1"/>
    <xf numFmtId="9" fontId="2" fillId="0" borderId="0" xfId="3" applyFont="1"/>
    <xf numFmtId="9" fontId="9" fillId="3" borderId="9" xfId="3" applyFont="1" applyFill="1" applyBorder="1" applyAlignment="1">
      <alignment horizontal="right"/>
    </xf>
    <xf numFmtId="9" fontId="9" fillId="3" borderId="3" xfId="3" applyFont="1" applyFill="1" applyBorder="1" applyAlignment="1">
      <alignment horizontal="right"/>
    </xf>
    <xf numFmtId="37" fontId="9" fillId="3" borderId="3" xfId="3" applyNumberFormat="1" applyFont="1" applyFill="1" applyBorder="1" applyAlignment="1">
      <alignment horizontal="right"/>
    </xf>
    <xf numFmtId="37" fontId="9" fillId="3" borderId="3" xfId="0" applyNumberFormat="1" applyFont="1" applyFill="1" applyBorder="1" applyAlignment="1">
      <alignment horizontal="right"/>
    </xf>
    <xf numFmtId="37" fontId="9" fillId="3" borderId="4" xfId="0" applyNumberFormat="1" applyFont="1" applyFill="1" applyBorder="1" applyAlignment="1">
      <alignment horizontal="right"/>
    </xf>
    <xf numFmtId="9" fontId="19" fillId="0" borderId="0" xfId="3" applyFont="1"/>
    <xf numFmtId="9" fontId="9" fillId="3" borderId="7" xfId="3" applyFont="1" applyFill="1" applyBorder="1" applyAlignment="1">
      <alignment horizontal="right"/>
    </xf>
    <xf numFmtId="9" fontId="9" fillId="3" borderId="1" xfId="3" applyFont="1" applyFill="1" applyBorder="1" applyAlignment="1">
      <alignment horizontal="right"/>
    </xf>
    <xf numFmtId="37" fontId="9" fillId="3" borderId="1" xfId="3" applyNumberFormat="1" applyFont="1" applyFill="1" applyBorder="1" applyAlignment="1">
      <alignment horizontal="right"/>
    </xf>
    <xf numFmtId="37" fontId="9" fillId="3" borderId="1" xfId="0" applyNumberFormat="1" applyFont="1" applyFill="1" applyBorder="1" applyAlignment="1">
      <alignment horizontal="right"/>
    </xf>
    <xf numFmtId="37" fontId="9" fillId="3" borderId="8" xfId="0" applyNumberFormat="1" applyFont="1" applyFill="1" applyBorder="1" applyAlignment="1">
      <alignment horizontal="right"/>
    </xf>
    <xf numFmtId="37" fontId="2" fillId="0" borderId="0" xfId="3" applyNumberFormat="1" applyFont="1"/>
    <xf numFmtId="165" fontId="2" fillId="0" borderId="0" xfId="3" applyNumberFormat="1" applyFont="1"/>
    <xf numFmtId="39" fontId="2" fillId="0" borderId="0" xfId="3" applyNumberFormat="1" applyFont="1"/>
    <xf numFmtId="165" fontId="21" fillId="0" borderId="0" xfId="3" applyNumberFormat="1" applyFont="1"/>
    <xf numFmtId="39" fontId="21" fillId="0" borderId="0" xfId="3" applyNumberFormat="1" applyFont="1"/>
    <xf numFmtId="0" fontId="2" fillId="0" borderId="10" xfId="0" applyFont="1" applyBorder="1"/>
    <xf numFmtId="8" fontId="9" fillId="0" borderId="10" xfId="0" applyNumberFormat="1" applyFont="1" applyBorder="1"/>
    <xf numFmtId="0" fontId="21" fillId="0" borderId="0" xfId="0" applyFont="1"/>
    <xf numFmtId="44" fontId="9" fillId="0" borderId="10" xfId="0" applyNumberFormat="1" applyFont="1" applyBorder="1"/>
    <xf numFmtId="0" fontId="2" fillId="0" borderId="11" xfId="0" applyFont="1" applyBorder="1"/>
    <xf numFmtId="44" fontId="9" fillId="0" borderId="11" xfId="1" applyFont="1" applyBorder="1"/>
    <xf numFmtId="0" fontId="9" fillId="2" borderId="12" xfId="0" applyFont="1" applyFill="1" applyBorder="1"/>
    <xf numFmtId="8" fontId="9" fillId="2" borderId="13" xfId="0" applyNumberFormat="1" applyFont="1" applyFill="1" applyBorder="1"/>
    <xf numFmtId="44" fontId="2" fillId="4" borderId="1" xfId="1" applyFont="1" applyFill="1" applyBorder="1"/>
    <xf numFmtId="8" fontId="2" fillId="4" borderId="0" xfId="0" applyNumberFormat="1" applyFont="1" applyFill="1"/>
    <xf numFmtId="44" fontId="2" fillId="4" borderId="0" xfId="1" applyFont="1" applyFill="1"/>
    <xf numFmtId="2" fontId="2" fillId="0" borderId="12" xfId="0" applyNumberFormat="1" applyFont="1" applyBorder="1"/>
    <xf numFmtId="2" fontId="2" fillId="0" borderId="13" xfId="0" applyNumberFormat="1" applyFont="1" applyBorder="1"/>
    <xf numFmtId="0" fontId="2" fillId="0" borderId="16" xfId="0" applyFont="1" applyBorder="1"/>
    <xf numFmtId="0" fontId="2" fillId="0" borderId="17" xfId="0" applyFont="1" applyBorder="1"/>
    <xf numFmtId="44" fontId="2" fillId="0" borderId="14" xfId="1" applyFont="1" applyBorder="1"/>
    <xf numFmtId="44" fontId="2" fillId="0" borderId="15" xfId="1" applyFont="1" applyBorder="1"/>
    <xf numFmtId="0" fontId="2" fillId="5" borderId="0" xfId="0" applyFont="1" applyFill="1"/>
    <xf numFmtId="44" fontId="18" fillId="5" borderId="0" xfId="1" applyFont="1" applyFill="1"/>
  </cellXfs>
  <cellStyles count="5">
    <cellStyle name="Currency" xfId="1" builtinId="4"/>
    <cellStyle name="Normal" xfId="0" builtinId="0"/>
    <cellStyle name="Normal 2" xfId="2" xr:uid="{3143FB83-52B5-4B12-A814-DC7AAEEC66E1}"/>
    <cellStyle name="Percent" xfId="4" builtinId="5"/>
    <cellStyle name="Percent 2" xfId="3" xr:uid="{4A1A72E1-B4D8-4CA4-B747-89F1976475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A285-FB1A-4F7F-A884-1A02B0A9AB22}">
  <dimension ref="A1:R31"/>
  <sheetViews>
    <sheetView tabSelected="1" zoomScale="85" zoomScaleNormal="85" workbookViewId="0">
      <selection activeCell="C27" sqref="C27"/>
    </sheetView>
  </sheetViews>
  <sheetFormatPr defaultRowHeight="14" x14ac:dyDescent="0.3"/>
  <cols>
    <col min="1" max="1" width="34.90625" style="1" bestFit="1" customWidth="1"/>
    <col min="2" max="2" width="17.54296875" style="1" bestFit="1" customWidth="1"/>
    <col min="3" max="5" width="11" style="1" bestFit="1" customWidth="1"/>
    <col min="6" max="6" width="12" style="1" bestFit="1" customWidth="1"/>
    <col min="7" max="8" width="8.7265625" style="1"/>
    <col min="9" max="9" width="30.81640625" style="1" bestFit="1" customWidth="1"/>
    <col min="10" max="10" width="9.6328125" style="1" bestFit="1" customWidth="1"/>
    <col min="11" max="12" width="11" style="1" bestFit="1" customWidth="1"/>
    <col min="13" max="13" width="13.7265625" style="1" bestFit="1" customWidth="1"/>
    <col min="14" max="14" width="11.6328125" style="1" bestFit="1" customWidth="1"/>
    <col min="15" max="15" width="11" style="1" bestFit="1" customWidth="1"/>
    <col min="16" max="18" width="10.90625" style="1" bestFit="1" customWidth="1"/>
    <col min="19" max="16384" width="8.7265625" style="1"/>
  </cols>
  <sheetData>
    <row r="1" spans="1:18" x14ac:dyDescent="0.3">
      <c r="A1" s="1" t="s">
        <v>46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I1" s="50" t="s">
        <v>72</v>
      </c>
      <c r="J1" s="51"/>
      <c r="K1" s="51"/>
      <c r="L1" s="51"/>
      <c r="M1" s="51"/>
      <c r="N1" s="51"/>
      <c r="O1" s="52"/>
    </row>
    <row r="2" spans="1:18" x14ac:dyDescent="0.3">
      <c r="A2" s="1" t="s">
        <v>0</v>
      </c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I2" s="53" t="s">
        <v>54</v>
      </c>
      <c r="J2" s="12"/>
      <c r="K2" s="12"/>
      <c r="L2" s="12"/>
      <c r="M2" s="43">
        <v>41.667318688383098</v>
      </c>
      <c r="N2" s="57">
        <f>M2/360</f>
        <v>0.11574255191217528</v>
      </c>
      <c r="O2" s="58"/>
      <c r="P2" s="11"/>
      <c r="Q2" s="11"/>
      <c r="R2" s="11"/>
    </row>
    <row r="3" spans="1:18" x14ac:dyDescent="0.3">
      <c r="A3" s="1" t="s">
        <v>1</v>
      </c>
      <c r="B3" s="2">
        <v>4194.3</v>
      </c>
      <c r="C3" s="2">
        <v>4781.5</v>
      </c>
      <c r="D3" s="2">
        <v>5379.2</v>
      </c>
      <c r="E3" s="2">
        <v>5917.2</v>
      </c>
      <c r="F3" s="2">
        <v>6331.4</v>
      </c>
      <c r="I3" s="53" t="s">
        <v>55</v>
      </c>
      <c r="J3" s="12"/>
      <c r="K3" s="12"/>
      <c r="L3" s="12"/>
      <c r="M3" s="43">
        <v>154.36021230095801</v>
      </c>
      <c r="N3" s="57">
        <f t="shared" ref="N3:N7" si="0">M3/360</f>
        <v>0.42877836750266113</v>
      </c>
      <c r="O3" s="58"/>
      <c r="P3" s="39"/>
      <c r="Q3" s="39"/>
      <c r="R3" s="39"/>
    </row>
    <row r="4" spans="1:18" x14ac:dyDescent="0.3">
      <c r="A4" s="1" t="s">
        <v>2</v>
      </c>
      <c r="B4" s="2">
        <v>314.8</v>
      </c>
      <c r="C4" s="3">
        <v>358.8</v>
      </c>
      <c r="D4" s="3">
        <v>403.7</v>
      </c>
      <c r="E4" s="3">
        <v>444.1</v>
      </c>
      <c r="F4" s="3">
        <v>475.2</v>
      </c>
      <c r="I4" s="53" t="s">
        <v>56</v>
      </c>
      <c r="J4" s="12"/>
      <c r="K4" s="12"/>
      <c r="L4" s="12"/>
      <c r="M4" s="17">
        <v>1.38067509544899E-2</v>
      </c>
      <c r="N4" s="57"/>
      <c r="O4" s="58"/>
      <c r="P4" s="39"/>
      <c r="Q4" s="39"/>
      <c r="R4" s="39"/>
    </row>
    <row r="5" spans="1:18" x14ac:dyDescent="0.3">
      <c r="A5" s="1" t="s">
        <v>53</v>
      </c>
      <c r="B5" s="2">
        <v>156</v>
      </c>
      <c r="C5" s="3">
        <v>269</v>
      </c>
      <c r="D5" s="3">
        <v>387</v>
      </c>
      <c r="E5" s="3">
        <v>570</v>
      </c>
      <c r="F5" s="3">
        <v>704</v>
      </c>
      <c r="I5" s="53" t="s">
        <v>57</v>
      </c>
      <c r="J5" s="12"/>
      <c r="K5" s="12"/>
      <c r="L5" s="12"/>
      <c r="M5" s="43">
        <v>35.536489789823698</v>
      </c>
      <c r="N5" s="57">
        <f t="shared" si="0"/>
        <v>9.8712471638399163E-2</v>
      </c>
      <c r="O5" s="58"/>
      <c r="P5" s="39"/>
      <c r="Q5" s="39"/>
      <c r="R5" s="39"/>
    </row>
    <row r="6" spans="1:18" x14ac:dyDescent="0.3">
      <c r="A6" s="4" t="s">
        <v>3</v>
      </c>
      <c r="B6" s="5">
        <f>SUM(B3:B5)</f>
        <v>4665.1000000000004</v>
      </c>
      <c r="C6" s="5">
        <f t="shared" ref="C6:F6" si="1">SUM(C3:C5)</f>
        <v>5409.3</v>
      </c>
      <c r="D6" s="5">
        <f t="shared" si="1"/>
        <v>6169.9</v>
      </c>
      <c r="E6" s="5">
        <f t="shared" si="1"/>
        <v>6931.3</v>
      </c>
      <c r="F6" s="5">
        <f t="shared" si="1"/>
        <v>7510.5999999999995</v>
      </c>
      <c r="I6" s="53" t="s">
        <v>58</v>
      </c>
      <c r="J6" s="12"/>
      <c r="K6" s="12"/>
      <c r="L6" s="12"/>
      <c r="M6" s="43">
        <v>14.0121369868444</v>
      </c>
      <c r="N6" s="57">
        <f>M6/360</f>
        <v>3.8922602741234442E-2</v>
      </c>
      <c r="O6" s="58"/>
      <c r="P6" s="40"/>
      <c r="Q6" s="40"/>
      <c r="R6" s="40"/>
    </row>
    <row r="7" spans="1:18" x14ac:dyDescent="0.3">
      <c r="A7" s="1" t="s">
        <v>4</v>
      </c>
      <c r="B7" s="3">
        <v>839.9</v>
      </c>
      <c r="C7" s="3">
        <v>956.3</v>
      </c>
      <c r="D7" s="3">
        <v>1057.8</v>
      </c>
      <c r="E7" s="3">
        <v>1183.4000000000001</v>
      </c>
      <c r="F7" s="3">
        <v>1266.3</v>
      </c>
      <c r="I7" s="54" t="s">
        <v>59</v>
      </c>
      <c r="J7" s="34"/>
      <c r="K7" s="34"/>
      <c r="L7" s="34"/>
      <c r="M7" s="59">
        <v>6.84505830201274</v>
      </c>
      <c r="N7" s="60">
        <f t="shared" si="0"/>
        <v>1.9014050838924278E-2</v>
      </c>
      <c r="O7" s="61"/>
      <c r="P7" s="39"/>
      <c r="Q7" s="39"/>
      <c r="R7" s="39"/>
    </row>
    <row r="8" spans="1:18" x14ac:dyDescent="0.3">
      <c r="A8" s="1" t="s">
        <v>5</v>
      </c>
      <c r="B8" s="3">
        <v>755.5</v>
      </c>
      <c r="C8" s="3">
        <v>861.2</v>
      </c>
      <c r="D8" s="3">
        <v>968.9</v>
      </c>
      <c r="E8" s="3">
        <v>1065.8</v>
      </c>
      <c r="F8" s="3">
        <v>1140.4000000000001</v>
      </c>
      <c r="I8" s="12"/>
      <c r="J8" s="12"/>
      <c r="P8" s="39"/>
      <c r="Q8" s="39"/>
      <c r="R8" s="39"/>
    </row>
    <row r="9" spans="1:18" ht="14.5" x14ac:dyDescent="0.35">
      <c r="A9" s="1" t="s">
        <v>6</v>
      </c>
      <c r="B9" s="3">
        <v>1803.6</v>
      </c>
      <c r="C9" s="3">
        <v>2056.1999999999998</v>
      </c>
      <c r="D9" s="3">
        <v>2313.1999999999998</v>
      </c>
      <c r="E9" s="3">
        <v>2544.5</v>
      </c>
      <c r="F9" s="3">
        <v>2722.6</v>
      </c>
      <c r="I9" s="12" t="s">
        <v>74</v>
      </c>
      <c r="J9" s="12"/>
      <c r="K9" s="1">
        <v>2008</v>
      </c>
      <c r="L9" s="1">
        <v>2009</v>
      </c>
      <c r="M9" s="1">
        <v>2010</v>
      </c>
      <c r="N9" s="1">
        <v>2011</v>
      </c>
      <c r="O9" s="1">
        <v>2012</v>
      </c>
      <c r="P9" s="42"/>
      <c r="Q9" s="42"/>
      <c r="R9" s="42"/>
    </row>
    <row r="10" spans="1:18" ht="14.5" x14ac:dyDescent="0.35">
      <c r="A10" s="1" t="s">
        <v>7</v>
      </c>
      <c r="B10" s="9">
        <v>705.2</v>
      </c>
      <c r="C10" s="9">
        <v>804</v>
      </c>
      <c r="D10" s="9">
        <v>867.4</v>
      </c>
      <c r="E10" s="9">
        <v>922.4</v>
      </c>
      <c r="F10" s="9">
        <v>952.9</v>
      </c>
      <c r="I10" s="12"/>
      <c r="J10" s="12"/>
      <c r="K10" s="9">
        <f>B7+B8+B9</f>
        <v>3399</v>
      </c>
      <c r="L10" s="9">
        <f>C7+C8+C9</f>
        <v>3873.7</v>
      </c>
      <c r="M10" s="9">
        <f>D7+D8+D9</f>
        <v>4339.8999999999996</v>
      </c>
      <c r="N10" s="9">
        <f t="shared" ref="N10:O10" si="2">E7+E8+E9</f>
        <v>4793.7</v>
      </c>
      <c r="O10" s="9">
        <f t="shared" si="2"/>
        <v>5129.2999999999993</v>
      </c>
      <c r="P10"/>
      <c r="Q10"/>
      <c r="R10"/>
    </row>
    <row r="11" spans="1:18" ht="14.5" x14ac:dyDescent="0.35">
      <c r="A11" s="4" t="s">
        <v>52</v>
      </c>
      <c r="B11" s="8">
        <v>0</v>
      </c>
      <c r="C11" s="8">
        <v>13.4</v>
      </c>
      <c r="D11" s="8">
        <v>25.8</v>
      </c>
      <c r="E11" s="8">
        <v>52.5</v>
      </c>
      <c r="F11" s="8">
        <v>76</v>
      </c>
      <c r="I11" s="12"/>
      <c r="J11" s="12"/>
      <c r="K11" s="12"/>
      <c r="L11" s="12"/>
      <c r="M11" s="43"/>
      <c r="P11" s="44"/>
      <c r="Q11" s="44"/>
      <c r="R11" s="44"/>
    </row>
    <row r="12" spans="1:18" ht="14.5" x14ac:dyDescent="0.35">
      <c r="A12" s="1" t="s">
        <v>8</v>
      </c>
      <c r="B12" s="2">
        <f>B6-SUM(B7:B10)+B11</f>
        <v>560.90000000000055</v>
      </c>
      <c r="C12" s="2">
        <f>C6-SUM(C7:C10)+C11</f>
        <v>745.00000000000034</v>
      </c>
      <c r="D12" s="2">
        <f>D6-SUM(D7:D10)+D11</f>
        <v>988.40000000000032</v>
      </c>
      <c r="E12" s="2">
        <f>E6-SUM(E7:E10)+E11</f>
        <v>1267.7000000000007</v>
      </c>
      <c r="F12" s="2">
        <f>F6-SUM(F7:F10)+F11</f>
        <v>1504.4000000000005</v>
      </c>
      <c r="J12" s="1">
        <v>2007</v>
      </c>
      <c r="K12" s="1">
        <v>2008</v>
      </c>
      <c r="L12" s="1">
        <v>2009</v>
      </c>
      <c r="M12" s="1">
        <v>2010</v>
      </c>
      <c r="N12" s="1">
        <v>2011</v>
      </c>
      <c r="O12" s="1">
        <v>2012</v>
      </c>
      <c r="P12" s="44"/>
      <c r="Q12" s="55"/>
      <c r="R12" s="55"/>
    </row>
    <row r="13" spans="1:18" ht="14.5" x14ac:dyDescent="0.35">
      <c r="A13" s="6" t="s">
        <v>9</v>
      </c>
      <c r="B13" s="7">
        <v>0.4</v>
      </c>
      <c r="C13" s="7">
        <v>0.4</v>
      </c>
      <c r="D13" s="7">
        <v>0.4</v>
      </c>
      <c r="E13" s="7">
        <v>0.4</v>
      </c>
      <c r="F13" s="7">
        <v>0.4</v>
      </c>
      <c r="I13" s="1" t="s">
        <v>60</v>
      </c>
      <c r="P13" s="44"/>
      <c r="Q13" s="55"/>
      <c r="R13" s="55"/>
    </row>
    <row r="14" spans="1:18" ht="14.5" x14ac:dyDescent="0.35">
      <c r="A14" s="4" t="s">
        <v>10</v>
      </c>
      <c r="B14" s="5">
        <f>B12*B13</f>
        <v>224.36000000000024</v>
      </c>
      <c r="C14" s="5">
        <f t="shared" ref="C14:F14" si="3">C12*C13</f>
        <v>298.00000000000017</v>
      </c>
      <c r="D14" s="5">
        <f t="shared" si="3"/>
        <v>395.36000000000013</v>
      </c>
      <c r="E14" s="5">
        <f t="shared" si="3"/>
        <v>507.08000000000033</v>
      </c>
      <c r="F14" s="5">
        <f t="shared" si="3"/>
        <v>601.76000000000022</v>
      </c>
      <c r="I14" s="1" t="s">
        <v>65</v>
      </c>
      <c r="J14" s="1">
        <v>435.5</v>
      </c>
      <c r="K14" s="3">
        <f>B6*$N$2</f>
        <v>539.95057892548891</v>
      </c>
      <c r="L14" s="3">
        <f t="shared" ref="L14:O14" si="4">C6*$N$2</f>
        <v>626.08618605852973</v>
      </c>
      <c r="M14" s="3">
        <f t="shared" si="4"/>
        <v>714.11997104293016</v>
      </c>
      <c r="N14" s="3">
        <f t="shared" si="4"/>
        <v>802.24635006886058</v>
      </c>
      <c r="O14" s="3">
        <f t="shared" si="4"/>
        <v>869.29601039158354</v>
      </c>
      <c r="P14" s="44"/>
      <c r="Q14" s="55"/>
      <c r="R14" s="55"/>
    </row>
    <row r="15" spans="1:18" ht="14.5" x14ac:dyDescent="0.35">
      <c r="A15" s="1" t="s">
        <v>11</v>
      </c>
      <c r="B15" s="2">
        <f>B12-B14</f>
        <v>336.5400000000003</v>
      </c>
      <c r="C15" s="2">
        <f t="shared" ref="C15:F15" si="5">C12-C14</f>
        <v>447.00000000000017</v>
      </c>
      <c r="D15" s="2">
        <f t="shared" si="5"/>
        <v>593.04000000000019</v>
      </c>
      <c r="E15" s="2">
        <f t="shared" si="5"/>
        <v>760.62000000000035</v>
      </c>
      <c r="F15" s="2">
        <f t="shared" si="5"/>
        <v>902.64000000000033</v>
      </c>
      <c r="I15" s="1" t="s">
        <v>66</v>
      </c>
      <c r="J15" s="1">
        <v>101</v>
      </c>
      <c r="K15" s="3">
        <f>B4*$N$3</f>
        <v>134.97943008983773</v>
      </c>
      <c r="L15" s="3">
        <f t="shared" ref="L15:O15" si="6">C4*$N$3</f>
        <v>153.84567825995481</v>
      </c>
      <c r="M15" s="3">
        <f t="shared" si="6"/>
        <v>173.09782696082431</v>
      </c>
      <c r="N15" s="3">
        <f t="shared" si="6"/>
        <v>190.4204730079318</v>
      </c>
      <c r="O15" s="3">
        <f t="shared" si="6"/>
        <v>203.75548023726455</v>
      </c>
      <c r="P15" s="44"/>
      <c r="Q15" s="55"/>
      <c r="R15" s="55"/>
    </row>
    <row r="16" spans="1:18" ht="14.5" x14ac:dyDescent="0.35">
      <c r="A16" s="1" t="s">
        <v>12</v>
      </c>
      <c r="B16" s="9">
        <v>705.2</v>
      </c>
      <c r="C16" s="9">
        <v>804</v>
      </c>
      <c r="D16" s="9">
        <v>867.4</v>
      </c>
      <c r="E16" s="9">
        <v>922.4</v>
      </c>
      <c r="F16" s="9">
        <v>952.9</v>
      </c>
      <c r="I16" s="1" t="s">
        <v>67</v>
      </c>
      <c r="J16" s="1">
        <v>41.6</v>
      </c>
      <c r="K16" s="3">
        <f>$M$4*K10</f>
        <v>46.929146494311169</v>
      </c>
      <c r="L16" s="3">
        <f>$M$4*L10</f>
        <v>53.483211172407522</v>
      </c>
      <c r="M16" s="3">
        <f t="shared" ref="M16:O16" si="7">$M$4*M10</f>
        <v>59.919918467390708</v>
      </c>
      <c r="N16" s="3">
        <f t="shared" si="7"/>
        <v>66.185422050538236</v>
      </c>
      <c r="O16" s="3">
        <f t="shared" si="7"/>
        <v>70.818967670865035</v>
      </c>
      <c r="P16" s="44"/>
      <c r="Q16" s="55"/>
      <c r="R16" s="55"/>
    </row>
    <row r="17" spans="1:18" ht="14.5" x14ac:dyDescent="0.35">
      <c r="A17" s="1" t="s">
        <v>13</v>
      </c>
      <c r="B17" s="10">
        <v>631.27446623342303</v>
      </c>
      <c r="C17" s="10">
        <v>719.65289150610204</v>
      </c>
      <c r="D17" s="10">
        <v>867.43875315467596</v>
      </c>
      <c r="E17" s="10">
        <v>970.08567227798005</v>
      </c>
      <c r="F17" s="10">
        <v>1055.0079262118199</v>
      </c>
      <c r="I17" s="56" t="s">
        <v>68</v>
      </c>
      <c r="J17" s="1">
        <v>143.4</v>
      </c>
      <c r="K17" s="3">
        <f>K10*$N$6</f>
        <v>132.29792671745588</v>
      </c>
      <c r="L17" s="3">
        <f t="shared" ref="L17:O17" si="8">L10*$N$6</f>
        <v>150.77448623871985</v>
      </c>
      <c r="M17" s="3">
        <f t="shared" si="8"/>
        <v>168.92020363668334</v>
      </c>
      <c r="N17" s="3">
        <f t="shared" si="8"/>
        <v>186.58328076065553</v>
      </c>
      <c r="O17" s="3">
        <f t="shared" si="8"/>
        <v>199.6457062406138</v>
      </c>
      <c r="Q17" s="55"/>
      <c r="R17" s="55"/>
    </row>
    <row r="18" spans="1:18" ht="14.5" x14ac:dyDescent="0.35">
      <c r="A18" s="4" t="s">
        <v>14</v>
      </c>
      <c r="B18" s="48">
        <f>K22</f>
        <v>74.708778891759451</v>
      </c>
      <c r="C18" s="48">
        <f t="shared" ref="C18:F18" si="9">L22</f>
        <v>37.194580240004882</v>
      </c>
      <c r="D18" s="48">
        <f t="shared" si="9"/>
        <v>40.692818803361547</v>
      </c>
      <c r="E18" s="48">
        <f t="shared" si="9"/>
        <v>40.627155632003905</v>
      </c>
      <c r="F18" s="48">
        <f t="shared" si="9"/>
        <v>32.446766749034509</v>
      </c>
      <c r="I18" s="56" t="s">
        <v>69</v>
      </c>
      <c r="J18" s="1">
        <v>260.8</v>
      </c>
      <c r="K18" s="3">
        <f>K10*$N$5</f>
        <v>335.52369109891873</v>
      </c>
      <c r="L18" s="3">
        <f t="shared" ref="L18:O18" si="10">L10*$N$5</f>
        <v>382.38250138566684</v>
      </c>
      <c r="M18" s="3">
        <f t="shared" si="10"/>
        <v>428.40225566348852</v>
      </c>
      <c r="N18" s="3">
        <f t="shared" si="10"/>
        <v>473.19797529299404</v>
      </c>
      <c r="O18" s="3">
        <f t="shared" si="10"/>
        <v>506.32588077484075</v>
      </c>
      <c r="Q18" s="44"/>
    </row>
    <row r="19" spans="1:18" x14ac:dyDescent="0.3">
      <c r="A19" s="85" t="s">
        <v>15</v>
      </c>
      <c r="B19" s="2">
        <f>B15+B16-B17-B18</f>
        <v>335.75675487481777</v>
      </c>
      <c r="C19" s="2">
        <f t="shared" ref="C19:F19" si="11">C15+C16-C17-C18</f>
        <v>494.15252825389331</v>
      </c>
      <c r="D19" s="2">
        <f t="shared" si="11"/>
        <v>552.30842804196254</v>
      </c>
      <c r="E19" s="2">
        <f t="shared" si="11"/>
        <v>672.30717209001648</v>
      </c>
      <c r="F19" s="2">
        <f t="shared" si="11"/>
        <v>768.08530703914596</v>
      </c>
      <c r="I19" s="56" t="s">
        <v>70</v>
      </c>
      <c r="J19" s="1">
        <v>59.2</v>
      </c>
      <c r="K19" s="3">
        <f>K10*$N$7</f>
        <v>64.628758801503622</v>
      </c>
      <c r="L19" s="3">
        <f t="shared" ref="L19:O19" si="12">L10*$N$7</f>
        <v>73.654728734740971</v>
      </c>
      <c r="M19" s="3">
        <f t="shared" si="12"/>
        <v>82.519079235847471</v>
      </c>
      <c r="N19" s="3">
        <f t="shared" si="12"/>
        <v>91.147655506551317</v>
      </c>
      <c r="O19" s="3">
        <f t="shared" si="12"/>
        <v>97.528770968094292</v>
      </c>
      <c r="P19" s="46"/>
      <c r="Q19" s="46"/>
      <c r="R19" s="46"/>
    </row>
    <row r="20" spans="1:18" x14ac:dyDescent="0.3">
      <c r="A20" s="85" t="s">
        <v>87</v>
      </c>
      <c r="F20" s="17">
        <v>0.02</v>
      </c>
      <c r="P20" s="46"/>
      <c r="Q20" s="46"/>
      <c r="R20" s="46"/>
    </row>
    <row r="21" spans="1:18" x14ac:dyDescent="0.3">
      <c r="A21" s="85" t="s">
        <v>89</v>
      </c>
      <c r="F21" s="3">
        <f>(F19*(1+F20))/(J27-F20)</f>
        <v>12718.29566850534</v>
      </c>
      <c r="I21" s="1" t="s">
        <v>71</v>
      </c>
      <c r="J21" s="1">
        <f>J14+J15+J16-J17-J18-J19</f>
        <v>114.70000000000003</v>
      </c>
      <c r="K21" s="45">
        <f>K14+K15+K16-K17-K18-K19</f>
        <v>189.40877889175948</v>
      </c>
      <c r="L21" s="45">
        <f t="shared" ref="L21:O21" si="13">L14+L15+L16-L17-L18-L19</f>
        <v>226.60335913176436</v>
      </c>
      <c r="M21" s="45">
        <f t="shared" si="13"/>
        <v>267.29617793512591</v>
      </c>
      <c r="N21" s="45">
        <f t="shared" si="13"/>
        <v>307.92333356712982</v>
      </c>
      <c r="O21" s="45">
        <f t="shared" si="13"/>
        <v>340.37010031616433</v>
      </c>
    </row>
    <row r="22" spans="1:18" x14ac:dyDescent="0.3">
      <c r="F22" s="46">
        <f>F21*((1/(1+J27))^F1)</f>
        <v>8592.0248421745709</v>
      </c>
      <c r="I22" s="12" t="s">
        <v>73</v>
      </c>
      <c r="J22" s="12"/>
      <c r="K22" s="45">
        <f>K21-J21</f>
        <v>74.708778891759451</v>
      </c>
      <c r="L22" s="45">
        <f t="shared" ref="L22:O22" si="14">L21-K21</f>
        <v>37.194580240004882</v>
      </c>
      <c r="M22" s="45">
        <f t="shared" si="14"/>
        <v>40.692818803361547</v>
      </c>
      <c r="N22" s="45">
        <f t="shared" si="14"/>
        <v>40.627155632003905</v>
      </c>
      <c r="O22" s="45">
        <f t="shared" si="14"/>
        <v>32.446766749034509</v>
      </c>
    </row>
    <row r="23" spans="1:18" ht="14.5" x14ac:dyDescent="0.35">
      <c r="A23" s="1" t="s">
        <v>92</v>
      </c>
      <c r="B23" s="2">
        <f>B19/((1+$J$27)^B1)</f>
        <v>310.42599378219103</v>
      </c>
      <c r="C23" s="2">
        <f t="shared" ref="C23:E23" si="15">C19/((1+$J$27)^C1)</f>
        <v>422.40365215936311</v>
      </c>
      <c r="D23" s="2">
        <f t="shared" si="15"/>
        <v>436.49737336474618</v>
      </c>
      <c r="E23" s="2">
        <f t="shared" si="15"/>
        <v>491.24826539875852</v>
      </c>
      <c r="F23" s="46">
        <f>F19/((1+J27)^F1)</f>
        <v>518.89091203720943</v>
      </c>
      <c r="I23" s="12"/>
      <c r="J23" s="12"/>
      <c r="K23" s="43"/>
      <c r="M23" s="49"/>
      <c r="N23" s="44"/>
      <c r="O23" s="44"/>
    </row>
    <row r="24" spans="1:18" ht="14.5" x14ac:dyDescent="0.35">
      <c r="B24" s="2"/>
      <c r="C24" s="2"/>
      <c r="D24" s="2"/>
      <c r="E24" s="2"/>
      <c r="F24" s="46"/>
      <c r="I24" s="12"/>
      <c r="J24" s="12"/>
      <c r="K24" s="43"/>
      <c r="M24" s="49"/>
      <c r="N24" s="44"/>
      <c r="O24" s="44"/>
    </row>
    <row r="25" spans="1:18" ht="14.5" x14ac:dyDescent="0.35">
      <c r="A25" s="83" t="s">
        <v>90</v>
      </c>
      <c r="B25" s="84">
        <f>SUM(B23:F23)</f>
        <v>2179.4661967422685</v>
      </c>
      <c r="I25" s="12"/>
      <c r="J25" s="12"/>
      <c r="K25" s="43"/>
      <c r="M25" s="49"/>
      <c r="N25" s="44"/>
      <c r="O25" s="44"/>
    </row>
    <row r="26" spans="1:18" ht="14.5" x14ac:dyDescent="0.35">
      <c r="A26" s="83" t="s">
        <v>93</v>
      </c>
      <c r="B26" s="86">
        <f>F22</f>
        <v>8592.0248421745709</v>
      </c>
      <c r="I26" s="12"/>
      <c r="J26" s="12"/>
      <c r="K26" s="43"/>
      <c r="M26" s="49"/>
      <c r="N26" s="44"/>
      <c r="O26" s="44"/>
    </row>
    <row r="27" spans="1:18" ht="15" thickBot="1" x14ac:dyDescent="0.4">
      <c r="A27" s="87" t="s">
        <v>91</v>
      </c>
      <c r="B27" s="88">
        <f>'PV of ITS'!L10</f>
        <v>322.10718839959435</v>
      </c>
      <c r="I27" s="12" t="s">
        <v>88</v>
      </c>
      <c r="J27" s="23">
        <v>8.1600000000000006E-2</v>
      </c>
      <c r="K27" s="43"/>
      <c r="M27" s="49"/>
    </row>
    <row r="28" spans="1:18" ht="14.5" thickBot="1" x14ac:dyDescent="0.35">
      <c r="A28" s="89" t="s">
        <v>51</v>
      </c>
      <c r="B28" s="90">
        <f>SUM(B25:B27)</f>
        <v>11093.598227316434</v>
      </c>
    </row>
    <row r="29" spans="1:18" x14ac:dyDescent="0.3">
      <c r="N29" s="46"/>
      <c r="O29" s="46"/>
    </row>
    <row r="30" spans="1:18" x14ac:dyDescent="0.3">
      <c r="M30" s="46"/>
      <c r="N30" s="46"/>
      <c r="O30" s="46"/>
    </row>
    <row r="31" spans="1:18" x14ac:dyDescent="0.3">
      <c r="B31" s="2">
        <f>B28*1000000</f>
        <v>11093598227.316433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826A-8AD5-477D-A2B2-9E94D8087EF1}">
  <dimension ref="A1:R40"/>
  <sheetViews>
    <sheetView topLeftCell="A7" zoomScale="67" zoomScaleNormal="75" workbookViewId="0">
      <selection activeCell="D48" sqref="D48"/>
    </sheetView>
  </sheetViews>
  <sheetFormatPr defaultRowHeight="14" x14ac:dyDescent="0.3"/>
  <cols>
    <col min="1" max="1" width="56" style="1" bestFit="1" customWidth="1"/>
    <col min="2" max="2" width="24.81640625" style="1" bestFit="1" customWidth="1"/>
    <col min="3" max="3" width="11" style="1" bestFit="1" customWidth="1"/>
    <col min="4" max="4" width="13.08984375" style="1" bestFit="1" customWidth="1"/>
    <col min="5" max="5" width="11" style="1" bestFit="1" customWidth="1"/>
    <col min="6" max="6" width="12" style="1" bestFit="1" customWidth="1"/>
    <col min="7" max="8" width="8.7265625" style="1"/>
    <col min="9" max="9" width="30.81640625" style="1" bestFit="1" customWidth="1"/>
    <col min="10" max="10" width="9.6328125" style="1" bestFit="1" customWidth="1"/>
    <col min="11" max="12" width="11" style="1" bestFit="1" customWidth="1"/>
    <col min="13" max="13" width="13.7265625" style="1" bestFit="1" customWidth="1"/>
    <col min="14" max="14" width="11.6328125" style="1" bestFit="1" customWidth="1"/>
    <col min="15" max="15" width="11" style="1" bestFit="1" customWidth="1"/>
    <col min="16" max="18" width="10.90625" style="1" bestFit="1" customWidth="1"/>
    <col min="19" max="16384" width="8.7265625" style="1"/>
  </cols>
  <sheetData>
    <row r="1" spans="1:18" x14ac:dyDescent="0.3">
      <c r="B1" s="1">
        <v>1</v>
      </c>
      <c r="C1" s="1">
        <v>2</v>
      </c>
      <c r="D1" s="1">
        <v>3</v>
      </c>
      <c r="E1" s="1">
        <v>4</v>
      </c>
      <c r="F1" s="1">
        <v>5</v>
      </c>
      <c r="I1" s="50" t="s">
        <v>72</v>
      </c>
      <c r="J1" s="51"/>
      <c r="K1" s="51"/>
      <c r="L1" s="51"/>
      <c r="M1" s="51"/>
      <c r="N1" s="51"/>
      <c r="O1" s="52"/>
    </row>
    <row r="2" spans="1:18" x14ac:dyDescent="0.3">
      <c r="A2" s="1" t="s">
        <v>0</v>
      </c>
      <c r="B2" s="1">
        <v>2008</v>
      </c>
      <c r="C2" s="1">
        <v>2009</v>
      </c>
      <c r="D2" s="1">
        <v>2010</v>
      </c>
      <c r="E2" s="1">
        <v>2011</v>
      </c>
      <c r="F2" s="1">
        <v>2012</v>
      </c>
      <c r="I2" s="53" t="s">
        <v>54</v>
      </c>
      <c r="J2" s="12"/>
      <c r="K2" s="12"/>
      <c r="L2" s="12"/>
      <c r="M2" s="43">
        <v>41.667318688383098</v>
      </c>
      <c r="N2" s="57">
        <f>M2/360</f>
        <v>0.11574255191217528</v>
      </c>
      <c r="O2" s="58"/>
      <c r="P2" s="11"/>
      <c r="Q2" s="11"/>
      <c r="R2" s="11"/>
    </row>
    <row r="3" spans="1:18" x14ac:dyDescent="0.3">
      <c r="A3" s="1" t="s">
        <v>1</v>
      </c>
      <c r="B3" s="2">
        <v>4194.3</v>
      </c>
      <c r="C3" s="2">
        <v>4781.5</v>
      </c>
      <c r="D3" s="2">
        <v>5379.2</v>
      </c>
      <c r="E3" s="2">
        <v>5917.2</v>
      </c>
      <c r="F3" s="2">
        <v>6331.4</v>
      </c>
      <c r="I3" s="53" t="s">
        <v>55</v>
      </c>
      <c r="J3" s="12"/>
      <c r="K3" s="12"/>
      <c r="L3" s="12"/>
      <c r="M3" s="43">
        <v>154.36021230095801</v>
      </c>
      <c r="N3" s="57">
        <f t="shared" ref="N3:N7" si="0">M3/360</f>
        <v>0.42877836750266113</v>
      </c>
      <c r="O3" s="58"/>
      <c r="P3" s="39"/>
      <c r="Q3" s="39"/>
      <c r="R3" s="39"/>
    </row>
    <row r="4" spans="1:18" x14ac:dyDescent="0.3">
      <c r="A4" s="1" t="s">
        <v>2</v>
      </c>
      <c r="B4" s="2">
        <v>314.8</v>
      </c>
      <c r="C4" s="3">
        <v>358.8</v>
      </c>
      <c r="D4" s="3">
        <v>403.7</v>
      </c>
      <c r="E4" s="3">
        <v>444.1</v>
      </c>
      <c r="F4" s="3">
        <v>475.2</v>
      </c>
      <c r="I4" s="53" t="s">
        <v>56</v>
      </c>
      <c r="J4" s="12"/>
      <c r="K4" s="12"/>
      <c r="L4" s="12"/>
      <c r="M4" s="17">
        <v>1.38067509544899E-2</v>
      </c>
      <c r="N4" s="57"/>
      <c r="O4" s="58"/>
      <c r="P4" s="39"/>
      <c r="Q4" s="39"/>
      <c r="R4" s="39"/>
    </row>
    <row r="5" spans="1:18" x14ac:dyDescent="0.3">
      <c r="A5" s="1" t="s">
        <v>53</v>
      </c>
      <c r="B5" s="92"/>
      <c r="C5" s="93"/>
      <c r="D5" s="93"/>
      <c r="E5" s="93"/>
      <c r="F5" s="93"/>
      <c r="I5" s="53" t="s">
        <v>57</v>
      </c>
      <c r="J5" s="12"/>
      <c r="K5" s="12"/>
      <c r="L5" s="12"/>
      <c r="M5" s="43">
        <v>35.536489789823698</v>
      </c>
      <c r="N5" s="57">
        <f t="shared" si="0"/>
        <v>9.8712471638399163E-2</v>
      </c>
      <c r="O5" s="58"/>
      <c r="P5" s="39"/>
      <c r="Q5" s="39"/>
      <c r="R5" s="39"/>
    </row>
    <row r="6" spans="1:18" x14ac:dyDescent="0.3">
      <c r="A6" s="4" t="s">
        <v>3</v>
      </c>
      <c r="B6" s="5">
        <f>SUM(B3:B5)</f>
        <v>4509.1000000000004</v>
      </c>
      <c r="C6" s="5">
        <f t="shared" ref="C6:F6" si="1">SUM(C3:C5)</f>
        <v>5140.3</v>
      </c>
      <c r="D6" s="5">
        <f t="shared" si="1"/>
        <v>5782.9</v>
      </c>
      <c r="E6" s="5">
        <f t="shared" si="1"/>
        <v>6361.3</v>
      </c>
      <c r="F6" s="5">
        <f t="shared" si="1"/>
        <v>6806.5999999999995</v>
      </c>
      <c r="I6" s="53" t="s">
        <v>58</v>
      </c>
      <c r="J6" s="12"/>
      <c r="K6" s="12"/>
      <c r="L6" s="12"/>
      <c r="M6" s="43">
        <v>14.0121369868444</v>
      </c>
      <c r="N6" s="57">
        <f>M6/360</f>
        <v>3.8922602741234442E-2</v>
      </c>
      <c r="O6" s="58"/>
      <c r="P6" s="40"/>
      <c r="Q6" s="40"/>
      <c r="R6" s="40"/>
    </row>
    <row r="7" spans="1:18" x14ac:dyDescent="0.3">
      <c r="A7" s="1" t="s">
        <v>4</v>
      </c>
      <c r="B7" s="3">
        <v>839.9</v>
      </c>
      <c r="C7" s="3">
        <v>956.3</v>
      </c>
      <c r="D7" s="3">
        <v>1057.8</v>
      </c>
      <c r="E7" s="3">
        <v>1183.4000000000001</v>
      </c>
      <c r="F7" s="3">
        <v>1266.3</v>
      </c>
      <c r="I7" s="54" t="s">
        <v>59</v>
      </c>
      <c r="J7" s="34"/>
      <c r="K7" s="34"/>
      <c r="L7" s="34"/>
      <c r="M7" s="59">
        <v>6.84505830201274</v>
      </c>
      <c r="N7" s="60">
        <f t="shared" si="0"/>
        <v>1.9014050838924278E-2</v>
      </c>
      <c r="O7" s="61"/>
      <c r="P7" s="39"/>
      <c r="Q7" s="39"/>
      <c r="R7" s="39"/>
    </row>
    <row r="8" spans="1:18" x14ac:dyDescent="0.3">
      <c r="A8" s="1" t="s">
        <v>5</v>
      </c>
      <c r="B8" s="3">
        <v>755.5</v>
      </c>
      <c r="C8" s="3">
        <v>861.2</v>
      </c>
      <c r="D8" s="3">
        <v>968.9</v>
      </c>
      <c r="E8" s="3">
        <v>1065.8</v>
      </c>
      <c r="F8" s="3">
        <v>1140.4000000000001</v>
      </c>
      <c r="I8" s="12"/>
      <c r="J8" s="12"/>
      <c r="P8" s="39"/>
      <c r="Q8" s="39"/>
      <c r="R8" s="39"/>
    </row>
    <row r="9" spans="1:18" ht="14.5" x14ac:dyDescent="0.35">
      <c r="A9" s="1" t="s">
        <v>6</v>
      </c>
      <c r="B9" s="3">
        <v>1803.6</v>
      </c>
      <c r="C9" s="3">
        <v>2056.1999999999998</v>
      </c>
      <c r="D9" s="3">
        <v>2313.1999999999998</v>
      </c>
      <c r="E9" s="3">
        <v>2544.5</v>
      </c>
      <c r="F9" s="3">
        <v>2722.6</v>
      </c>
      <c r="I9" s="12" t="s">
        <v>74</v>
      </c>
      <c r="J9" s="12"/>
      <c r="K9" s="1">
        <v>2008</v>
      </c>
      <c r="L9" s="1">
        <v>2009</v>
      </c>
      <c r="M9" s="1">
        <v>2010</v>
      </c>
      <c r="N9" s="1">
        <v>2011</v>
      </c>
      <c r="O9" s="1">
        <v>2012</v>
      </c>
      <c r="P9" s="42"/>
      <c r="Q9" s="42"/>
      <c r="R9" s="42"/>
    </row>
    <row r="10" spans="1:18" ht="14.5" x14ac:dyDescent="0.35">
      <c r="A10" s="1" t="s">
        <v>7</v>
      </c>
      <c r="B10" s="9">
        <v>705.2</v>
      </c>
      <c r="C10" s="9">
        <v>804</v>
      </c>
      <c r="D10" s="9">
        <v>867.4</v>
      </c>
      <c r="E10" s="9">
        <v>922.4</v>
      </c>
      <c r="F10" s="9">
        <v>952.9</v>
      </c>
      <c r="I10" s="12"/>
      <c r="J10" s="12"/>
      <c r="K10" s="9">
        <f>B7+B8+B9</f>
        <v>3399</v>
      </c>
      <c r="L10" s="9">
        <f>C7+C8+C9</f>
        <v>3873.7</v>
      </c>
      <c r="M10" s="9">
        <f>D7+D8+D9</f>
        <v>4339.8999999999996</v>
      </c>
      <c r="N10" s="9">
        <f t="shared" ref="N10:O10" si="2">E7+E8+E9</f>
        <v>4793.7</v>
      </c>
      <c r="O10" s="9">
        <f t="shared" si="2"/>
        <v>5129.2999999999993</v>
      </c>
      <c r="P10"/>
      <c r="Q10"/>
      <c r="R10"/>
    </row>
    <row r="11" spans="1:18" ht="14.5" x14ac:dyDescent="0.35">
      <c r="A11" s="4" t="s">
        <v>52</v>
      </c>
      <c r="B11" s="91"/>
      <c r="C11" s="91"/>
      <c r="D11" s="91"/>
      <c r="E11" s="91"/>
      <c r="F11" s="91"/>
      <c r="I11" s="12"/>
      <c r="J11" s="12"/>
      <c r="K11" s="12"/>
      <c r="L11" s="12"/>
      <c r="M11" s="43"/>
      <c r="P11" s="44"/>
      <c r="Q11" s="44"/>
      <c r="R11" s="44"/>
    </row>
    <row r="12" spans="1:18" ht="14.5" x14ac:dyDescent="0.35">
      <c r="A12" s="1" t="s">
        <v>8</v>
      </c>
      <c r="B12" s="2">
        <f>B6-SUM(B7:B10)+B11</f>
        <v>404.90000000000055</v>
      </c>
      <c r="C12" s="2">
        <f>C6-SUM(C7:C10)+C11</f>
        <v>462.60000000000036</v>
      </c>
      <c r="D12" s="2">
        <f>D6-SUM(D7:D10)+D11</f>
        <v>575.60000000000036</v>
      </c>
      <c r="E12" s="2">
        <f>E6-SUM(E7:E10)+E11</f>
        <v>645.20000000000073</v>
      </c>
      <c r="F12" s="2">
        <f>F6-SUM(F7:F10)+F11</f>
        <v>724.40000000000055</v>
      </c>
      <c r="J12" s="1">
        <v>2007</v>
      </c>
      <c r="K12" s="1">
        <v>2008</v>
      </c>
      <c r="L12" s="1">
        <v>2009</v>
      </c>
      <c r="M12" s="1">
        <v>2010</v>
      </c>
      <c r="N12" s="1">
        <v>2011</v>
      </c>
      <c r="O12" s="1">
        <v>2012</v>
      </c>
      <c r="P12" s="44"/>
      <c r="Q12" s="55"/>
      <c r="R12" s="55"/>
    </row>
    <row r="13" spans="1:18" ht="14.5" x14ac:dyDescent="0.35">
      <c r="A13" s="6" t="s">
        <v>9</v>
      </c>
      <c r="B13" s="7">
        <v>0.4</v>
      </c>
      <c r="C13" s="7">
        <v>0.4</v>
      </c>
      <c r="D13" s="7">
        <v>0.4</v>
      </c>
      <c r="E13" s="7">
        <v>0.4</v>
      </c>
      <c r="F13" s="7">
        <v>0.4</v>
      </c>
      <c r="I13" s="1" t="s">
        <v>60</v>
      </c>
      <c r="P13" s="44"/>
      <c r="Q13" s="55"/>
      <c r="R13" s="55"/>
    </row>
    <row r="14" spans="1:18" ht="14.5" x14ac:dyDescent="0.35">
      <c r="A14" s="4" t="s">
        <v>10</v>
      </c>
      <c r="B14" s="5">
        <f>B12*B13</f>
        <v>161.96000000000024</v>
      </c>
      <c r="C14" s="5">
        <f t="shared" ref="C14:F14" si="3">C12*C13</f>
        <v>185.04000000000016</v>
      </c>
      <c r="D14" s="5">
        <f t="shared" si="3"/>
        <v>230.24000000000015</v>
      </c>
      <c r="E14" s="5">
        <f t="shared" si="3"/>
        <v>258.08000000000033</v>
      </c>
      <c r="F14" s="5">
        <f t="shared" si="3"/>
        <v>289.76000000000022</v>
      </c>
      <c r="I14" s="1" t="s">
        <v>65</v>
      </c>
      <c r="J14" s="1">
        <v>435.5</v>
      </c>
      <c r="K14" s="3">
        <f>B6*$N$2</f>
        <v>521.89474082718959</v>
      </c>
      <c r="L14" s="3">
        <f t="shared" ref="L14:O14" si="4">C6*$N$2</f>
        <v>594.95143959415464</v>
      </c>
      <c r="M14" s="3">
        <f t="shared" si="4"/>
        <v>669.32760345291842</v>
      </c>
      <c r="N14" s="3">
        <f t="shared" si="4"/>
        <v>736.2730954789206</v>
      </c>
      <c r="O14" s="3">
        <f t="shared" si="4"/>
        <v>787.81325384541219</v>
      </c>
      <c r="P14" s="44"/>
      <c r="Q14" s="55"/>
      <c r="R14" s="55"/>
    </row>
    <row r="15" spans="1:18" ht="14.5" x14ac:dyDescent="0.35">
      <c r="A15" s="1" t="s">
        <v>11</v>
      </c>
      <c r="B15" s="2">
        <f>B12-B14</f>
        <v>242.94000000000031</v>
      </c>
      <c r="C15" s="2">
        <f t="shared" ref="C15:F15" si="5">C12-C14</f>
        <v>277.56000000000017</v>
      </c>
      <c r="D15" s="2">
        <f t="shared" si="5"/>
        <v>345.36000000000024</v>
      </c>
      <c r="E15" s="2">
        <f t="shared" si="5"/>
        <v>387.1200000000004</v>
      </c>
      <c r="F15" s="2">
        <f t="shared" si="5"/>
        <v>434.64000000000033</v>
      </c>
      <c r="I15" s="1" t="s">
        <v>66</v>
      </c>
      <c r="J15" s="1">
        <v>101</v>
      </c>
      <c r="K15" s="3">
        <f>B4*$N$3</f>
        <v>134.97943008983773</v>
      </c>
      <c r="L15" s="3">
        <f t="shared" ref="L15:O15" si="6">C4*$N$3</f>
        <v>153.84567825995481</v>
      </c>
      <c r="M15" s="3">
        <f t="shared" si="6"/>
        <v>173.09782696082431</v>
      </c>
      <c r="N15" s="3">
        <f t="shared" si="6"/>
        <v>190.4204730079318</v>
      </c>
      <c r="O15" s="3">
        <f t="shared" si="6"/>
        <v>203.75548023726455</v>
      </c>
      <c r="P15" s="44"/>
      <c r="Q15" s="55"/>
      <c r="R15" s="55"/>
    </row>
    <row r="16" spans="1:18" ht="14.5" x14ac:dyDescent="0.35">
      <c r="A16" s="1" t="s">
        <v>12</v>
      </c>
      <c r="B16" s="9">
        <v>705.2</v>
      </c>
      <c r="C16" s="9">
        <v>804</v>
      </c>
      <c r="D16" s="9">
        <v>867.4</v>
      </c>
      <c r="E16" s="9">
        <v>922.4</v>
      </c>
      <c r="F16" s="9">
        <v>952.9</v>
      </c>
      <c r="I16" s="1" t="s">
        <v>67</v>
      </c>
      <c r="J16" s="1">
        <v>41.6</v>
      </c>
      <c r="K16" s="3">
        <f>$M$4*K10</f>
        <v>46.929146494311169</v>
      </c>
      <c r="L16" s="3">
        <f t="shared" ref="L16:O16" si="7">$M$4*L10</f>
        <v>53.483211172407522</v>
      </c>
      <c r="M16" s="3">
        <f t="shared" si="7"/>
        <v>59.919918467390708</v>
      </c>
      <c r="N16" s="3">
        <f t="shared" si="7"/>
        <v>66.185422050538236</v>
      </c>
      <c r="O16" s="3">
        <f t="shared" si="7"/>
        <v>70.818967670865035</v>
      </c>
      <c r="P16" s="44"/>
      <c r="Q16" s="55"/>
      <c r="R16" s="55"/>
    </row>
    <row r="17" spans="1:18" ht="14.5" x14ac:dyDescent="0.35">
      <c r="A17" s="1" t="s">
        <v>13</v>
      </c>
      <c r="B17" s="10">
        <v>631.27446623342303</v>
      </c>
      <c r="C17" s="10">
        <v>719.65289150610204</v>
      </c>
      <c r="D17" s="10">
        <v>867.43875315467596</v>
      </c>
      <c r="E17" s="10">
        <v>970.08567227798005</v>
      </c>
      <c r="F17" s="10">
        <v>1055.0079262118199</v>
      </c>
      <c r="I17" s="56" t="s">
        <v>68</v>
      </c>
      <c r="J17" s="1">
        <v>143.4</v>
      </c>
      <c r="K17" s="3">
        <f>K10*$N$6</f>
        <v>132.29792671745588</v>
      </c>
      <c r="L17" s="3">
        <f t="shared" ref="L17:O17" si="8">L10*$N$6</f>
        <v>150.77448623871985</v>
      </c>
      <c r="M17" s="3">
        <f t="shared" si="8"/>
        <v>168.92020363668334</v>
      </c>
      <c r="N17" s="3">
        <f t="shared" si="8"/>
        <v>186.58328076065553</v>
      </c>
      <c r="O17" s="3">
        <f t="shared" si="8"/>
        <v>199.6457062406138</v>
      </c>
      <c r="Q17" s="55"/>
      <c r="R17" s="55"/>
    </row>
    <row r="18" spans="1:18" ht="14.5" x14ac:dyDescent="0.35">
      <c r="A18" s="4" t="s">
        <v>14</v>
      </c>
      <c r="B18" s="48">
        <f>K22</f>
        <v>56.652940793460132</v>
      </c>
      <c r="C18" s="48">
        <f t="shared" ref="C18:E18" si="9">L22</f>
        <v>24.115671873929216</v>
      </c>
      <c r="D18" s="48">
        <f t="shared" si="9"/>
        <v>27.035197677724796</v>
      </c>
      <c r="E18" s="48">
        <f t="shared" si="9"/>
        <v>19.446268632075657</v>
      </c>
      <c r="F18" s="48">
        <f>O22</f>
        <v>16.937264792803035</v>
      </c>
      <c r="I18" s="56" t="s">
        <v>69</v>
      </c>
      <c r="J18" s="1">
        <v>260.8</v>
      </c>
      <c r="K18" s="3">
        <f>K10*$N$5</f>
        <v>335.52369109891873</v>
      </c>
      <c r="L18" s="3">
        <f t="shared" ref="L18:O18" si="10">L10*$N$5</f>
        <v>382.38250138566684</v>
      </c>
      <c r="M18" s="3">
        <f t="shared" si="10"/>
        <v>428.40225566348852</v>
      </c>
      <c r="N18" s="3">
        <f t="shared" si="10"/>
        <v>473.19797529299404</v>
      </c>
      <c r="O18" s="3">
        <f t="shared" si="10"/>
        <v>506.32588077484075</v>
      </c>
      <c r="Q18" s="44"/>
    </row>
    <row r="19" spans="1:18" x14ac:dyDescent="0.3">
      <c r="A19" s="85" t="s">
        <v>15</v>
      </c>
      <c r="B19" s="2">
        <f>B15+B16-B17-B18</f>
        <v>260.21259297311718</v>
      </c>
      <c r="C19" s="2">
        <f t="shared" ref="C19:F19" si="11">C15+C16-C17-C18</f>
        <v>337.79143661996892</v>
      </c>
      <c r="D19" s="2">
        <f t="shared" si="11"/>
        <v>318.28604916759946</v>
      </c>
      <c r="E19" s="2">
        <f t="shared" si="11"/>
        <v>319.98805908994473</v>
      </c>
      <c r="F19" s="2">
        <f t="shared" si="11"/>
        <v>315.59480899537743</v>
      </c>
      <c r="I19" s="56" t="s">
        <v>70</v>
      </c>
      <c r="J19" s="1">
        <v>59.2</v>
      </c>
      <c r="K19" s="3">
        <f>K10*$N$7</f>
        <v>64.628758801503622</v>
      </c>
      <c r="L19" s="3">
        <f t="shared" ref="L19:O19" si="12">L10*$N$7</f>
        <v>73.654728734740971</v>
      </c>
      <c r="M19" s="3">
        <f t="shared" si="12"/>
        <v>82.519079235847471</v>
      </c>
      <c r="N19" s="3">
        <f t="shared" si="12"/>
        <v>91.147655506551317</v>
      </c>
      <c r="O19" s="3">
        <f t="shared" si="12"/>
        <v>97.528770968094292</v>
      </c>
      <c r="P19" s="46"/>
      <c r="Q19" s="46"/>
      <c r="R19" s="46"/>
    </row>
    <row r="20" spans="1:18" x14ac:dyDescent="0.3">
      <c r="A20" s="85" t="s">
        <v>87</v>
      </c>
      <c r="F20" s="17">
        <v>0.02</v>
      </c>
      <c r="P20" s="46"/>
      <c r="Q20" s="46"/>
      <c r="R20" s="46"/>
    </row>
    <row r="21" spans="1:18" x14ac:dyDescent="0.3">
      <c r="A21" s="85" t="s">
        <v>89</v>
      </c>
      <c r="F21" s="3">
        <f>(F19*(1+F20))/(J27-F20)</f>
        <v>5225.7582008974832</v>
      </c>
      <c r="I21" s="1" t="s">
        <v>71</v>
      </c>
      <c r="J21" s="1">
        <f>J14+J15+J16-J17-J18-J19</f>
        <v>114.70000000000003</v>
      </c>
      <c r="K21" s="45">
        <f>K14+K15+K16-K17-K18-K19</f>
        <v>171.35294079346016</v>
      </c>
      <c r="L21" s="45">
        <f t="shared" ref="L21:N21" si="13">L14+L15+L16-L17-L18-L19</f>
        <v>195.46861266738938</v>
      </c>
      <c r="M21" s="45">
        <f t="shared" si="13"/>
        <v>222.50381034511418</v>
      </c>
      <c r="N21" s="45">
        <f t="shared" si="13"/>
        <v>241.95007897718983</v>
      </c>
      <c r="O21" s="45">
        <f>O14+O15+O16-O17-O18-O19</f>
        <v>258.88734376999287</v>
      </c>
    </row>
    <row r="22" spans="1:18" x14ac:dyDescent="0.3">
      <c r="F22" s="46">
        <f>F21*((1/(1+J27))^F1)</f>
        <v>3530.3349954739119</v>
      </c>
      <c r="I22" s="12" t="s">
        <v>73</v>
      </c>
      <c r="J22" s="12"/>
      <c r="K22" s="45">
        <f>K21-J21</f>
        <v>56.652940793460132</v>
      </c>
      <c r="L22" s="45">
        <f t="shared" ref="L22:O22" si="14">L21-K21</f>
        <v>24.115671873929216</v>
      </c>
      <c r="M22" s="45">
        <f t="shared" si="14"/>
        <v>27.035197677724796</v>
      </c>
      <c r="N22" s="45">
        <f t="shared" si="14"/>
        <v>19.446268632075657</v>
      </c>
      <c r="O22" s="45">
        <f t="shared" si="14"/>
        <v>16.937264792803035</v>
      </c>
    </row>
    <row r="23" spans="1:18" ht="14.5" x14ac:dyDescent="0.35">
      <c r="A23" s="1" t="s">
        <v>92</v>
      </c>
      <c r="B23" s="2">
        <f>B19/((1+$J$27)^B1)</f>
        <v>240.58116953875481</v>
      </c>
      <c r="C23" s="2">
        <f t="shared" ref="C23:E23" si="15">C19/((1+$J$27)^C1)</f>
        <v>288.74553571670151</v>
      </c>
      <c r="D23" s="2">
        <f t="shared" si="15"/>
        <v>251.54608799441334</v>
      </c>
      <c r="E23" s="2">
        <f t="shared" si="15"/>
        <v>233.8121404946188</v>
      </c>
      <c r="F23" s="46">
        <f>F19/((1+J27)^F1)</f>
        <v>213.20454482469904</v>
      </c>
      <c r="I23" s="12"/>
      <c r="J23" s="12"/>
      <c r="K23" s="43"/>
      <c r="M23" s="49"/>
      <c r="N23" s="44"/>
      <c r="O23" s="44"/>
    </row>
    <row r="24" spans="1:18" ht="14.5" x14ac:dyDescent="0.35">
      <c r="B24" s="2"/>
      <c r="C24" s="2"/>
      <c r="D24" s="2"/>
      <c r="E24" s="2"/>
      <c r="F24" s="46"/>
      <c r="I24" s="12"/>
      <c r="J24" s="12"/>
      <c r="K24" s="43"/>
      <c r="M24" s="49"/>
      <c r="N24" s="44"/>
      <c r="O24" s="44"/>
    </row>
    <row r="25" spans="1:18" ht="14.5" x14ac:dyDescent="0.35">
      <c r="A25" s="83" t="s">
        <v>90</v>
      </c>
      <c r="B25" s="84">
        <f>SUM(B23:F23)</f>
        <v>1227.8894785691875</v>
      </c>
      <c r="I25" s="12"/>
      <c r="J25" s="12"/>
      <c r="K25" s="43"/>
      <c r="M25" s="49"/>
      <c r="N25" s="44"/>
      <c r="O25" s="44"/>
    </row>
    <row r="26" spans="1:18" ht="14.5" x14ac:dyDescent="0.35">
      <c r="A26" s="83" t="s">
        <v>93</v>
      </c>
      <c r="B26" s="86">
        <f>F22</f>
        <v>3530.3349954739119</v>
      </c>
      <c r="I26" s="12"/>
      <c r="J26" s="12"/>
      <c r="K26" s="43"/>
      <c r="M26" s="49"/>
      <c r="N26" s="44"/>
      <c r="O26" s="44"/>
    </row>
    <row r="27" spans="1:18" ht="15" thickBot="1" x14ac:dyDescent="0.4">
      <c r="A27" s="87" t="s">
        <v>91</v>
      </c>
      <c r="B27" s="88">
        <f>'PV of ITS'!L10</f>
        <v>322.10718839959435</v>
      </c>
      <c r="I27" s="12" t="s">
        <v>88</v>
      </c>
      <c r="J27" s="23">
        <v>8.1600000000000006E-2</v>
      </c>
      <c r="K27" s="43"/>
      <c r="M27" s="49"/>
    </row>
    <row r="28" spans="1:18" ht="14.5" thickBot="1" x14ac:dyDescent="0.35">
      <c r="A28" s="89" t="s">
        <v>51</v>
      </c>
      <c r="B28" s="90">
        <f>SUM(B25:B27)</f>
        <v>5080.3316624426943</v>
      </c>
    </row>
    <row r="29" spans="1:18" x14ac:dyDescent="0.3">
      <c r="N29" s="46"/>
      <c r="O29" s="46"/>
    </row>
    <row r="30" spans="1:18" x14ac:dyDescent="0.3">
      <c r="M30" s="46"/>
      <c r="N30" s="46"/>
      <c r="O30" s="46"/>
    </row>
    <row r="32" spans="1:18" x14ac:dyDescent="0.3">
      <c r="B32" s="2"/>
    </row>
    <row r="38" spans="1:4" x14ac:dyDescent="0.3">
      <c r="A38" s="100" t="s">
        <v>106</v>
      </c>
      <c r="B38" s="101">
        <v>11093598227.32</v>
      </c>
    </row>
    <row r="39" spans="1:4" x14ac:dyDescent="0.3">
      <c r="A39" s="100" t="s">
        <v>107</v>
      </c>
      <c r="B39" s="101">
        <v>5080331662.4399996</v>
      </c>
    </row>
    <row r="40" spans="1:4" x14ac:dyDescent="0.3">
      <c r="A40" s="100" t="s">
        <v>108</v>
      </c>
      <c r="B40" s="101">
        <f>D40</f>
        <v>12812150000</v>
      </c>
      <c r="D40" s="1">
        <f>12812.15*1000000</f>
        <v>12812150000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E5C64-0604-4FDA-AB4C-58266E636CB0}">
  <dimension ref="A1:J20"/>
  <sheetViews>
    <sheetView zoomScale="70" zoomScaleNormal="70" workbookViewId="0">
      <selection activeCell="G11" sqref="G11"/>
    </sheetView>
  </sheetViews>
  <sheetFormatPr defaultRowHeight="14" x14ac:dyDescent="0.3"/>
  <cols>
    <col min="1" max="2" width="8.7265625" style="1"/>
    <col min="3" max="3" width="26.08984375" style="1" bestFit="1" customWidth="1"/>
    <col min="4" max="4" width="31.6328125" style="1" bestFit="1" customWidth="1"/>
    <col min="5" max="5" width="32.90625" style="1" bestFit="1" customWidth="1"/>
    <col min="6" max="6" width="26.90625" style="1" bestFit="1" customWidth="1"/>
    <col min="7" max="7" width="30.54296875" style="1" bestFit="1" customWidth="1"/>
    <col min="8" max="8" width="8.7265625" style="1"/>
    <col min="9" max="9" width="41" style="1" customWidth="1"/>
    <col min="10" max="16384" width="8.7265625" style="1"/>
  </cols>
  <sheetData>
    <row r="1" spans="1:10" x14ac:dyDescent="0.3">
      <c r="A1" s="1" t="s">
        <v>16</v>
      </c>
    </row>
    <row r="3" spans="1:10" x14ac:dyDescent="0.3">
      <c r="D3" s="6" t="s">
        <v>17</v>
      </c>
      <c r="E3" s="6" t="s">
        <v>18</v>
      </c>
      <c r="F3" s="6" t="s">
        <v>19</v>
      </c>
      <c r="G3" s="6" t="s">
        <v>20</v>
      </c>
      <c r="I3" s="16" t="s">
        <v>33</v>
      </c>
    </row>
    <row r="4" spans="1:10" x14ac:dyDescent="0.3">
      <c r="C4" s="13" t="s">
        <v>25</v>
      </c>
      <c r="D4" s="1" t="s">
        <v>21</v>
      </c>
      <c r="E4" s="1" t="s">
        <v>22</v>
      </c>
      <c r="F4" s="1" t="s">
        <v>23</v>
      </c>
      <c r="G4" s="1" t="s">
        <v>24</v>
      </c>
      <c r="I4" s="1" t="s">
        <v>34</v>
      </c>
      <c r="J4" s="17">
        <v>4.2500000000000003E-2</v>
      </c>
    </row>
    <row r="5" spans="1:10" ht="15.5" x14ac:dyDescent="0.35">
      <c r="C5" s="14" t="s">
        <v>26</v>
      </c>
      <c r="D5" s="18">
        <v>0.86</v>
      </c>
      <c r="E5" s="19">
        <v>0.58339095159368204</v>
      </c>
      <c r="F5" s="20">
        <v>0.3</v>
      </c>
      <c r="G5" s="20">
        <f>(D5/(1+E5)) + ((F5*E5)/(1+E5))</f>
        <v>0.65367134025640361</v>
      </c>
      <c r="I5" s="1" t="s">
        <v>35</v>
      </c>
      <c r="J5" s="7">
        <v>0.05</v>
      </c>
    </row>
    <row r="6" spans="1:10" ht="15.5" x14ac:dyDescent="0.35">
      <c r="C6" s="15" t="s">
        <v>27</v>
      </c>
      <c r="D6" s="18">
        <v>0.89</v>
      </c>
      <c r="E6" s="19">
        <v>0.41880652612928299</v>
      </c>
      <c r="F6" s="20">
        <v>0.3</v>
      </c>
      <c r="G6" s="20">
        <f t="shared" ref="G6:G9" si="0">(D6/(1+E6)) + ((F6*E6)/(1+E6))</f>
        <v>0.71584246275608032</v>
      </c>
      <c r="I6" s="1" t="s">
        <v>37</v>
      </c>
      <c r="J6" s="17">
        <v>5.5E-2</v>
      </c>
    </row>
    <row r="7" spans="1:10" ht="15.5" x14ac:dyDescent="0.35">
      <c r="C7" s="15" t="s">
        <v>28</v>
      </c>
      <c r="D7" s="18">
        <v>1.17</v>
      </c>
      <c r="E7" s="19">
        <v>0.24099999999999999</v>
      </c>
      <c r="F7" s="20">
        <v>0.3</v>
      </c>
      <c r="G7" s="20">
        <f t="shared" si="0"/>
        <v>1.001047542304593</v>
      </c>
      <c r="I7" s="1" t="s">
        <v>9</v>
      </c>
      <c r="J7" s="7">
        <v>0.4</v>
      </c>
    </row>
    <row r="8" spans="1:10" ht="15.5" x14ac:dyDescent="0.35">
      <c r="C8" s="14" t="s">
        <v>29</v>
      </c>
      <c r="D8" s="18">
        <v>0.97</v>
      </c>
      <c r="E8" s="19">
        <v>0.31709999999999999</v>
      </c>
      <c r="F8" s="20">
        <v>0.3</v>
      </c>
      <c r="G8" s="20">
        <f t="shared" si="0"/>
        <v>0.80869334143193372</v>
      </c>
      <c r="I8" s="1" t="s">
        <v>61</v>
      </c>
      <c r="J8" s="7">
        <v>0.5</v>
      </c>
    </row>
    <row r="9" spans="1:10" ht="15.5" x14ac:dyDescent="0.35">
      <c r="C9" s="15" t="s">
        <v>30</v>
      </c>
      <c r="D9" s="18">
        <v>1.1299999999999999</v>
      </c>
      <c r="E9" s="21">
        <v>0.44399999999999901</v>
      </c>
      <c r="F9" s="20">
        <v>0.3</v>
      </c>
      <c r="G9" s="20">
        <f t="shared" si="0"/>
        <v>0.87479224376731324</v>
      </c>
      <c r="I9" s="1" t="s">
        <v>62</v>
      </c>
      <c r="J9" s="7">
        <v>1</v>
      </c>
    </row>
    <row r="11" spans="1:10" x14ac:dyDescent="0.3">
      <c r="F11" s="1" t="s">
        <v>31</v>
      </c>
      <c r="G11" s="16">
        <f>AVERAGE(G5:G9)</f>
        <v>0.81080938610326481</v>
      </c>
    </row>
    <row r="13" spans="1:10" x14ac:dyDescent="0.3">
      <c r="C13" s="16" t="s">
        <v>75</v>
      </c>
      <c r="D13" s="22">
        <f>G13*(1+E13) - (F13*E13)</f>
        <v>1.0662140791548973</v>
      </c>
      <c r="E13" s="7">
        <f>J8</f>
        <v>0.5</v>
      </c>
      <c r="F13" s="1">
        <v>0.3</v>
      </c>
      <c r="G13" s="1">
        <f>G11</f>
        <v>0.81080938610326481</v>
      </c>
    </row>
    <row r="14" spans="1:10" x14ac:dyDescent="0.3">
      <c r="C14" s="1" t="s">
        <v>36</v>
      </c>
      <c r="D14" s="17">
        <f>J4+(D13*J5)</f>
        <v>9.581070395774488E-2</v>
      </c>
    </row>
    <row r="15" spans="1:10" x14ac:dyDescent="0.3">
      <c r="C15" s="1" t="s">
        <v>38</v>
      </c>
      <c r="D15" s="17">
        <f>J6</f>
        <v>5.5E-2</v>
      </c>
    </row>
    <row r="17" spans="3:5" x14ac:dyDescent="0.3">
      <c r="C17" s="16" t="s">
        <v>63</v>
      </c>
      <c r="D17" s="16">
        <v>0.78125</v>
      </c>
    </row>
    <row r="19" spans="3:5" x14ac:dyDescent="0.3">
      <c r="C19" s="16" t="s">
        <v>64</v>
      </c>
      <c r="D19" s="47">
        <f>J4+(D17*J5)</f>
        <v>8.156250000000001E-2</v>
      </c>
      <c r="E19" s="47"/>
    </row>
    <row r="20" spans="3:5" x14ac:dyDescent="0.3">
      <c r="D20" s="23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78E0-849A-4812-B971-CE7B7DFB1286}">
  <dimension ref="A1:R66"/>
  <sheetViews>
    <sheetView zoomScale="75" zoomScaleNormal="85" workbookViewId="0">
      <selection activeCell="L17" sqref="L17"/>
    </sheetView>
  </sheetViews>
  <sheetFormatPr defaultRowHeight="14" x14ac:dyDescent="0.3"/>
  <cols>
    <col min="1" max="8" width="8.7265625" style="1"/>
    <col min="9" max="9" width="19.36328125" style="1" bestFit="1" customWidth="1"/>
    <col min="10" max="10" width="8.7265625" style="1"/>
    <col min="11" max="11" width="9.36328125" style="1" bestFit="1" customWidth="1"/>
    <col min="12" max="16384" width="8.7265625" style="1"/>
  </cols>
  <sheetData>
    <row r="1" spans="1:18" x14ac:dyDescent="0.3">
      <c r="A1" s="12" t="s">
        <v>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3">
      <c r="A2" s="12"/>
      <c r="B2" s="12"/>
      <c r="C2" s="12"/>
      <c r="D2" s="33" t="s">
        <v>40</v>
      </c>
      <c r="E2" s="12"/>
      <c r="F2" s="12"/>
      <c r="G2" s="33" t="s">
        <v>41</v>
      </c>
      <c r="H2" s="12"/>
      <c r="I2" s="12"/>
      <c r="J2" s="12"/>
      <c r="K2" s="12"/>
      <c r="L2" s="33"/>
      <c r="M2" s="12"/>
      <c r="N2" s="12"/>
      <c r="O2" s="33"/>
      <c r="P2" s="12"/>
      <c r="Q2" s="12"/>
      <c r="R2" s="12"/>
    </row>
    <row r="3" spans="1:18" x14ac:dyDescent="0.3">
      <c r="A3" s="12"/>
      <c r="B3" s="24"/>
      <c r="C3" s="33" t="s">
        <v>42</v>
      </c>
      <c r="D3" s="33" t="s">
        <v>43</v>
      </c>
      <c r="E3" s="33" t="s">
        <v>44</v>
      </c>
      <c r="F3" s="33" t="s">
        <v>45</v>
      </c>
      <c r="G3" s="33" t="s">
        <v>46</v>
      </c>
      <c r="H3" s="12"/>
      <c r="I3" s="12"/>
      <c r="J3" s="24"/>
      <c r="K3" s="33"/>
      <c r="L3" s="33"/>
      <c r="M3" s="33" t="s">
        <v>32</v>
      </c>
      <c r="N3" s="33"/>
      <c r="O3" s="33"/>
      <c r="P3" s="12"/>
      <c r="Q3" s="12"/>
      <c r="R3" s="12"/>
    </row>
    <row r="4" spans="1:18" x14ac:dyDescent="0.3">
      <c r="A4" s="33" t="s">
        <v>47</v>
      </c>
      <c r="B4" s="12"/>
      <c r="C4" s="25">
        <v>40.779242244914002</v>
      </c>
      <c r="D4" s="26">
        <v>5.5E-2</v>
      </c>
      <c r="E4" s="34"/>
      <c r="F4" s="27">
        <v>3757.54545454545</v>
      </c>
      <c r="G4" s="25">
        <v>120</v>
      </c>
      <c r="H4" s="12"/>
      <c r="I4" s="33" t="s">
        <v>48</v>
      </c>
      <c r="J4" s="12"/>
      <c r="K4" s="32"/>
      <c r="L4" s="35"/>
      <c r="M4" s="12" t="s">
        <v>9</v>
      </c>
      <c r="N4" s="38">
        <v>0.4</v>
      </c>
      <c r="O4" s="32"/>
      <c r="P4" s="12"/>
      <c r="Q4" s="12"/>
      <c r="R4" s="12"/>
    </row>
    <row r="5" spans="1:18" x14ac:dyDescent="0.3">
      <c r="A5" s="28">
        <v>39478</v>
      </c>
      <c r="B5" s="12"/>
      <c r="C5" s="12">
        <f>C4</f>
        <v>40.779242244914002</v>
      </c>
      <c r="D5" s="12">
        <f>($D$4/12)*$F$4</f>
        <v>17.222083333333313</v>
      </c>
      <c r="E5" s="12">
        <f>C5-D5</f>
        <v>23.557158911580689</v>
      </c>
      <c r="F5" s="12">
        <f>F4-E5</f>
        <v>3733.9882956338693</v>
      </c>
      <c r="G5" s="12">
        <v>1</v>
      </c>
      <c r="H5" s="12"/>
      <c r="I5" s="41">
        <f>($N$4*C5)/((1+$N$5)^G5)</f>
        <v>15.461324073901043</v>
      </c>
      <c r="J5" s="12"/>
      <c r="K5" s="12"/>
      <c r="L5" s="12"/>
      <c r="M5" s="12" t="s">
        <v>49</v>
      </c>
      <c r="N5" s="23">
        <v>5.5E-2</v>
      </c>
      <c r="O5" s="12"/>
      <c r="P5" s="12"/>
      <c r="Q5" s="12"/>
      <c r="R5" s="12"/>
    </row>
    <row r="6" spans="1:18" x14ac:dyDescent="0.3">
      <c r="A6" s="28">
        <v>39506</v>
      </c>
      <c r="B6" s="12"/>
      <c r="C6" s="12">
        <f>C4</f>
        <v>40.779242244914002</v>
      </c>
      <c r="D6" s="12">
        <f t="shared" ref="D6:D63" si="0">($D$4/12)*$F$4</f>
        <v>17.222083333333313</v>
      </c>
      <c r="E6" s="12">
        <f t="shared" ref="E6:E45" si="1">C6-D6</f>
        <v>23.557158911580689</v>
      </c>
      <c r="F6" s="12">
        <f t="shared" ref="F6:F45" si="2">F5-E6</f>
        <v>3710.4311367222886</v>
      </c>
      <c r="G6" s="12">
        <f>G5+1</f>
        <v>2</v>
      </c>
      <c r="H6" s="12"/>
      <c r="I6" s="41">
        <f t="shared" ref="I6:I63" si="3">($N$4*C6)/((1+$N$5)^G6)</f>
        <v>14.655283482370658</v>
      </c>
      <c r="J6" s="12"/>
      <c r="K6" s="12"/>
      <c r="L6" s="12"/>
      <c r="M6" s="12"/>
      <c r="N6" s="12"/>
      <c r="O6" s="12"/>
      <c r="P6" s="12"/>
      <c r="Q6" s="12"/>
      <c r="R6" s="12"/>
    </row>
    <row r="7" spans="1:18" x14ac:dyDescent="0.3">
      <c r="A7" s="28">
        <v>39538</v>
      </c>
      <c r="B7" s="12"/>
      <c r="C7" s="12">
        <f>C6</f>
        <v>40.779242244914002</v>
      </c>
      <c r="D7" s="12">
        <f t="shared" si="0"/>
        <v>17.222083333333313</v>
      </c>
      <c r="E7" s="12">
        <f>C7-D7</f>
        <v>23.557158911580689</v>
      </c>
      <c r="F7" s="12">
        <f>F6-E7</f>
        <v>3686.8739778107079</v>
      </c>
      <c r="G7" s="12">
        <f>G6+1</f>
        <v>3</v>
      </c>
      <c r="H7" s="12"/>
      <c r="I7" s="41">
        <f t="shared" si="3"/>
        <v>13.891263964332378</v>
      </c>
      <c r="J7" s="12"/>
      <c r="K7" s="12"/>
      <c r="L7" s="12"/>
      <c r="M7" s="12"/>
      <c r="N7" s="12"/>
      <c r="O7" s="12"/>
      <c r="P7" s="12"/>
      <c r="Q7" s="12"/>
      <c r="R7" s="12"/>
    </row>
    <row r="8" spans="1:18" x14ac:dyDescent="0.3">
      <c r="A8" s="28">
        <v>39568</v>
      </c>
      <c r="B8" s="12"/>
      <c r="C8" s="12">
        <f>C7</f>
        <v>40.779242244914002</v>
      </c>
      <c r="D8" s="12">
        <f t="shared" si="0"/>
        <v>17.222083333333313</v>
      </c>
      <c r="E8" s="12">
        <f t="shared" si="1"/>
        <v>23.557158911580689</v>
      </c>
      <c r="F8" s="12">
        <f t="shared" si="2"/>
        <v>3663.3168188991272</v>
      </c>
      <c r="G8" s="12">
        <f t="shared" ref="G8:G63" si="4">G7+1</f>
        <v>4</v>
      </c>
      <c r="H8" s="12"/>
      <c r="I8" s="41">
        <f t="shared" si="3"/>
        <v>13.167074847708415</v>
      </c>
      <c r="J8" s="12"/>
      <c r="K8" s="12"/>
      <c r="L8" s="12"/>
      <c r="M8" s="1" t="s">
        <v>39</v>
      </c>
      <c r="N8" s="12"/>
      <c r="O8" s="12"/>
      <c r="P8" s="12"/>
      <c r="Q8" s="12"/>
      <c r="R8" s="12"/>
    </row>
    <row r="9" spans="1:18" x14ac:dyDescent="0.3">
      <c r="A9" s="28">
        <v>39599</v>
      </c>
      <c r="B9" s="12"/>
      <c r="C9" s="12">
        <f>C8</f>
        <v>40.779242244914002</v>
      </c>
      <c r="D9" s="12">
        <f t="shared" si="0"/>
        <v>17.222083333333313</v>
      </c>
      <c r="E9" s="12">
        <f t="shared" si="1"/>
        <v>23.557158911580689</v>
      </c>
      <c r="F9" s="12">
        <f t="shared" si="2"/>
        <v>3639.7596599875465</v>
      </c>
      <c r="G9" s="12">
        <f t="shared" si="4"/>
        <v>5</v>
      </c>
      <c r="H9" s="12"/>
      <c r="I9" s="41">
        <f t="shared" si="3"/>
        <v>12.480639666074328</v>
      </c>
      <c r="J9" s="12"/>
      <c r="K9" s="12"/>
      <c r="L9" s="12"/>
      <c r="M9" s="12"/>
      <c r="N9" s="12"/>
      <c r="O9" s="12"/>
      <c r="P9" s="12"/>
      <c r="Q9" s="12"/>
      <c r="R9" s="12"/>
    </row>
    <row r="10" spans="1:18" x14ac:dyDescent="0.3">
      <c r="A10" s="28">
        <v>39629</v>
      </c>
      <c r="B10" s="12"/>
      <c r="C10" s="12">
        <f>C9</f>
        <v>40.779242244914002</v>
      </c>
      <c r="D10" s="12">
        <f t="shared" si="0"/>
        <v>17.222083333333313</v>
      </c>
      <c r="E10" s="12">
        <f t="shared" si="1"/>
        <v>23.557158911580689</v>
      </c>
      <c r="F10" s="12">
        <f t="shared" si="2"/>
        <v>3616.2025010759658</v>
      </c>
      <c r="G10" s="12">
        <f t="shared" si="4"/>
        <v>6</v>
      </c>
      <c r="H10" s="12"/>
      <c r="I10" s="41">
        <f t="shared" si="3"/>
        <v>11.829990204809789</v>
      </c>
      <c r="J10" s="12"/>
      <c r="K10" s="12" t="s">
        <v>50</v>
      </c>
      <c r="L10" s="64">
        <f>SUM(I5:I64)</f>
        <v>322.10718839959435</v>
      </c>
      <c r="M10" s="12"/>
      <c r="N10" s="12"/>
      <c r="O10" s="12"/>
      <c r="P10" s="12"/>
      <c r="Q10" s="12"/>
      <c r="R10" s="12"/>
    </row>
    <row r="11" spans="1:18" x14ac:dyDescent="0.3">
      <c r="A11" s="28">
        <v>39660</v>
      </c>
      <c r="B11" s="12"/>
      <c r="C11" s="12">
        <f>C10</f>
        <v>40.779242244914002</v>
      </c>
      <c r="D11" s="12">
        <f t="shared" si="0"/>
        <v>17.222083333333313</v>
      </c>
      <c r="E11" s="12">
        <f t="shared" si="1"/>
        <v>23.557158911580689</v>
      </c>
      <c r="F11" s="12">
        <f t="shared" si="2"/>
        <v>3592.6453421643851</v>
      </c>
      <c r="G11" s="12">
        <f t="shared" si="4"/>
        <v>7</v>
      </c>
      <c r="H11" s="12"/>
      <c r="I11" s="41">
        <f t="shared" si="3"/>
        <v>11.213260857639613</v>
      </c>
      <c r="J11" s="30"/>
      <c r="K11" s="30"/>
      <c r="L11" s="30"/>
      <c r="M11" s="30"/>
      <c r="N11" s="30"/>
      <c r="O11" s="30"/>
      <c r="P11" s="12"/>
      <c r="Q11" s="12"/>
      <c r="R11" s="12"/>
    </row>
    <row r="12" spans="1:18" x14ac:dyDescent="0.3">
      <c r="A12" s="28">
        <v>39691</v>
      </c>
      <c r="B12" s="12"/>
      <c r="C12" s="12">
        <f t="shared" ref="C12:C63" si="5">C11</f>
        <v>40.779242244914002</v>
      </c>
      <c r="D12" s="12">
        <f t="shared" si="0"/>
        <v>17.222083333333313</v>
      </c>
      <c r="E12" s="12">
        <f t="shared" si="1"/>
        <v>23.557158911580689</v>
      </c>
      <c r="F12" s="12">
        <f t="shared" si="2"/>
        <v>3569.0881832528044</v>
      </c>
      <c r="G12" s="12">
        <f t="shared" si="4"/>
        <v>8</v>
      </c>
      <c r="H12" s="12"/>
      <c r="I12" s="41">
        <f t="shared" si="3"/>
        <v>10.628683277383519</v>
      </c>
      <c r="J12" s="12"/>
      <c r="K12" s="12"/>
      <c r="L12" s="12"/>
      <c r="M12" s="12"/>
      <c r="N12" s="12"/>
      <c r="O12" s="12"/>
      <c r="P12" s="12"/>
      <c r="Q12" s="12"/>
      <c r="R12" s="12"/>
    </row>
    <row r="13" spans="1:18" x14ac:dyDescent="0.3">
      <c r="A13" s="28">
        <v>39721</v>
      </c>
      <c r="B13" s="12"/>
      <c r="C13" s="12">
        <f t="shared" si="5"/>
        <v>40.779242244914002</v>
      </c>
      <c r="D13" s="12">
        <f t="shared" si="0"/>
        <v>17.222083333333313</v>
      </c>
      <c r="E13" s="12">
        <f t="shared" si="1"/>
        <v>23.557158911580689</v>
      </c>
      <c r="F13" s="12">
        <f t="shared" si="2"/>
        <v>3545.5310243412237</v>
      </c>
      <c r="G13" s="12">
        <f t="shared" si="4"/>
        <v>9</v>
      </c>
      <c r="H13" s="12"/>
      <c r="I13" s="41">
        <f t="shared" si="3"/>
        <v>10.074581305576794</v>
      </c>
      <c r="J13" s="12"/>
      <c r="K13" s="12"/>
      <c r="L13" s="12"/>
      <c r="M13" s="12"/>
      <c r="N13" s="12"/>
      <c r="O13" s="12"/>
      <c r="P13" s="12"/>
      <c r="Q13" s="12"/>
      <c r="R13" s="12"/>
    </row>
    <row r="14" spans="1:18" x14ac:dyDescent="0.3">
      <c r="A14" s="28">
        <v>39752</v>
      </c>
      <c r="B14" s="12"/>
      <c r="C14" s="12">
        <f t="shared" si="5"/>
        <v>40.779242244914002</v>
      </c>
      <c r="D14" s="12">
        <f t="shared" si="0"/>
        <v>17.222083333333313</v>
      </c>
      <c r="E14" s="12">
        <f t="shared" si="1"/>
        <v>23.557158911580689</v>
      </c>
      <c r="F14" s="12">
        <f t="shared" si="2"/>
        <v>3521.973865429643</v>
      </c>
      <c r="G14" s="12">
        <f t="shared" si="4"/>
        <v>10</v>
      </c>
      <c r="H14" s="12"/>
      <c r="I14" s="41">
        <f t="shared" si="3"/>
        <v>9.5493661664235017</v>
      </c>
      <c r="J14" s="12"/>
      <c r="K14" s="12"/>
      <c r="L14" s="12"/>
      <c r="M14" s="12"/>
      <c r="N14" s="12"/>
      <c r="O14" s="12"/>
      <c r="P14" s="12"/>
      <c r="Q14" s="12"/>
      <c r="R14" s="12"/>
    </row>
    <row r="15" spans="1:18" x14ac:dyDescent="0.3">
      <c r="A15" s="28">
        <v>39782</v>
      </c>
      <c r="B15" s="12"/>
      <c r="C15" s="12">
        <f t="shared" si="5"/>
        <v>40.779242244914002</v>
      </c>
      <c r="D15" s="12">
        <f t="shared" si="0"/>
        <v>17.222083333333313</v>
      </c>
      <c r="E15" s="12">
        <f t="shared" si="1"/>
        <v>23.557158911580689</v>
      </c>
      <c r="F15" s="12">
        <f t="shared" si="2"/>
        <v>3498.4167065180623</v>
      </c>
      <c r="G15" s="12">
        <f t="shared" si="4"/>
        <v>11</v>
      </c>
      <c r="H15" s="12"/>
      <c r="I15" s="41">
        <f t="shared" si="3"/>
        <v>9.0515319113018986</v>
      </c>
      <c r="J15" s="12"/>
      <c r="K15" s="12"/>
      <c r="L15" s="12"/>
      <c r="M15" s="12"/>
      <c r="N15" s="12"/>
      <c r="O15" s="12"/>
      <c r="P15" s="12"/>
      <c r="Q15" s="12"/>
      <c r="R15" s="12"/>
    </row>
    <row r="16" spans="1:18" x14ac:dyDescent="0.3">
      <c r="A16" s="29">
        <v>39813</v>
      </c>
      <c r="B16" s="30"/>
      <c r="C16" s="36">
        <f t="shared" si="5"/>
        <v>40.779242244914002</v>
      </c>
      <c r="D16" s="12">
        <f t="shared" si="0"/>
        <v>17.222083333333313</v>
      </c>
      <c r="E16" s="36">
        <f t="shared" si="1"/>
        <v>23.557158911580689</v>
      </c>
      <c r="F16" s="36">
        <f t="shared" si="2"/>
        <v>3474.8595476064816</v>
      </c>
      <c r="G16" s="36">
        <f t="shared" si="4"/>
        <v>12</v>
      </c>
      <c r="H16" s="12"/>
      <c r="I16" s="41">
        <f t="shared" si="3"/>
        <v>8.5796511007600937</v>
      </c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3">
      <c r="A17" s="28">
        <v>39844</v>
      </c>
      <c r="B17" s="12"/>
      <c r="C17" s="12">
        <f t="shared" si="5"/>
        <v>40.779242244914002</v>
      </c>
      <c r="D17" s="12">
        <f t="shared" si="0"/>
        <v>17.222083333333313</v>
      </c>
      <c r="E17" s="12">
        <f t="shared" si="1"/>
        <v>23.557158911580689</v>
      </c>
      <c r="F17" s="12">
        <f t="shared" si="2"/>
        <v>3451.3023886949009</v>
      </c>
      <c r="G17" s="12">
        <f t="shared" si="4"/>
        <v>13</v>
      </c>
      <c r="H17" s="12"/>
      <c r="I17" s="41">
        <f t="shared" si="3"/>
        <v>8.1323707116209434</v>
      </c>
      <c r="J17" s="12"/>
      <c r="K17" s="12"/>
      <c r="L17" s="12"/>
      <c r="M17" s="12"/>
      <c r="N17" s="12"/>
      <c r="O17" s="12"/>
      <c r="P17" s="12"/>
      <c r="Q17" s="12"/>
      <c r="R17" s="12"/>
    </row>
    <row r="18" spans="1:18" x14ac:dyDescent="0.3">
      <c r="A18" s="28">
        <v>39872</v>
      </c>
      <c r="B18" s="12"/>
      <c r="C18" s="12">
        <f t="shared" si="5"/>
        <v>40.779242244914002</v>
      </c>
      <c r="D18" s="12">
        <f t="shared" si="0"/>
        <v>17.222083333333313</v>
      </c>
      <c r="E18" s="12">
        <f t="shared" si="1"/>
        <v>23.557158911580689</v>
      </c>
      <c r="F18" s="12">
        <f t="shared" si="2"/>
        <v>3427.7452297833202</v>
      </c>
      <c r="G18" s="12">
        <f t="shared" si="4"/>
        <v>14</v>
      </c>
      <c r="H18" s="12"/>
      <c r="I18" s="41">
        <f t="shared" si="3"/>
        <v>7.7084082574606088</v>
      </c>
      <c r="J18" s="12"/>
      <c r="K18" s="12"/>
      <c r="L18" s="12"/>
      <c r="M18" s="12"/>
      <c r="N18" s="12"/>
      <c r="O18" s="12"/>
      <c r="P18" s="12"/>
      <c r="Q18" s="12"/>
      <c r="R18" s="12"/>
    </row>
    <row r="19" spans="1:18" x14ac:dyDescent="0.3">
      <c r="A19" s="28">
        <v>39903</v>
      </c>
      <c r="B19" s="12"/>
      <c r="C19" s="12">
        <f t="shared" si="5"/>
        <v>40.779242244914002</v>
      </c>
      <c r="D19" s="12">
        <f t="shared" si="0"/>
        <v>17.222083333333313</v>
      </c>
      <c r="E19" s="12">
        <f t="shared" si="1"/>
        <v>23.557158911580689</v>
      </c>
      <c r="F19" s="12">
        <f t="shared" si="2"/>
        <v>3404.1880708717395</v>
      </c>
      <c r="G19" s="12">
        <f t="shared" si="4"/>
        <v>15</v>
      </c>
      <c r="H19" s="12"/>
      <c r="I19" s="41">
        <f t="shared" si="3"/>
        <v>7.3065481113370714</v>
      </c>
      <c r="J19" s="12"/>
      <c r="K19" s="12"/>
      <c r="L19" s="12"/>
      <c r="M19" s="12"/>
      <c r="N19" s="12"/>
      <c r="O19" s="12"/>
      <c r="P19" s="12"/>
      <c r="Q19" s="12"/>
      <c r="R19" s="12"/>
    </row>
    <row r="20" spans="1:18" x14ac:dyDescent="0.3">
      <c r="A20" s="28">
        <v>39933</v>
      </c>
      <c r="B20" s="12"/>
      <c r="C20" s="12">
        <f t="shared" si="5"/>
        <v>40.779242244914002</v>
      </c>
      <c r="D20" s="12">
        <f t="shared" si="0"/>
        <v>17.222083333333313</v>
      </c>
      <c r="E20" s="12">
        <f t="shared" si="1"/>
        <v>23.557158911580689</v>
      </c>
      <c r="F20" s="12">
        <f t="shared" si="2"/>
        <v>3380.6309119601588</v>
      </c>
      <c r="G20" s="12">
        <f t="shared" si="4"/>
        <v>16</v>
      </c>
      <c r="H20" s="12"/>
      <c r="I20" s="41">
        <f t="shared" si="3"/>
        <v>6.9256380202247119</v>
      </c>
      <c r="J20" s="12"/>
      <c r="K20" s="12"/>
      <c r="L20" s="12"/>
      <c r="M20" s="12"/>
      <c r="N20" s="12"/>
      <c r="O20" s="12"/>
      <c r="P20" s="12"/>
      <c r="Q20" s="12"/>
      <c r="R20" s="12"/>
    </row>
    <row r="21" spans="1:18" x14ac:dyDescent="0.3">
      <c r="A21" s="28">
        <v>39964</v>
      </c>
      <c r="B21" s="12"/>
      <c r="C21" s="12">
        <f t="shared" si="5"/>
        <v>40.779242244914002</v>
      </c>
      <c r="D21" s="12">
        <f t="shared" si="0"/>
        <v>17.222083333333313</v>
      </c>
      <c r="E21" s="12">
        <f t="shared" si="1"/>
        <v>23.557158911580689</v>
      </c>
      <c r="F21" s="12">
        <f t="shared" si="2"/>
        <v>3357.0737530485781</v>
      </c>
      <c r="G21" s="12">
        <f t="shared" si="4"/>
        <v>17</v>
      </c>
      <c r="H21" s="12"/>
      <c r="I21" s="41">
        <f t="shared" si="3"/>
        <v>6.5645858011608649</v>
      </c>
      <c r="J21" s="12"/>
      <c r="K21" s="12"/>
      <c r="L21" s="12"/>
      <c r="M21" s="12"/>
      <c r="N21" s="12"/>
      <c r="O21" s="12"/>
      <c r="P21" s="12"/>
      <c r="Q21" s="12"/>
      <c r="R21" s="12"/>
    </row>
    <row r="22" spans="1:18" x14ac:dyDescent="0.3">
      <c r="A22" s="28">
        <v>39994</v>
      </c>
      <c r="B22" s="12"/>
      <c r="C22" s="12">
        <f t="shared" si="5"/>
        <v>40.779242244914002</v>
      </c>
      <c r="D22" s="12">
        <f t="shared" si="0"/>
        <v>17.222083333333313</v>
      </c>
      <c r="E22" s="12">
        <f t="shared" si="1"/>
        <v>23.557158911580689</v>
      </c>
      <c r="F22" s="12">
        <f t="shared" si="2"/>
        <v>3333.5165941369974</v>
      </c>
      <c r="G22" s="12">
        <f t="shared" si="4"/>
        <v>18</v>
      </c>
      <c r="H22" s="12"/>
      <c r="I22" s="41">
        <f t="shared" si="3"/>
        <v>6.2223562096311511</v>
      </c>
      <c r="J22" s="12"/>
      <c r="K22" s="12"/>
      <c r="L22" s="12"/>
      <c r="M22" s="12"/>
      <c r="N22" s="12"/>
      <c r="O22" s="12"/>
      <c r="P22" s="12"/>
      <c r="Q22" s="12"/>
      <c r="R22" s="12"/>
    </row>
    <row r="23" spans="1:18" x14ac:dyDescent="0.3">
      <c r="A23" s="28">
        <v>40025</v>
      </c>
      <c r="B23" s="12"/>
      <c r="C23" s="12">
        <f t="shared" si="5"/>
        <v>40.779242244914002</v>
      </c>
      <c r="D23" s="12">
        <f t="shared" si="0"/>
        <v>17.222083333333313</v>
      </c>
      <c r="E23" s="12">
        <f t="shared" si="1"/>
        <v>23.557158911580689</v>
      </c>
      <c r="F23" s="12">
        <f t="shared" si="2"/>
        <v>3309.9594352254167</v>
      </c>
      <c r="G23" s="12">
        <f t="shared" si="4"/>
        <v>19</v>
      </c>
      <c r="H23" s="12"/>
      <c r="I23" s="41">
        <f t="shared" si="3"/>
        <v>5.8979679712143618</v>
      </c>
      <c r="J23" s="32"/>
      <c r="K23" s="12"/>
      <c r="L23" s="12"/>
      <c r="M23" s="12"/>
      <c r="N23" s="12"/>
      <c r="O23" s="32"/>
      <c r="P23" s="12"/>
      <c r="Q23" s="12"/>
      <c r="R23" s="12"/>
    </row>
    <row r="24" spans="1:18" x14ac:dyDescent="0.3">
      <c r="A24" s="28">
        <v>40056</v>
      </c>
      <c r="B24" s="12"/>
      <c r="C24" s="12">
        <f t="shared" si="5"/>
        <v>40.779242244914002</v>
      </c>
      <c r="D24" s="12">
        <f t="shared" si="0"/>
        <v>17.222083333333313</v>
      </c>
      <c r="E24" s="12">
        <f t="shared" si="1"/>
        <v>23.557158911580689</v>
      </c>
      <c r="F24" s="12">
        <f t="shared" si="2"/>
        <v>3286.402276313836</v>
      </c>
      <c r="G24" s="12">
        <f t="shared" si="4"/>
        <v>20</v>
      </c>
      <c r="H24" s="12"/>
      <c r="I24" s="41">
        <f t="shared" si="3"/>
        <v>5.5904909679756987</v>
      </c>
      <c r="J24" s="12"/>
      <c r="K24" s="12"/>
      <c r="L24" s="12"/>
      <c r="M24" s="12"/>
      <c r="N24" s="12"/>
      <c r="O24" s="12"/>
      <c r="P24" s="12"/>
      <c r="Q24" s="12"/>
      <c r="R24" s="12"/>
    </row>
    <row r="25" spans="1:18" x14ac:dyDescent="0.3">
      <c r="A25" s="28">
        <v>40086</v>
      </c>
      <c r="B25" s="12"/>
      <c r="C25" s="12">
        <f t="shared" si="5"/>
        <v>40.779242244914002</v>
      </c>
      <c r="D25" s="12">
        <f t="shared" si="0"/>
        <v>17.222083333333313</v>
      </c>
      <c r="E25" s="12">
        <f t="shared" si="1"/>
        <v>23.557158911580689</v>
      </c>
      <c r="F25" s="12">
        <f t="shared" si="2"/>
        <v>3262.8451174022553</v>
      </c>
      <c r="G25" s="12">
        <f t="shared" si="4"/>
        <v>21</v>
      </c>
      <c r="H25" s="12"/>
      <c r="I25" s="41">
        <f t="shared" si="3"/>
        <v>5.2990435715409463</v>
      </c>
      <c r="J25" s="12"/>
      <c r="K25" s="12"/>
      <c r="L25" s="12"/>
      <c r="M25" s="12"/>
      <c r="N25" s="12"/>
      <c r="O25" s="12"/>
      <c r="P25" s="12"/>
      <c r="Q25" s="12"/>
      <c r="R25" s="12"/>
    </row>
    <row r="26" spans="1:18" x14ac:dyDescent="0.3">
      <c r="A26" s="28">
        <v>40117</v>
      </c>
      <c r="B26" s="12"/>
      <c r="C26" s="12">
        <f t="shared" si="5"/>
        <v>40.779242244914002</v>
      </c>
      <c r="D26" s="12">
        <f t="shared" si="0"/>
        <v>17.222083333333313</v>
      </c>
      <c r="E26" s="12">
        <f t="shared" si="1"/>
        <v>23.557158911580689</v>
      </c>
      <c r="F26" s="12">
        <f t="shared" si="2"/>
        <v>3239.2879584906746</v>
      </c>
      <c r="G26" s="12">
        <f t="shared" si="4"/>
        <v>22</v>
      </c>
      <c r="H26" s="12"/>
      <c r="I26" s="41">
        <f t="shared" si="3"/>
        <v>5.022790115204689</v>
      </c>
      <c r="J26" s="12"/>
      <c r="K26" s="12"/>
      <c r="L26" s="12"/>
      <c r="M26" s="12"/>
      <c r="N26" s="12"/>
      <c r="O26" s="12"/>
      <c r="P26" s="12"/>
      <c r="Q26" s="12"/>
      <c r="R26" s="12"/>
    </row>
    <row r="27" spans="1:18" x14ac:dyDescent="0.3">
      <c r="A27" s="28">
        <v>40147</v>
      </c>
      <c r="B27" s="12"/>
      <c r="C27" s="12">
        <f t="shared" si="5"/>
        <v>40.779242244914002</v>
      </c>
      <c r="D27" s="12">
        <f t="shared" si="0"/>
        <v>17.222083333333313</v>
      </c>
      <c r="E27" s="12">
        <f t="shared" si="1"/>
        <v>23.557158911580689</v>
      </c>
      <c r="F27" s="12">
        <f t="shared" si="2"/>
        <v>3215.7307995790939</v>
      </c>
      <c r="G27" s="12">
        <f t="shared" si="4"/>
        <v>23</v>
      </c>
      <c r="H27" s="12"/>
      <c r="I27" s="41">
        <f t="shared" si="3"/>
        <v>4.7609384978243501</v>
      </c>
      <c r="J27" s="12"/>
      <c r="K27" s="12"/>
      <c r="L27" s="12"/>
      <c r="M27" s="12"/>
      <c r="N27" s="12"/>
      <c r="O27" s="12"/>
      <c r="P27" s="12"/>
      <c r="Q27" s="12"/>
      <c r="R27" s="12"/>
    </row>
    <row r="28" spans="1:18" x14ac:dyDescent="0.3">
      <c r="A28" s="29">
        <v>40178</v>
      </c>
      <c r="B28" s="30"/>
      <c r="C28" s="36">
        <f t="shared" si="5"/>
        <v>40.779242244914002</v>
      </c>
      <c r="D28" s="12">
        <f t="shared" si="0"/>
        <v>17.222083333333313</v>
      </c>
      <c r="E28" s="36">
        <f t="shared" si="1"/>
        <v>23.557158911580689</v>
      </c>
      <c r="F28" s="36">
        <f t="shared" si="2"/>
        <v>3192.1736406675132</v>
      </c>
      <c r="G28" s="36">
        <f t="shared" si="4"/>
        <v>24</v>
      </c>
      <c r="H28" s="12"/>
      <c r="I28" s="41">
        <f t="shared" si="3"/>
        <v>4.5127379126297162</v>
      </c>
      <c r="J28" s="12"/>
      <c r="K28" s="12"/>
      <c r="L28" s="12"/>
      <c r="M28" s="12"/>
      <c r="N28" s="12"/>
      <c r="O28" s="12"/>
      <c r="P28" s="12"/>
      <c r="Q28" s="12"/>
      <c r="R28" s="12"/>
    </row>
    <row r="29" spans="1:18" x14ac:dyDescent="0.3">
      <c r="A29" s="28">
        <v>40209</v>
      </c>
      <c r="B29" s="12"/>
      <c r="C29" s="12">
        <f t="shared" si="5"/>
        <v>40.779242244914002</v>
      </c>
      <c r="D29" s="12">
        <f t="shared" si="0"/>
        <v>17.222083333333313</v>
      </c>
      <c r="E29" s="12">
        <f t="shared" si="1"/>
        <v>23.557158911580689</v>
      </c>
      <c r="F29" s="12">
        <f t="shared" si="2"/>
        <v>3168.6164817559325</v>
      </c>
      <c r="G29" s="12">
        <f t="shared" si="4"/>
        <v>25</v>
      </c>
      <c r="H29" s="12"/>
      <c r="I29" s="41">
        <f t="shared" si="3"/>
        <v>4.2774766944357498</v>
      </c>
      <c r="J29" s="12"/>
      <c r="K29" s="12"/>
      <c r="L29" s="12"/>
      <c r="M29" s="12"/>
      <c r="N29" s="12"/>
      <c r="O29" s="12"/>
      <c r="P29" s="12"/>
      <c r="Q29" s="12"/>
      <c r="R29" s="12"/>
    </row>
    <row r="30" spans="1:18" x14ac:dyDescent="0.3">
      <c r="A30" s="28">
        <v>40237</v>
      </c>
      <c r="B30" s="12"/>
      <c r="C30" s="12">
        <f t="shared" si="5"/>
        <v>40.779242244914002</v>
      </c>
      <c r="D30" s="12">
        <f t="shared" si="0"/>
        <v>17.222083333333313</v>
      </c>
      <c r="E30" s="12">
        <f t="shared" si="1"/>
        <v>23.557158911580689</v>
      </c>
      <c r="F30" s="12">
        <f t="shared" si="2"/>
        <v>3145.0593228443518</v>
      </c>
      <c r="G30" s="12">
        <f t="shared" si="4"/>
        <v>26</v>
      </c>
      <c r="H30" s="12"/>
      <c r="I30" s="41">
        <f t="shared" si="3"/>
        <v>4.0544802790860182</v>
      </c>
      <c r="J30" s="12"/>
      <c r="K30" s="12"/>
      <c r="L30" s="12"/>
      <c r="M30" s="12"/>
      <c r="N30" s="12"/>
      <c r="O30" s="12"/>
      <c r="P30" s="12"/>
      <c r="Q30" s="12"/>
      <c r="R30" s="12"/>
    </row>
    <row r="31" spans="1:18" x14ac:dyDescent="0.3">
      <c r="A31" s="28">
        <v>40268</v>
      </c>
      <c r="B31" s="12"/>
      <c r="C31" s="12">
        <f t="shared" si="5"/>
        <v>40.779242244914002</v>
      </c>
      <c r="D31" s="12">
        <f t="shared" si="0"/>
        <v>17.222083333333313</v>
      </c>
      <c r="E31" s="12">
        <f t="shared" si="1"/>
        <v>23.557158911580689</v>
      </c>
      <c r="F31" s="12">
        <f t="shared" si="2"/>
        <v>3121.5021639327711</v>
      </c>
      <c r="G31" s="12">
        <f t="shared" si="4"/>
        <v>27</v>
      </c>
      <c r="H31" s="12"/>
      <c r="I31" s="41">
        <f t="shared" si="3"/>
        <v>3.8431092692758475</v>
      </c>
      <c r="J31" s="12"/>
      <c r="K31" s="12"/>
      <c r="L31" s="12"/>
      <c r="M31" s="12"/>
      <c r="N31" s="12"/>
      <c r="O31" s="12"/>
      <c r="P31" s="12"/>
      <c r="Q31" s="12"/>
      <c r="R31" s="12"/>
    </row>
    <row r="32" spans="1:18" x14ac:dyDescent="0.3">
      <c r="A32" s="28">
        <v>40298</v>
      </c>
      <c r="B32" s="12"/>
      <c r="C32" s="12">
        <f t="shared" si="5"/>
        <v>40.779242244914002</v>
      </c>
      <c r="D32" s="12">
        <f t="shared" si="0"/>
        <v>17.222083333333313</v>
      </c>
      <c r="E32" s="12">
        <f t="shared" si="1"/>
        <v>23.557158911580689</v>
      </c>
      <c r="F32" s="12">
        <f t="shared" si="2"/>
        <v>3097.9450050211904</v>
      </c>
      <c r="G32" s="12">
        <f t="shared" si="4"/>
        <v>28</v>
      </c>
      <c r="H32" s="12"/>
      <c r="I32" s="41">
        <f t="shared" si="3"/>
        <v>3.6427576012093339</v>
      </c>
      <c r="J32" s="12"/>
      <c r="K32" s="12"/>
      <c r="L32" s="12"/>
      <c r="M32" s="12"/>
      <c r="N32" s="12"/>
      <c r="O32" s="12"/>
      <c r="P32" s="12"/>
      <c r="Q32" s="12"/>
      <c r="R32" s="12"/>
    </row>
    <row r="33" spans="1:18" x14ac:dyDescent="0.3">
      <c r="A33" s="28">
        <v>40329</v>
      </c>
      <c r="B33" s="12"/>
      <c r="C33" s="12">
        <f t="shared" si="5"/>
        <v>40.779242244914002</v>
      </c>
      <c r="D33" s="12">
        <f t="shared" si="0"/>
        <v>17.222083333333313</v>
      </c>
      <c r="E33" s="12">
        <f t="shared" si="1"/>
        <v>23.557158911580689</v>
      </c>
      <c r="F33" s="12">
        <f t="shared" si="2"/>
        <v>3074.3878461096097</v>
      </c>
      <c r="G33" s="12">
        <f t="shared" si="4"/>
        <v>29</v>
      </c>
      <c r="H33" s="12"/>
      <c r="I33" s="41">
        <f t="shared" si="3"/>
        <v>3.4528508068334927</v>
      </c>
      <c r="J33" s="12"/>
      <c r="K33" s="12"/>
      <c r="L33" s="12"/>
      <c r="M33" s="12"/>
      <c r="N33" s="12"/>
      <c r="O33" s="12"/>
      <c r="P33" s="12"/>
      <c r="Q33" s="12"/>
      <c r="R33" s="12"/>
    </row>
    <row r="34" spans="1:18" x14ac:dyDescent="0.3">
      <c r="A34" s="28">
        <v>40359</v>
      </c>
      <c r="B34" s="12"/>
      <c r="C34" s="12">
        <f t="shared" si="5"/>
        <v>40.779242244914002</v>
      </c>
      <c r="D34" s="12">
        <f t="shared" si="0"/>
        <v>17.222083333333313</v>
      </c>
      <c r="E34" s="12">
        <f t="shared" si="1"/>
        <v>23.557158911580689</v>
      </c>
      <c r="F34" s="12">
        <f t="shared" si="2"/>
        <v>3050.830687198029</v>
      </c>
      <c r="G34" s="12">
        <f t="shared" si="4"/>
        <v>30</v>
      </c>
      <c r="H34" s="12"/>
      <c r="I34" s="41">
        <f t="shared" si="3"/>
        <v>3.2728443666668174</v>
      </c>
      <c r="J34" s="12"/>
      <c r="K34" s="12"/>
      <c r="L34" s="12"/>
      <c r="M34" s="12"/>
      <c r="N34" s="12"/>
      <c r="O34" s="12"/>
      <c r="P34" s="12"/>
      <c r="Q34" s="12"/>
      <c r="R34" s="12"/>
    </row>
    <row r="35" spans="1:18" x14ac:dyDescent="0.3">
      <c r="A35" s="28">
        <v>40390</v>
      </c>
      <c r="B35" s="12"/>
      <c r="C35" s="12">
        <f t="shared" si="5"/>
        <v>40.779242244914002</v>
      </c>
      <c r="D35" s="12">
        <f t="shared" si="0"/>
        <v>17.222083333333313</v>
      </c>
      <c r="E35" s="12">
        <f t="shared" si="1"/>
        <v>23.557158911580689</v>
      </c>
      <c r="F35" s="12">
        <f t="shared" si="2"/>
        <v>3027.2735282864483</v>
      </c>
      <c r="G35" s="12">
        <f t="shared" si="4"/>
        <v>31</v>
      </c>
      <c r="H35" s="12"/>
      <c r="I35" s="41">
        <f t="shared" si="3"/>
        <v>3.1022221484993535</v>
      </c>
      <c r="J35" s="12"/>
      <c r="K35" s="12"/>
      <c r="L35" s="12"/>
      <c r="M35" s="12"/>
      <c r="N35" s="12"/>
      <c r="O35" s="12"/>
      <c r="P35" s="12"/>
      <c r="Q35" s="12"/>
      <c r="R35" s="12"/>
    </row>
    <row r="36" spans="1:18" x14ac:dyDescent="0.3">
      <c r="A36" s="28">
        <v>40421</v>
      </c>
      <c r="B36" s="12"/>
      <c r="C36" s="12">
        <f t="shared" si="5"/>
        <v>40.779242244914002</v>
      </c>
      <c r="D36" s="12">
        <f t="shared" si="0"/>
        <v>17.222083333333313</v>
      </c>
      <c r="E36" s="12">
        <f t="shared" si="1"/>
        <v>23.557158911580689</v>
      </c>
      <c r="F36" s="12">
        <f t="shared" si="2"/>
        <v>3003.7163693748676</v>
      </c>
      <c r="G36" s="12">
        <f t="shared" si="4"/>
        <v>32</v>
      </c>
      <c r="H36" s="12"/>
      <c r="I36" s="41">
        <f t="shared" si="3"/>
        <v>2.9404949274875389</v>
      </c>
      <c r="J36" s="12"/>
      <c r="K36" s="12"/>
      <c r="L36" s="12"/>
      <c r="M36" s="12"/>
      <c r="N36" s="12"/>
      <c r="O36" s="12"/>
      <c r="P36" s="12"/>
      <c r="Q36" s="12"/>
      <c r="R36" s="12"/>
    </row>
    <row r="37" spans="1:18" x14ac:dyDescent="0.3">
      <c r="A37" s="28">
        <v>40451</v>
      </c>
      <c r="B37" s="12"/>
      <c r="C37" s="12">
        <f t="shared" si="5"/>
        <v>40.779242244914002</v>
      </c>
      <c r="D37" s="12">
        <f t="shared" si="0"/>
        <v>17.222083333333313</v>
      </c>
      <c r="E37" s="12">
        <f t="shared" si="1"/>
        <v>23.557158911580689</v>
      </c>
      <c r="F37" s="12">
        <f t="shared" si="2"/>
        <v>2980.1592104632869</v>
      </c>
      <c r="G37" s="12">
        <f t="shared" si="4"/>
        <v>33</v>
      </c>
      <c r="H37" s="12"/>
      <c r="I37" s="41">
        <f t="shared" si="3"/>
        <v>2.7871989834005109</v>
      </c>
      <c r="J37" s="12"/>
      <c r="K37" s="12"/>
      <c r="L37" s="12"/>
      <c r="M37" s="12"/>
      <c r="N37" s="12"/>
      <c r="O37" s="12"/>
      <c r="P37" s="12"/>
      <c r="Q37" s="12"/>
      <c r="R37" s="12"/>
    </row>
    <row r="38" spans="1:18" x14ac:dyDescent="0.3">
      <c r="A38" s="28">
        <v>40482</v>
      </c>
      <c r="B38" s="12"/>
      <c r="C38" s="12">
        <f t="shared" si="5"/>
        <v>40.779242244914002</v>
      </c>
      <c r="D38" s="12">
        <f t="shared" si="0"/>
        <v>17.222083333333313</v>
      </c>
      <c r="E38" s="12">
        <f t="shared" si="1"/>
        <v>23.557158911580689</v>
      </c>
      <c r="F38" s="12">
        <f t="shared" si="2"/>
        <v>2956.6020515517062</v>
      </c>
      <c r="G38" s="12">
        <f t="shared" si="4"/>
        <v>34</v>
      </c>
      <c r="H38" s="12"/>
      <c r="I38" s="41">
        <f t="shared" si="3"/>
        <v>2.6418947709957448</v>
      </c>
      <c r="J38" s="12"/>
      <c r="K38" s="12"/>
      <c r="L38" s="12"/>
      <c r="M38" s="12"/>
      <c r="N38" s="12"/>
      <c r="O38" s="12"/>
      <c r="P38" s="12"/>
      <c r="Q38" s="12"/>
      <c r="R38" s="12"/>
    </row>
    <row r="39" spans="1:18" x14ac:dyDescent="0.3">
      <c r="A39" s="28">
        <v>40512</v>
      </c>
      <c r="B39" s="12"/>
      <c r="C39" s="12">
        <f t="shared" si="5"/>
        <v>40.779242244914002</v>
      </c>
      <c r="D39" s="12">
        <f t="shared" si="0"/>
        <v>17.222083333333313</v>
      </c>
      <c r="E39" s="12">
        <f t="shared" si="1"/>
        <v>23.557158911580689</v>
      </c>
      <c r="F39" s="12">
        <f t="shared" si="2"/>
        <v>2933.0448926401255</v>
      </c>
      <c r="G39" s="12">
        <f t="shared" si="4"/>
        <v>35</v>
      </c>
      <c r="H39" s="12"/>
      <c r="I39" s="41">
        <f t="shared" si="3"/>
        <v>2.5041656597116067</v>
      </c>
      <c r="J39" s="12"/>
      <c r="K39" s="12"/>
      <c r="L39" s="12"/>
      <c r="M39" s="12"/>
      <c r="N39" s="12"/>
      <c r="O39" s="12"/>
      <c r="P39" s="12"/>
      <c r="Q39" s="12"/>
      <c r="R39" s="12"/>
    </row>
    <row r="40" spans="1:18" x14ac:dyDescent="0.3">
      <c r="A40" s="29">
        <v>40543</v>
      </c>
      <c r="B40" s="30"/>
      <c r="C40" s="36">
        <f t="shared" si="5"/>
        <v>40.779242244914002</v>
      </c>
      <c r="D40" s="12">
        <f t="shared" si="0"/>
        <v>17.222083333333313</v>
      </c>
      <c r="E40" s="36">
        <f t="shared" si="1"/>
        <v>23.557158911580689</v>
      </c>
      <c r="F40" s="36">
        <f t="shared" si="2"/>
        <v>2909.4877337285448</v>
      </c>
      <c r="G40" s="36">
        <f t="shared" si="4"/>
        <v>36</v>
      </c>
      <c r="H40" s="12"/>
      <c r="I40" s="41">
        <f t="shared" si="3"/>
        <v>2.3736167390631344</v>
      </c>
      <c r="J40" s="12"/>
      <c r="K40" s="12"/>
      <c r="L40" s="12"/>
      <c r="M40" s="12"/>
      <c r="N40" s="12"/>
      <c r="O40" s="12"/>
      <c r="P40" s="12"/>
      <c r="Q40" s="12"/>
      <c r="R40" s="12"/>
    </row>
    <row r="41" spans="1:18" x14ac:dyDescent="0.3">
      <c r="A41" s="28">
        <v>40574</v>
      </c>
      <c r="B41" s="12"/>
      <c r="C41" s="12">
        <f t="shared" si="5"/>
        <v>40.779242244914002</v>
      </c>
      <c r="D41" s="12">
        <f t="shared" si="0"/>
        <v>17.222083333333313</v>
      </c>
      <c r="E41" s="12">
        <f t="shared" si="1"/>
        <v>23.557158911580689</v>
      </c>
      <c r="F41" s="12">
        <f t="shared" si="2"/>
        <v>2885.9305748169641</v>
      </c>
      <c r="G41" s="12">
        <f t="shared" si="4"/>
        <v>37</v>
      </c>
      <c r="H41" s="12"/>
      <c r="I41" s="41">
        <f t="shared" si="3"/>
        <v>2.2498736863157673</v>
      </c>
      <c r="J41" s="12"/>
      <c r="K41" s="12"/>
      <c r="L41" s="12"/>
      <c r="M41" s="12"/>
      <c r="N41" s="12"/>
      <c r="O41" s="12"/>
      <c r="P41" s="12"/>
      <c r="Q41" s="12"/>
      <c r="R41" s="12"/>
    </row>
    <row r="42" spans="1:18" x14ac:dyDescent="0.3">
      <c r="A42" s="28">
        <v>40602</v>
      </c>
      <c r="B42" s="12"/>
      <c r="C42" s="12">
        <f t="shared" si="5"/>
        <v>40.779242244914002</v>
      </c>
      <c r="D42" s="12">
        <f t="shared" si="0"/>
        <v>17.222083333333313</v>
      </c>
      <c r="E42" s="12">
        <f t="shared" si="1"/>
        <v>23.557158911580689</v>
      </c>
      <c r="F42" s="12">
        <f t="shared" si="2"/>
        <v>2862.3734159053834</v>
      </c>
      <c r="G42" s="12">
        <f t="shared" si="4"/>
        <v>38</v>
      </c>
      <c r="H42" s="12"/>
      <c r="I42" s="41">
        <f t="shared" si="3"/>
        <v>2.1325816931903008</v>
      </c>
      <c r="J42" s="12"/>
      <c r="K42" s="12"/>
      <c r="L42" s="12"/>
      <c r="M42" s="12"/>
      <c r="N42" s="12"/>
      <c r="O42" s="12"/>
      <c r="P42" s="12"/>
      <c r="Q42" s="12"/>
      <c r="R42" s="12"/>
    </row>
    <row r="43" spans="1:18" x14ac:dyDescent="0.3">
      <c r="A43" s="28">
        <v>40633</v>
      </c>
      <c r="B43" s="12"/>
      <c r="C43" s="12">
        <f t="shared" si="5"/>
        <v>40.779242244914002</v>
      </c>
      <c r="D43" s="12">
        <f t="shared" si="0"/>
        <v>17.222083333333313</v>
      </c>
      <c r="E43" s="12">
        <f t="shared" si="1"/>
        <v>23.557158911580689</v>
      </c>
      <c r="F43" s="12">
        <f t="shared" si="2"/>
        <v>2838.8162569938027</v>
      </c>
      <c r="G43" s="12">
        <f t="shared" si="4"/>
        <v>39</v>
      </c>
      <c r="H43" s="12"/>
      <c r="I43" s="41">
        <f t="shared" si="3"/>
        <v>2.0214044485216123</v>
      </c>
      <c r="J43" s="12"/>
      <c r="K43" s="12"/>
      <c r="L43" s="12"/>
      <c r="M43" s="12"/>
      <c r="N43" s="12"/>
      <c r="O43" s="12"/>
      <c r="P43" s="12"/>
      <c r="Q43" s="12"/>
      <c r="R43" s="12"/>
    </row>
    <row r="44" spans="1:18" x14ac:dyDescent="0.3">
      <c r="A44" s="28">
        <v>40663</v>
      </c>
      <c r="B44" s="12"/>
      <c r="C44" s="12">
        <f t="shared" si="5"/>
        <v>40.779242244914002</v>
      </c>
      <c r="D44" s="12">
        <f t="shared" si="0"/>
        <v>17.222083333333313</v>
      </c>
      <c r="E44" s="12">
        <f t="shared" si="1"/>
        <v>23.557158911580689</v>
      </c>
      <c r="F44" s="12">
        <f t="shared" si="2"/>
        <v>2815.259098082222</v>
      </c>
      <c r="G44" s="12">
        <f t="shared" si="4"/>
        <v>40</v>
      </c>
      <c r="H44" s="12"/>
      <c r="I44" s="41">
        <f t="shared" si="3"/>
        <v>1.9160231739541347</v>
      </c>
      <c r="J44" s="12"/>
      <c r="K44" s="12"/>
      <c r="L44" s="12"/>
      <c r="M44" s="12"/>
      <c r="N44" s="12"/>
      <c r="O44" s="12"/>
      <c r="P44" s="12"/>
      <c r="Q44" s="12"/>
      <c r="R44" s="12"/>
    </row>
    <row r="45" spans="1:18" x14ac:dyDescent="0.3">
      <c r="A45" s="28">
        <v>40694</v>
      </c>
      <c r="B45" s="12"/>
      <c r="C45" s="12">
        <f t="shared" si="5"/>
        <v>40.779242244914002</v>
      </c>
      <c r="D45" s="12">
        <f t="shared" si="0"/>
        <v>17.222083333333313</v>
      </c>
      <c r="E45" s="12">
        <f t="shared" si="1"/>
        <v>23.557158911580689</v>
      </c>
      <c r="F45" s="12">
        <f t="shared" si="2"/>
        <v>2791.7019391706413</v>
      </c>
      <c r="G45" s="12">
        <f t="shared" si="4"/>
        <v>41</v>
      </c>
      <c r="H45" s="12"/>
      <c r="I45" s="41">
        <f t="shared" si="3"/>
        <v>1.8161357099091326</v>
      </c>
      <c r="J45" s="12"/>
      <c r="K45" s="12"/>
      <c r="L45" s="12"/>
      <c r="M45" s="12"/>
      <c r="N45" s="12"/>
      <c r="O45" s="12"/>
      <c r="P45" s="12"/>
      <c r="Q45" s="12"/>
      <c r="R45" s="12"/>
    </row>
    <row r="46" spans="1:18" x14ac:dyDescent="0.3">
      <c r="A46" s="28">
        <v>40724</v>
      </c>
      <c r="B46" s="12"/>
      <c r="C46" s="12">
        <f t="shared" si="5"/>
        <v>40.779242244914002</v>
      </c>
      <c r="D46" s="12">
        <f t="shared" si="0"/>
        <v>17.222083333333313</v>
      </c>
      <c r="E46" s="12">
        <f>C46-D46</f>
        <v>23.557158911580689</v>
      </c>
      <c r="F46" s="12">
        <f>F45-E46</f>
        <v>2768.1447802590606</v>
      </c>
      <c r="G46" s="12">
        <f t="shared" si="4"/>
        <v>42</v>
      </c>
      <c r="H46" s="12"/>
      <c r="I46" s="41">
        <f t="shared" si="3"/>
        <v>1.7214556492029693</v>
      </c>
      <c r="J46" s="12"/>
      <c r="K46" s="12"/>
      <c r="L46" s="12"/>
      <c r="M46" s="12"/>
      <c r="N46" s="12"/>
      <c r="O46" s="12"/>
      <c r="P46" s="12"/>
      <c r="Q46" s="12"/>
      <c r="R46" s="12"/>
    </row>
    <row r="47" spans="1:18" x14ac:dyDescent="0.3">
      <c r="A47" s="28">
        <v>40755</v>
      </c>
      <c r="B47" s="12"/>
      <c r="C47" s="12">
        <f t="shared" si="5"/>
        <v>40.779242244914002</v>
      </c>
      <c r="D47" s="12">
        <f t="shared" si="0"/>
        <v>17.222083333333313</v>
      </c>
      <c r="E47" s="12">
        <f t="shared" ref="E47:E64" si="6">C47-D47</f>
        <v>23.557158911580689</v>
      </c>
      <c r="F47" s="12">
        <f t="shared" ref="F47:F64" si="7">F46-E47</f>
        <v>2744.5876213474799</v>
      </c>
      <c r="G47" s="12">
        <f t="shared" si="4"/>
        <v>43</v>
      </c>
      <c r="I47" s="41">
        <f t="shared" si="3"/>
        <v>1.6317115158321986</v>
      </c>
    </row>
    <row r="48" spans="1:18" x14ac:dyDescent="0.3">
      <c r="A48" s="28">
        <v>40786</v>
      </c>
      <c r="B48" s="12"/>
      <c r="C48" s="12">
        <f t="shared" si="5"/>
        <v>40.779242244914002</v>
      </c>
      <c r="D48" s="12">
        <f t="shared" si="0"/>
        <v>17.222083333333313</v>
      </c>
      <c r="E48" s="12">
        <f t="shared" si="6"/>
        <v>23.557158911580689</v>
      </c>
      <c r="F48" s="12">
        <f t="shared" si="7"/>
        <v>2721.0304624358992</v>
      </c>
      <c r="G48" s="12">
        <f t="shared" si="4"/>
        <v>44</v>
      </c>
      <c r="I48" s="41">
        <f t="shared" si="3"/>
        <v>1.5466459865708044</v>
      </c>
    </row>
    <row r="49" spans="1:9" x14ac:dyDescent="0.3">
      <c r="A49" s="28">
        <v>40816</v>
      </c>
      <c r="B49" s="12"/>
      <c r="C49" s="12">
        <f t="shared" si="5"/>
        <v>40.779242244914002</v>
      </c>
      <c r="D49" s="12">
        <f t="shared" si="0"/>
        <v>17.222083333333313</v>
      </c>
      <c r="E49" s="12">
        <f t="shared" si="6"/>
        <v>23.557158911580689</v>
      </c>
      <c r="F49" s="12">
        <f t="shared" si="7"/>
        <v>2697.4733035243185</v>
      </c>
      <c r="G49" s="12">
        <f t="shared" si="4"/>
        <v>45</v>
      </c>
      <c r="I49" s="41">
        <f t="shared" si="3"/>
        <v>1.4660151531476819</v>
      </c>
    </row>
    <row r="50" spans="1:9" x14ac:dyDescent="0.3">
      <c r="A50" s="28">
        <v>40847</v>
      </c>
      <c r="B50" s="12"/>
      <c r="C50" s="12">
        <f t="shared" si="5"/>
        <v>40.779242244914002</v>
      </c>
      <c r="D50" s="12">
        <f t="shared" si="0"/>
        <v>17.222083333333313</v>
      </c>
      <c r="E50" s="12">
        <f t="shared" si="6"/>
        <v>23.557158911580689</v>
      </c>
      <c r="F50" s="12">
        <f t="shared" si="7"/>
        <v>2673.9161446127378</v>
      </c>
      <c r="G50" s="12">
        <f t="shared" si="4"/>
        <v>46</v>
      </c>
      <c r="I50" s="41">
        <f t="shared" si="3"/>
        <v>1.3895878228887979</v>
      </c>
    </row>
    <row r="51" spans="1:9" x14ac:dyDescent="0.3">
      <c r="A51" s="28">
        <v>40877</v>
      </c>
      <c r="B51" s="12"/>
      <c r="C51" s="12">
        <f t="shared" si="5"/>
        <v>40.779242244914002</v>
      </c>
      <c r="D51" s="12">
        <f t="shared" si="0"/>
        <v>17.222083333333313</v>
      </c>
      <c r="E51" s="12">
        <f t="shared" si="6"/>
        <v>23.557158911580689</v>
      </c>
      <c r="F51" s="12">
        <f t="shared" si="7"/>
        <v>2650.3589857011571</v>
      </c>
      <c r="G51" s="12">
        <f t="shared" si="4"/>
        <v>47</v>
      </c>
      <c r="I51" s="41">
        <f t="shared" si="3"/>
        <v>1.3171448558187659</v>
      </c>
    </row>
    <row r="52" spans="1:9" x14ac:dyDescent="0.3">
      <c r="A52" s="29">
        <v>40908</v>
      </c>
      <c r="B52" s="30"/>
      <c r="C52" s="12">
        <f t="shared" si="5"/>
        <v>40.779242244914002</v>
      </c>
      <c r="D52" s="12">
        <f t="shared" si="0"/>
        <v>17.222083333333313</v>
      </c>
      <c r="E52" s="36">
        <f t="shared" si="6"/>
        <v>23.557158911580689</v>
      </c>
      <c r="F52" s="36">
        <f t="shared" si="7"/>
        <v>2626.8018267895764</v>
      </c>
      <c r="G52" s="12">
        <f t="shared" si="4"/>
        <v>48</v>
      </c>
      <c r="I52" s="41">
        <f t="shared" si="3"/>
        <v>1.2484785363211053</v>
      </c>
    </row>
    <row r="53" spans="1:9" x14ac:dyDescent="0.3">
      <c r="A53" s="28">
        <v>40939</v>
      </c>
      <c r="B53" s="12"/>
      <c r="C53" s="12">
        <f t="shared" si="5"/>
        <v>40.779242244914002</v>
      </c>
      <c r="D53" s="12">
        <f t="shared" si="0"/>
        <v>17.222083333333313</v>
      </c>
      <c r="E53" s="12">
        <f t="shared" si="6"/>
        <v>23.557158911580689</v>
      </c>
      <c r="F53" s="12">
        <f t="shared" si="7"/>
        <v>2603.2446678779957</v>
      </c>
      <c r="G53" s="12">
        <f t="shared" si="4"/>
        <v>49</v>
      </c>
      <c r="I53" s="41">
        <f t="shared" si="3"/>
        <v>1.1833919775555501</v>
      </c>
    </row>
    <row r="54" spans="1:9" x14ac:dyDescent="0.3">
      <c r="A54" s="28">
        <v>40967</v>
      </c>
      <c r="B54" s="12"/>
      <c r="C54" s="12">
        <f t="shared" si="5"/>
        <v>40.779242244914002</v>
      </c>
      <c r="D54" s="12">
        <f t="shared" si="0"/>
        <v>17.222083333333313</v>
      </c>
      <c r="E54" s="12">
        <f t="shared" si="6"/>
        <v>23.557158911580689</v>
      </c>
      <c r="F54" s="12">
        <f t="shared" si="7"/>
        <v>2579.687508966415</v>
      </c>
      <c r="G54" s="12">
        <f t="shared" si="4"/>
        <v>50</v>
      </c>
      <c r="I54" s="41">
        <f t="shared" si="3"/>
        <v>1.121698556924692</v>
      </c>
    </row>
    <row r="55" spans="1:9" x14ac:dyDescent="0.3">
      <c r="A55" s="28">
        <v>40999</v>
      </c>
      <c r="B55" s="12"/>
      <c r="C55" s="12">
        <f t="shared" si="5"/>
        <v>40.779242244914002</v>
      </c>
      <c r="D55" s="12">
        <f t="shared" si="0"/>
        <v>17.222083333333313</v>
      </c>
      <c r="E55" s="12">
        <f t="shared" si="6"/>
        <v>23.557158911580689</v>
      </c>
      <c r="F55" s="12">
        <f t="shared" si="7"/>
        <v>2556.1303500548343</v>
      </c>
      <c r="G55" s="12">
        <f t="shared" si="4"/>
        <v>51</v>
      </c>
      <c r="I55" s="41">
        <f t="shared" si="3"/>
        <v>1.0632213809712721</v>
      </c>
    </row>
    <row r="56" spans="1:9" x14ac:dyDescent="0.3">
      <c r="A56" s="28">
        <v>41029</v>
      </c>
      <c r="B56" s="12"/>
      <c r="C56" s="12">
        <f t="shared" si="5"/>
        <v>40.779242244914002</v>
      </c>
      <c r="D56" s="12">
        <f t="shared" si="0"/>
        <v>17.222083333333313</v>
      </c>
      <c r="E56" s="12">
        <f t="shared" si="6"/>
        <v>23.557158911580689</v>
      </c>
      <c r="F56" s="12">
        <f t="shared" si="7"/>
        <v>2532.5731911432536</v>
      </c>
      <c r="G56" s="12">
        <f t="shared" si="4"/>
        <v>52</v>
      </c>
      <c r="I56" s="41">
        <f t="shared" si="3"/>
        <v>1.0077927781718219</v>
      </c>
    </row>
    <row r="57" spans="1:9" x14ac:dyDescent="0.3">
      <c r="A57" s="28">
        <v>41060</v>
      </c>
      <c r="B57" s="12"/>
      <c r="C57" s="12">
        <f t="shared" si="5"/>
        <v>40.779242244914002</v>
      </c>
      <c r="D57" s="12">
        <f t="shared" si="0"/>
        <v>17.222083333333313</v>
      </c>
      <c r="E57" s="12">
        <f t="shared" si="6"/>
        <v>23.557158911580689</v>
      </c>
      <c r="F57" s="12">
        <f t="shared" si="7"/>
        <v>2509.0160322316729</v>
      </c>
      <c r="G57" s="12">
        <f t="shared" si="4"/>
        <v>53</v>
      </c>
      <c r="I57" s="41">
        <f t="shared" si="3"/>
        <v>0.95525381817234312</v>
      </c>
    </row>
    <row r="58" spans="1:9" x14ac:dyDescent="0.3">
      <c r="A58" s="28">
        <v>41090</v>
      </c>
      <c r="B58" s="12"/>
      <c r="C58" s="12">
        <f t="shared" si="5"/>
        <v>40.779242244914002</v>
      </c>
      <c r="D58" s="12">
        <f t="shared" si="0"/>
        <v>17.222083333333313</v>
      </c>
      <c r="E58" s="12">
        <f t="shared" si="6"/>
        <v>23.557158911580689</v>
      </c>
      <c r="F58" s="12">
        <f t="shared" si="7"/>
        <v>2485.4588733200922</v>
      </c>
      <c r="G58" s="12">
        <f t="shared" si="4"/>
        <v>54</v>
      </c>
      <c r="I58" s="41">
        <f t="shared" si="3"/>
        <v>0.90545385608752915</v>
      </c>
    </row>
    <row r="59" spans="1:9" x14ac:dyDescent="0.3">
      <c r="A59" s="28">
        <v>41121</v>
      </c>
      <c r="B59" s="12"/>
      <c r="C59" s="12">
        <f t="shared" si="5"/>
        <v>40.779242244914002</v>
      </c>
      <c r="D59" s="12">
        <f t="shared" si="0"/>
        <v>17.222083333333313</v>
      </c>
      <c r="E59" s="12">
        <f t="shared" si="6"/>
        <v>23.557158911580689</v>
      </c>
      <c r="F59" s="12">
        <f t="shared" si="7"/>
        <v>2461.9017144085115</v>
      </c>
      <c r="G59" s="12">
        <f t="shared" si="4"/>
        <v>55</v>
      </c>
      <c r="I59" s="41">
        <f t="shared" si="3"/>
        <v>0.85825010055689965</v>
      </c>
    </row>
    <row r="60" spans="1:9" x14ac:dyDescent="0.3">
      <c r="A60" s="28">
        <v>41152</v>
      </c>
      <c r="B60" s="12"/>
      <c r="C60" s="12">
        <f t="shared" si="5"/>
        <v>40.779242244914002</v>
      </c>
      <c r="D60" s="12">
        <f t="shared" si="0"/>
        <v>17.222083333333313</v>
      </c>
      <c r="E60" s="12">
        <f t="shared" si="6"/>
        <v>23.557158911580689</v>
      </c>
      <c r="F60" s="12">
        <f t="shared" si="7"/>
        <v>2438.3445554969308</v>
      </c>
      <c r="G60" s="12">
        <f t="shared" si="4"/>
        <v>56</v>
      </c>
      <c r="I60" s="41">
        <f t="shared" si="3"/>
        <v>0.81350720431933621</v>
      </c>
    </row>
    <row r="61" spans="1:9" x14ac:dyDescent="0.3">
      <c r="A61" s="28">
        <v>41182</v>
      </c>
      <c r="B61" s="12"/>
      <c r="C61" s="12">
        <f t="shared" si="5"/>
        <v>40.779242244914002</v>
      </c>
      <c r="D61" s="12">
        <f t="shared" si="0"/>
        <v>17.222083333333313</v>
      </c>
      <c r="E61" s="12">
        <f t="shared" si="6"/>
        <v>23.557158911580689</v>
      </c>
      <c r="F61" s="12">
        <f t="shared" si="7"/>
        <v>2414.7873965853501</v>
      </c>
      <c r="G61" s="12">
        <f t="shared" si="4"/>
        <v>57</v>
      </c>
      <c r="I61" s="41">
        <f t="shared" si="3"/>
        <v>0.77109687613207212</v>
      </c>
    </row>
    <row r="62" spans="1:9" x14ac:dyDescent="0.3">
      <c r="A62" s="28">
        <v>41213</v>
      </c>
      <c r="B62" s="12"/>
      <c r="C62" s="12">
        <f t="shared" si="5"/>
        <v>40.779242244914002</v>
      </c>
      <c r="D62" s="12">
        <f t="shared" si="0"/>
        <v>17.222083333333313</v>
      </c>
      <c r="E62" s="12">
        <f t="shared" si="6"/>
        <v>23.557158911580689</v>
      </c>
      <c r="F62" s="12">
        <f t="shared" si="7"/>
        <v>2391.2302376737694</v>
      </c>
      <c r="G62" s="12">
        <f t="shared" si="4"/>
        <v>58</v>
      </c>
      <c r="I62" s="41">
        <f t="shared" si="3"/>
        <v>0.73089751292139538</v>
      </c>
    </row>
    <row r="63" spans="1:9" x14ac:dyDescent="0.3">
      <c r="A63" s="28">
        <v>41243</v>
      </c>
      <c r="B63" s="12"/>
      <c r="C63" s="12">
        <f t="shared" si="5"/>
        <v>40.779242244914002</v>
      </c>
      <c r="D63" s="12">
        <f t="shared" si="0"/>
        <v>17.222083333333313</v>
      </c>
      <c r="E63" s="12">
        <f t="shared" si="6"/>
        <v>23.557158911580689</v>
      </c>
      <c r="F63" s="12">
        <f t="shared" si="7"/>
        <v>2367.6730787621887</v>
      </c>
      <c r="G63" s="12">
        <f t="shared" si="4"/>
        <v>59</v>
      </c>
      <c r="I63" s="41">
        <f t="shared" si="3"/>
        <v>0.69279385111032754</v>
      </c>
    </row>
    <row r="64" spans="1:9" x14ac:dyDescent="0.3">
      <c r="A64" s="31">
        <v>41274</v>
      </c>
      <c r="B64" s="32"/>
      <c r="C64" s="12">
        <f>F63+D64</f>
        <v>2367.6730787621887</v>
      </c>
      <c r="D64" s="12">
        <f t="shared" ref="D64" si="8">($L$59/12)*F63</f>
        <v>0</v>
      </c>
      <c r="E64" s="12">
        <f t="shared" si="6"/>
        <v>2367.6730787621887</v>
      </c>
      <c r="F64" s="12">
        <f t="shared" si="7"/>
        <v>0</v>
      </c>
      <c r="G64" s="37">
        <f t="shared" ref="G64" si="9">G63+1</f>
        <v>60</v>
      </c>
      <c r="I64" s="41">
        <f>($N$4*C64)/((1+$N$5)^G64)</f>
        <v>38.127133002225364</v>
      </c>
    </row>
    <row r="66" spans="9:9" x14ac:dyDescent="0.3">
      <c r="I66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50246-9A47-4685-8254-B55B5722921D}">
  <dimension ref="C3:M33"/>
  <sheetViews>
    <sheetView topLeftCell="A4" zoomScale="70" zoomScaleNormal="70" workbookViewId="0">
      <selection activeCell="E34" sqref="E34"/>
    </sheetView>
  </sheetViews>
  <sheetFormatPr defaultRowHeight="14" x14ac:dyDescent="0.3"/>
  <cols>
    <col min="1" max="2" width="8.7265625" style="1"/>
    <col min="3" max="3" width="24.7265625" style="1" bestFit="1" customWidth="1"/>
    <col min="4" max="4" width="36.54296875" style="1" bestFit="1" customWidth="1"/>
    <col min="5" max="5" width="12.6328125" style="1" bestFit="1" customWidth="1"/>
    <col min="6" max="6" width="24.90625" style="1" bestFit="1" customWidth="1"/>
    <col min="7" max="7" width="14.54296875" style="1" bestFit="1" customWidth="1"/>
    <col min="8" max="8" width="10.08984375" style="1" bestFit="1" customWidth="1"/>
    <col min="9" max="12" width="8.7265625" style="1"/>
    <col min="13" max="13" width="11.90625" style="1" customWidth="1"/>
    <col min="14" max="16384" width="8.7265625" style="1"/>
  </cols>
  <sheetData>
    <row r="3" spans="3:13" x14ac:dyDescent="0.3">
      <c r="C3" s="66"/>
      <c r="D3" s="66"/>
      <c r="E3" s="67" t="s">
        <v>76</v>
      </c>
      <c r="F3" s="68" t="s">
        <v>77</v>
      </c>
      <c r="G3" s="69" t="s">
        <v>78</v>
      </c>
      <c r="H3" s="68" t="s">
        <v>78</v>
      </c>
      <c r="I3" s="68" t="s">
        <v>76</v>
      </c>
      <c r="J3" s="70"/>
      <c r="K3" s="70"/>
      <c r="L3" s="70"/>
      <c r="M3" s="71" t="s">
        <v>77</v>
      </c>
    </row>
    <row r="4" spans="3:13" ht="16.5" x14ac:dyDescent="0.3">
      <c r="C4" s="72" t="s">
        <v>25</v>
      </c>
      <c r="D4" s="66"/>
      <c r="E4" s="73" t="s">
        <v>79</v>
      </c>
      <c r="F4" s="74" t="s">
        <v>80</v>
      </c>
      <c r="G4" s="75" t="s">
        <v>81</v>
      </c>
      <c r="H4" s="74" t="s">
        <v>76</v>
      </c>
      <c r="I4" s="74" t="s">
        <v>86</v>
      </c>
      <c r="J4" s="76" t="s">
        <v>82</v>
      </c>
      <c r="K4" s="76" t="s">
        <v>8</v>
      </c>
      <c r="L4" s="76" t="s">
        <v>83</v>
      </c>
      <c r="M4" s="77" t="s">
        <v>84</v>
      </c>
    </row>
    <row r="5" spans="3:13" x14ac:dyDescent="0.3">
      <c r="C5" s="66" t="s">
        <v>26</v>
      </c>
      <c r="D5" s="66"/>
      <c r="E5" s="78">
        <v>118496.867</v>
      </c>
      <c r="F5" s="78">
        <v>69130</v>
      </c>
      <c r="G5" s="79">
        <v>0.368444035256422</v>
      </c>
      <c r="H5" s="79">
        <v>0.58339095159368204</v>
      </c>
      <c r="I5" s="80">
        <v>0.86</v>
      </c>
      <c r="J5" s="12">
        <v>43882</v>
      </c>
      <c r="K5" s="12">
        <v>11795</v>
      </c>
      <c r="L5" s="12">
        <v>16949</v>
      </c>
      <c r="M5" s="12">
        <v>3794</v>
      </c>
    </row>
    <row r="6" spans="3:13" x14ac:dyDescent="0.3">
      <c r="C6" s="12" t="s">
        <v>27</v>
      </c>
      <c r="D6" s="66"/>
      <c r="E6" s="78">
        <v>189469.94865000001</v>
      </c>
      <c r="F6" s="78">
        <v>79351.251000000004</v>
      </c>
      <c r="G6" s="79">
        <v>0.29518226651511797</v>
      </c>
      <c r="H6" s="79">
        <v>0.41880652612928299</v>
      </c>
      <c r="I6" s="80">
        <v>0.89</v>
      </c>
      <c r="J6" s="12">
        <v>42684</v>
      </c>
      <c r="K6" s="12">
        <v>7020</v>
      </c>
      <c r="L6" s="12">
        <v>14099</v>
      </c>
      <c r="M6" s="12">
        <v>4102.8</v>
      </c>
    </row>
    <row r="7" spans="3:13" x14ac:dyDescent="0.3">
      <c r="C7" s="12" t="s">
        <v>28</v>
      </c>
      <c r="D7" s="66"/>
      <c r="E7" s="78">
        <v>21078.873</v>
      </c>
      <c r="F7" s="78">
        <v>5080.0083930000001</v>
      </c>
      <c r="G7" s="79">
        <v>0.1941982272361</v>
      </c>
      <c r="H7" s="79">
        <v>0.24099999999999999</v>
      </c>
      <c r="I7" s="80">
        <v>1.17</v>
      </c>
      <c r="J7" s="12">
        <v>34698</v>
      </c>
      <c r="K7" s="12">
        <v>1631.2201851851801</v>
      </c>
      <c r="L7" s="12">
        <v>9914</v>
      </c>
      <c r="M7" s="12">
        <v>-29.742000000000601</v>
      </c>
    </row>
    <row r="8" spans="3:13" x14ac:dyDescent="0.3">
      <c r="C8" s="66" t="s">
        <v>29</v>
      </c>
      <c r="D8" s="66"/>
      <c r="E8" s="78">
        <v>26285.354630999998</v>
      </c>
      <c r="F8" s="78">
        <v>8335.0859534900992</v>
      </c>
      <c r="G8" s="79">
        <v>0.24075620681800899</v>
      </c>
      <c r="H8" s="79">
        <v>0.31709999999999999</v>
      </c>
      <c r="I8" s="80">
        <v>0.97</v>
      </c>
      <c r="J8" s="12">
        <v>38896.457999999999</v>
      </c>
      <c r="K8" s="12">
        <v>6701.8597134000001</v>
      </c>
      <c r="L8" s="12">
        <v>12614.121329400001</v>
      </c>
      <c r="M8" s="12">
        <v>3383.9918459999999</v>
      </c>
    </row>
    <row r="9" spans="3:13" x14ac:dyDescent="0.3">
      <c r="C9" s="12" t="s">
        <v>30</v>
      </c>
      <c r="D9" s="66"/>
      <c r="E9" s="78">
        <v>7359.8992966799997</v>
      </c>
      <c r="F9" s="78">
        <v>3267.7952877259199</v>
      </c>
      <c r="G9" s="81">
        <v>0.30747922437673098</v>
      </c>
      <c r="H9" s="81">
        <v>0.44399999999999901</v>
      </c>
      <c r="I9" s="82">
        <v>1.1299999999999999</v>
      </c>
      <c r="J9" s="12">
        <v>4063.5189999999998</v>
      </c>
      <c r="K9" s="12">
        <v>510.05290488000003</v>
      </c>
      <c r="L9" s="12">
        <v>1028.4766589000001</v>
      </c>
      <c r="M9" s="12">
        <v>239.74762100000001</v>
      </c>
    </row>
    <row r="10" spans="3:13" x14ac:dyDescent="0.3">
      <c r="C10" s="12" t="s">
        <v>85</v>
      </c>
      <c r="D10" s="12"/>
      <c r="E10" s="12"/>
      <c r="F10" s="12"/>
      <c r="G10" s="65">
        <f>AVERAGE(G5:G9)</f>
        <v>0.28121199204047598</v>
      </c>
      <c r="H10" s="65">
        <f>AVERAGE(H5:H9)</f>
        <v>0.40085949554459283</v>
      </c>
      <c r="I10" s="63">
        <f>AVERAGE(I5:I9)</f>
        <v>1.004</v>
      </c>
      <c r="J10" s="12"/>
      <c r="K10" s="12"/>
      <c r="L10" s="12"/>
      <c r="M10" s="12"/>
    </row>
    <row r="11" spans="3:13" x14ac:dyDescent="0.3">
      <c r="E11" s="1" t="s">
        <v>94</v>
      </c>
      <c r="F11" s="1" t="s">
        <v>83</v>
      </c>
      <c r="G11" s="1" t="s">
        <v>95</v>
      </c>
    </row>
    <row r="12" spans="3:13" x14ac:dyDescent="0.3">
      <c r="C12" s="66"/>
      <c r="D12" s="66" t="s">
        <v>26</v>
      </c>
      <c r="E12" s="12">
        <f>E5+F5</f>
        <v>187626.867</v>
      </c>
      <c r="F12" s="12">
        <f>L5</f>
        <v>16949</v>
      </c>
      <c r="G12" s="45">
        <f>E12/F12</f>
        <v>11.070084783763054</v>
      </c>
      <c r="J12" s="3"/>
    </row>
    <row r="13" spans="3:13" x14ac:dyDescent="0.3">
      <c r="C13" s="12"/>
      <c r="D13" s="12" t="s">
        <v>27</v>
      </c>
      <c r="E13" s="12">
        <f t="shared" ref="E13:E16" si="0">E6+F6</f>
        <v>268821.19965000002</v>
      </c>
      <c r="F13" s="12">
        <f t="shared" ref="F13:F16" si="1">L6</f>
        <v>14099</v>
      </c>
      <c r="G13" s="45">
        <f t="shared" ref="G13:G16" si="2">E13/F13</f>
        <v>19.066685555713171</v>
      </c>
    </row>
    <row r="14" spans="3:13" x14ac:dyDescent="0.3">
      <c r="C14" s="12"/>
      <c r="D14" s="12" t="s">
        <v>28</v>
      </c>
      <c r="E14" s="12">
        <f t="shared" si="0"/>
        <v>26158.881393</v>
      </c>
      <c r="F14" s="12">
        <f t="shared" si="1"/>
        <v>9914</v>
      </c>
      <c r="G14" s="45">
        <f t="shared" si="2"/>
        <v>2.6385799266693564</v>
      </c>
    </row>
    <row r="15" spans="3:13" x14ac:dyDescent="0.3">
      <c r="C15" s="66"/>
      <c r="D15" s="66" t="s">
        <v>29</v>
      </c>
      <c r="E15" s="12">
        <f t="shared" si="0"/>
        <v>34620.440584490098</v>
      </c>
      <c r="F15" s="12">
        <f t="shared" si="1"/>
        <v>12614.121329400001</v>
      </c>
      <c r="G15" s="45">
        <f t="shared" si="2"/>
        <v>2.7445780550563996</v>
      </c>
    </row>
    <row r="16" spans="3:13" x14ac:dyDescent="0.3">
      <c r="C16" s="12"/>
      <c r="D16" s="12" t="s">
        <v>30</v>
      </c>
      <c r="E16" s="12">
        <f t="shared" si="0"/>
        <v>10627.694584405919</v>
      </c>
      <c r="F16" s="12">
        <f t="shared" si="1"/>
        <v>1028.4766589000001</v>
      </c>
      <c r="G16" s="45">
        <f t="shared" si="2"/>
        <v>10.333432939326688</v>
      </c>
    </row>
    <row r="17" spans="3:8" ht="14.5" thickBot="1" x14ac:dyDescent="0.35"/>
    <row r="18" spans="3:8" ht="14.5" thickBot="1" x14ac:dyDescent="0.35">
      <c r="F18" s="94" t="s">
        <v>96</v>
      </c>
      <c r="G18" s="95">
        <f>AVERAGE(G12:G16)</f>
        <v>9.1706722521057351</v>
      </c>
    </row>
    <row r="19" spans="3:8" x14ac:dyDescent="0.3">
      <c r="F19" s="45"/>
      <c r="G19" s="45"/>
    </row>
    <row r="20" spans="3:8" x14ac:dyDescent="0.3">
      <c r="C20" s="1" t="s">
        <v>104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</row>
    <row r="21" spans="3:8" x14ac:dyDescent="0.3">
      <c r="D21" s="1">
        <v>2008</v>
      </c>
      <c r="E21" s="1">
        <v>2009</v>
      </c>
      <c r="F21" s="1">
        <v>2010</v>
      </c>
      <c r="G21" s="1">
        <v>2011</v>
      </c>
      <c r="H21" s="1">
        <v>2012</v>
      </c>
    </row>
    <row r="22" spans="3:8" x14ac:dyDescent="0.3">
      <c r="C22" s="58" t="s">
        <v>97</v>
      </c>
      <c r="D22" s="3">
        <v>4665.1000000000004</v>
      </c>
      <c r="E22" s="3">
        <v>5409.3</v>
      </c>
      <c r="F22" s="3">
        <v>6169.9</v>
      </c>
      <c r="G22" s="3">
        <v>6931.3</v>
      </c>
      <c r="H22" s="3">
        <v>7510.6</v>
      </c>
    </row>
    <row r="23" spans="3:8" x14ac:dyDescent="0.3">
      <c r="C23" s="58" t="s">
        <v>98</v>
      </c>
      <c r="D23" s="3">
        <v>755.5</v>
      </c>
      <c r="E23" s="3">
        <v>861.2</v>
      </c>
      <c r="F23" s="3">
        <v>968.9</v>
      </c>
      <c r="G23" s="3">
        <v>1065.8</v>
      </c>
      <c r="H23" s="3">
        <v>1140.4000000000001</v>
      </c>
    </row>
    <row r="24" spans="3:8" x14ac:dyDescent="0.3">
      <c r="C24" s="96" t="s">
        <v>99</v>
      </c>
      <c r="D24" s="98">
        <f>D22-D23</f>
        <v>3909.6000000000004</v>
      </c>
      <c r="E24" s="98">
        <f t="shared" ref="E24:H24" si="3">E22-E23</f>
        <v>4548.1000000000004</v>
      </c>
      <c r="F24" s="98">
        <f t="shared" si="3"/>
        <v>5201</v>
      </c>
      <c r="G24" s="98">
        <f t="shared" si="3"/>
        <v>5865.5</v>
      </c>
      <c r="H24" s="98">
        <f t="shared" si="3"/>
        <v>6370.2000000000007</v>
      </c>
    </row>
    <row r="25" spans="3:8" ht="14.5" thickBot="1" x14ac:dyDescent="0.35">
      <c r="C25" s="58" t="s">
        <v>100</v>
      </c>
      <c r="D25" s="3">
        <v>839.9</v>
      </c>
      <c r="E25" s="3">
        <v>956.3</v>
      </c>
      <c r="F25" s="3">
        <v>1057.8</v>
      </c>
      <c r="G25" s="3">
        <v>1183.4000000000001</v>
      </c>
      <c r="H25" s="3">
        <v>1266.3</v>
      </c>
    </row>
    <row r="26" spans="3:8" ht="14.5" thickBot="1" x14ac:dyDescent="0.35">
      <c r="C26" s="97" t="s">
        <v>83</v>
      </c>
      <c r="D26" s="99">
        <f>D24-D25</f>
        <v>3069.7000000000003</v>
      </c>
      <c r="E26" s="99">
        <f t="shared" ref="E26:G26" si="4">E24-E25</f>
        <v>3591.8</v>
      </c>
      <c r="F26" s="99">
        <f t="shared" si="4"/>
        <v>4143.2</v>
      </c>
      <c r="G26" s="99">
        <f t="shared" si="4"/>
        <v>4682.1000000000004</v>
      </c>
      <c r="H26" s="99">
        <f>H24-H25</f>
        <v>5103.9000000000005</v>
      </c>
    </row>
    <row r="29" spans="3:8" x14ac:dyDescent="0.3">
      <c r="F29" s="1" t="s">
        <v>101</v>
      </c>
      <c r="G29" s="46">
        <f>AVERAGE(D26:H26)</f>
        <v>4118.1400000000003</v>
      </c>
    </row>
    <row r="30" spans="3:8" x14ac:dyDescent="0.3">
      <c r="F30" s="1" t="s">
        <v>105</v>
      </c>
      <c r="G30" s="23">
        <f>8.16%</f>
        <v>8.1600000000000006E-2</v>
      </c>
    </row>
    <row r="32" spans="3:8" x14ac:dyDescent="0.3">
      <c r="D32" s="1" t="s">
        <v>102</v>
      </c>
      <c r="E32" s="46">
        <f>G29*G18</f>
        <v>37766.112228286715</v>
      </c>
    </row>
    <row r="33" spans="4:5" x14ac:dyDescent="0.3">
      <c r="D33" s="1" t="s">
        <v>103</v>
      </c>
      <c r="E33" s="46">
        <f>E32*((1/(1+G30))^H20)</f>
        <v>25513.432217284364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 With Synergies</vt:lpstr>
      <vt:lpstr>Base Case No synergies</vt:lpstr>
      <vt:lpstr>Ku and Asset Beta Using Comps</vt:lpstr>
      <vt:lpstr>PV of ITS</vt:lpstr>
      <vt:lpstr>EV EBITDA Multiples 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Benka</dc:creator>
  <cp:lastModifiedBy>Benjamin Kanarick</cp:lastModifiedBy>
  <dcterms:created xsi:type="dcterms:W3CDTF">2022-04-10T21:47:32Z</dcterms:created>
  <dcterms:modified xsi:type="dcterms:W3CDTF">2023-02-13T21:26:29Z</dcterms:modified>
</cp:coreProperties>
</file>