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29b4690f9d67ff/Documents/Desktop/MSBA MASTER FOLDER/ALL RECRUTING MATERIALS/Benjamin Kanarick assignments examples/Integarative Finance Final Case - Valuation of Roku IPO/"/>
    </mc:Choice>
  </mc:AlternateContent>
  <xr:revisionPtr revIDLastSave="13" documentId="8_{2EFC60FC-75CB-47CE-AD7E-4A4F38A5E6AF}" xr6:coauthVersionLast="47" xr6:coauthVersionMax="47" xr10:uidLastSave="{23BB8526-FD94-445E-A0FB-988A8D90EF83}"/>
  <bookViews>
    <workbookView xWindow="-110" yWindow="-110" windowWidth="19420" windowHeight="10420" xr2:uid="{490E35F8-0C33-44AA-AEF3-BDCDD307E931}"/>
  </bookViews>
  <sheets>
    <sheet name="Platform Comps WACC" sheetId="1" r:id="rId1"/>
    <sheet name="Sensitivity Analysis" sheetId="3" r:id="rId2"/>
    <sheet name="WACC Through Comps 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1" l="1"/>
  <c r="R18" i="1"/>
  <c r="Q18" i="1"/>
  <c r="R17" i="1"/>
  <c r="S17" i="1"/>
  <c r="U17" i="1"/>
  <c r="Z20" i="1"/>
  <c r="H22" i="2"/>
  <c r="E22" i="2"/>
  <c r="B26" i="2"/>
  <c r="B28" i="2" s="1"/>
  <c r="Q28" i="1"/>
  <c r="V23" i="1"/>
  <c r="R23" i="1"/>
  <c r="S23" i="1"/>
  <c r="T23" i="1"/>
  <c r="U23" i="1"/>
  <c r="W23" i="1"/>
  <c r="X23" i="1"/>
  <c r="Y23" i="1"/>
  <c r="Z23" i="1"/>
  <c r="Q23" i="1"/>
  <c r="Q24" i="1"/>
  <c r="Q25" i="1" s="1"/>
  <c r="B71" i="2"/>
  <c r="B69" i="2"/>
  <c r="B68" i="2"/>
  <c r="B67" i="2"/>
  <c r="B66" i="2"/>
  <c r="E65" i="2"/>
  <c r="I65" i="2"/>
  <c r="H65" i="2"/>
  <c r="E44" i="2"/>
  <c r="B63" i="2"/>
  <c r="B62" i="2"/>
  <c r="B61" i="2"/>
  <c r="B60" i="2"/>
  <c r="G58" i="2"/>
  <c r="K58" i="2" s="1"/>
  <c r="J57" i="2"/>
  <c r="G57" i="2"/>
  <c r="K57" i="2" s="1"/>
  <c r="G56" i="2"/>
  <c r="H56" i="2" s="1"/>
  <c r="I56" i="2" s="1"/>
  <c r="G55" i="2"/>
  <c r="K55" i="2" s="1"/>
  <c r="G54" i="2"/>
  <c r="J54" i="2" s="1"/>
  <c r="B46" i="2"/>
  <c r="B24" i="2"/>
  <c r="Q27" i="1" l="1"/>
  <c r="Q29" i="1" s="1"/>
  <c r="H58" i="2"/>
  <c r="I58" i="2" s="1"/>
  <c r="J58" i="2"/>
  <c r="H57" i="2"/>
  <c r="I57" i="2" s="1"/>
  <c r="J56" i="2"/>
  <c r="K56" i="2"/>
  <c r="J55" i="2"/>
  <c r="H55" i="2"/>
  <c r="I55" i="2" s="1"/>
  <c r="H54" i="2"/>
  <c r="I54" i="2" s="1"/>
  <c r="K54" i="2"/>
  <c r="G33" i="2" l="1"/>
  <c r="G34" i="2"/>
  <c r="G35" i="2"/>
  <c r="G36" i="2"/>
  <c r="G37" i="2"/>
  <c r="G32" i="2"/>
  <c r="G11" i="2"/>
  <c r="G12" i="2"/>
  <c r="G13" i="2"/>
  <c r="G14" i="2"/>
  <c r="G15" i="2"/>
  <c r="G10" i="2"/>
  <c r="B5" i="2"/>
  <c r="R15" i="1"/>
  <c r="S15" i="1"/>
  <c r="T15" i="1"/>
  <c r="U15" i="1"/>
  <c r="V15" i="1"/>
  <c r="W15" i="1"/>
  <c r="X15" i="1"/>
  <c r="Y15" i="1"/>
  <c r="Z15" i="1"/>
  <c r="Q15" i="1"/>
  <c r="C33" i="1"/>
  <c r="R5" i="1"/>
  <c r="R9" i="1" s="1"/>
  <c r="R11" i="1" s="1"/>
  <c r="S5" i="1"/>
  <c r="S9" i="1" s="1"/>
  <c r="S11" i="1" s="1"/>
  <c r="T5" i="1"/>
  <c r="T9" i="1" s="1"/>
  <c r="T11" i="1" s="1"/>
  <c r="U5" i="1"/>
  <c r="U9" i="1" s="1"/>
  <c r="U11" i="1" s="1"/>
  <c r="V5" i="1"/>
  <c r="V9" i="1" s="1"/>
  <c r="V11" i="1" s="1"/>
  <c r="W5" i="1"/>
  <c r="W9" i="1" s="1"/>
  <c r="W11" i="1" s="1"/>
  <c r="X5" i="1"/>
  <c r="X9" i="1" s="1"/>
  <c r="X11" i="1" s="1"/>
  <c r="Y5" i="1"/>
  <c r="Y9" i="1" s="1"/>
  <c r="Y11" i="1" s="1"/>
  <c r="Z5" i="1"/>
  <c r="Z9" i="1" s="1"/>
  <c r="Z11" i="1" s="1"/>
  <c r="Q5" i="1"/>
  <c r="Q9" i="1" s="1"/>
  <c r="Q11" i="1" s="1"/>
  <c r="Q13" i="1" l="1"/>
  <c r="Q14" i="1" s="1"/>
  <c r="Q16" i="1" s="1"/>
  <c r="R13" i="1"/>
  <c r="R14" i="1" s="1"/>
  <c r="R16" i="1" s="1"/>
  <c r="H37" i="2"/>
  <c r="I37" i="2" s="1"/>
  <c r="K37" i="2"/>
  <c r="J37" i="2"/>
  <c r="H36" i="2"/>
  <c r="I36" i="2" s="1"/>
  <c r="J36" i="2"/>
  <c r="K36" i="2"/>
  <c r="H35" i="2"/>
  <c r="I35" i="2" s="1"/>
  <c r="J35" i="2"/>
  <c r="K35" i="2"/>
  <c r="H32" i="2"/>
  <c r="J32" i="2"/>
  <c r="K32" i="2"/>
  <c r="H34" i="2"/>
  <c r="I34" i="2" s="1"/>
  <c r="K34" i="2"/>
  <c r="J34" i="2"/>
  <c r="H33" i="2"/>
  <c r="I33" i="2" s="1"/>
  <c r="K33" i="2"/>
  <c r="J33" i="2"/>
  <c r="H12" i="2"/>
  <c r="I12" i="2" s="1"/>
  <c r="J12" i="2"/>
  <c r="K12" i="2"/>
  <c r="H11" i="2"/>
  <c r="I11" i="2" s="1"/>
  <c r="K11" i="2"/>
  <c r="J11" i="2"/>
  <c r="H10" i="2"/>
  <c r="I10" i="2" s="1"/>
  <c r="B17" i="2" s="1"/>
  <c r="J10" i="2"/>
  <c r="K10" i="2"/>
  <c r="H13" i="2"/>
  <c r="I13" i="2" s="1"/>
  <c r="K13" i="2"/>
  <c r="J13" i="2"/>
  <c r="H15" i="2"/>
  <c r="I15" i="2" s="1"/>
  <c r="J15" i="2"/>
  <c r="K15" i="2"/>
  <c r="H14" i="2"/>
  <c r="I14" i="2" s="1"/>
  <c r="K14" i="2"/>
  <c r="J14" i="2"/>
  <c r="T13" i="1"/>
  <c r="T14" i="1" s="1"/>
  <c r="T16" i="1" s="1"/>
  <c r="Z14" i="1"/>
  <c r="Z16" i="1" s="1"/>
  <c r="Z13" i="1"/>
  <c r="V13" i="1"/>
  <c r="V14" i="1" s="1"/>
  <c r="V16" i="1" s="1"/>
  <c r="X13" i="1"/>
  <c r="X14" i="1" s="1"/>
  <c r="X16" i="1" s="1"/>
  <c r="S13" i="1"/>
  <c r="S14" i="1" s="1"/>
  <c r="S16" i="1" s="1"/>
  <c r="Y13" i="1"/>
  <c r="Y14" i="1" s="1"/>
  <c r="Y16" i="1" s="1"/>
  <c r="U13" i="1"/>
  <c r="U14" i="1" s="1"/>
  <c r="U16" i="1" s="1"/>
  <c r="W13" i="1"/>
  <c r="W14" i="1" s="1"/>
  <c r="W16" i="1" s="1"/>
  <c r="Q2" i="1"/>
  <c r="R2" i="1" s="1"/>
  <c r="S2" i="1" s="1"/>
  <c r="T2" i="1" s="1"/>
  <c r="U2" i="1" s="1"/>
  <c r="V2" i="1" s="1"/>
  <c r="W2" i="1" s="1"/>
  <c r="X2" i="1" s="1"/>
  <c r="Y2" i="1" s="1"/>
  <c r="Z2" i="1" s="1"/>
  <c r="B24" i="1"/>
  <c r="C23" i="1"/>
  <c r="D23" i="1" s="1"/>
  <c r="C21" i="1"/>
  <c r="C20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B42" i="2" l="1"/>
  <c r="B48" i="2" s="1"/>
  <c r="B41" i="2"/>
  <c r="B47" i="2" s="1"/>
  <c r="B19" i="2"/>
  <c r="I32" i="2"/>
  <c r="B39" i="2" s="1"/>
  <c r="B40" i="2"/>
  <c r="H44" i="2" s="1"/>
  <c r="B20" i="2"/>
  <c r="B18" i="2"/>
  <c r="I22" i="2"/>
  <c r="D20" i="1"/>
  <c r="E20" i="1" s="1"/>
  <c r="F20" i="1" s="1"/>
  <c r="G20" i="1" s="1"/>
  <c r="H20" i="1" s="1"/>
  <c r="I20" i="1" s="1"/>
  <c r="J20" i="1" s="1"/>
  <c r="K20" i="1" s="1"/>
  <c r="L20" i="1" s="1"/>
  <c r="C22" i="1"/>
  <c r="C26" i="1" s="1"/>
  <c r="C27" i="1"/>
  <c r="E23" i="1"/>
  <c r="D27" i="1"/>
  <c r="D21" i="1"/>
  <c r="B45" i="2" l="1"/>
  <c r="B50" i="2" s="1"/>
  <c r="I44" i="2"/>
  <c r="B23" i="2"/>
  <c r="C24" i="1"/>
  <c r="C34" i="1" s="1"/>
  <c r="E27" i="1"/>
  <c r="F23" i="1"/>
  <c r="D22" i="1"/>
  <c r="E21" i="1"/>
  <c r="C29" i="1" l="1"/>
  <c r="C28" i="1"/>
  <c r="C32" i="1"/>
  <c r="D33" i="1" s="1"/>
  <c r="E22" i="1"/>
  <c r="F21" i="1"/>
  <c r="D24" i="1"/>
  <c r="D26" i="1"/>
  <c r="F27" i="1"/>
  <c r="G23" i="1"/>
  <c r="Q17" i="1" l="1"/>
  <c r="Q19" i="1" s="1"/>
  <c r="C30" i="1"/>
  <c r="E26" i="1"/>
  <c r="E24" i="1"/>
  <c r="G27" i="1"/>
  <c r="H23" i="1"/>
  <c r="D28" i="1"/>
  <c r="D32" i="1"/>
  <c r="D29" i="1"/>
  <c r="D34" i="1"/>
  <c r="G21" i="1"/>
  <c r="F22" i="1"/>
  <c r="D30" i="1" l="1"/>
  <c r="E33" i="1"/>
  <c r="R19" i="1"/>
  <c r="I23" i="1"/>
  <c r="H27" i="1"/>
  <c r="F26" i="1"/>
  <c r="F24" i="1"/>
  <c r="G22" i="1"/>
  <c r="H21" i="1"/>
  <c r="E28" i="1"/>
  <c r="E32" i="1"/>
  <c r="E34" i="1"/>
  <c r="S18" i="1" s="1"/>
  <c r="E29" i="1"/>
  <c r="E30" i="1" l="1"/>
  <c r="F33" i="1"/>
  <c r="S19" i="1"/>
  <c r="I21" i="1"/>
  <c r="H22" i="1"/>
  <c r="F32" i="1"/>
  <c r="F34" i="1"/>
  <c r="T18" i="1" s="1"/>
  <c r="F28" i="1"/>
  <c r="F29" i="1"/>
  <c r="G24" i="1"/>
  <c r="G26" i="1"/>
  <c r="J23" i="1"/>
  <c r="I27" i="1"/>
  <c r="F30" i="1" l="1"/>
  <c r="G33" i="1"/>
  <c r="T17" i="1"/>
  <c r="T19" i="1" s="1"/>
  <c r="G34" i="1"/>
  <c r="U18" i="1" s="1"/>
  <c r="G29" i="1"/>
  <c r="G32" i="1"/>
  <c r="G28" i="1"/>
  <c r="H26" i="1"/>
  <c r="H24" i="1"/>
  <c r="K23" i="1"/>
  <c r="J27" i="1"/>
  <c r="I22" i="1"/>
  <c r="J21" i="1"/>
  <c r="H33" i="1" l="1"/>
  <c r="U19" i="1"/>
  <c r="G30" i="1"/>
  <c r="I26" i="1"/>
  <c r="I24" i="1"/>
  <c r="K27" i="1"/>
  <c r="L23" i="1"/>
  <c r="L27" i="1" s="1"/>
  <c r="H29" i="1"/>
  <c r="H28" i="1"/>
  <c r="H32" i="1"/>
  <c r="H34" i="1"/>
  <c r="V18" i="1" s="1"/>
  <c r="K21" i="1"/>
  <c r="J22" i="1"/>
  <c r="I33" i="1" l="1"/>
  <c r="V17" i="1"/>
  <c r="V19" i="1" s="1"/>
  <c r="H30" i="1"/>
  <c r="K22" i="1"/>
  <c r="L21" i="1"/>
  <c r="L22" i="1" s="1"/>
  <c r="I34" i="1"/>
  <c r="W18" i="1" s="1"/>
  <c r="I29" i="1"/>
  <c r="I28" i="1"/>
  <c r="I32" i="1"/>
  <c r="J24" i="1"/>
  <c r="J26" i="1"/>
  <c r="J33" i="1" l="1"/>
  <c r="W17" i="1"/>
  <c r="W19" i="1" s="1"/>
  <c r="I30" i="1"/>
  <c r="J34" i="1"/>
  <c r="X18" i="1" s="1"/>
  <c r="J29" i="1"/>
  <c r="J32" i="1"/>
  <c r="J28" i="1"/>
  <c r="K24" i="1"/>
  <c r="K26" i="1"/>
  <c r="L26" i="1"/>
  <c r="L24" i="1"/>
  <c r="K33" i="1" l="1"/>
  <c r="X17" i="1"/>
  <c r="X19" i="1" s="1"/>
  <c r="J30" i="1"/>
  <c r="L28" i="1"/>
  <c r="L32" i="1"/>
  <c r="L34" i="1"/>
  <c r="L29" i="1"/>
  <c r="L30" i="1" s="1"/>
  <c r="K32" i="1"/>
  <c r="K29" i="1"/>
  <c r="K28" i="1"/>
  <c r="K30" i="1" s="1"/>
  <c r="K34" i="1"/>
  <c r="Y18" i="1" s="1"/>
  <c r="Z17" i="1" l="1"/>
  <c r="Z18" i="1"/>
  <c r="L33" i="1"/>
  <c r="Y17" i="1"/>
  <c r="Y19" i="1" s="1"/>
  <c r="Z19" i="1" l="1"/>
</calcChain>
</file>

<file path=xl/sharedStrings.xml><?xml version="1.0" encoding="utf-8"?>
<sst xmlns="http://schemas.openxmlformats.org/spreadsheetml/2006/main" count="160" uniqueCount="100">
  <si>
    <t>Benjamin Kanarick</t>
  </si>
  <si>
    <t>Active accounts growth</t>
  </si>
  <si>
    <t>ARPU growth</t>
  </si>
  <si>
    <t>Cost of player revenue (% player revenue)</t>
  </si>
  <si>
    <t>Research &amp; development (% of total revenue)</t>
  </si>
  <si>
    <t>Net long-term operating assets (turnover)</t>
  </si>
  <si>
    <t>ARPU</t>
  </si>
  <si>
    <t>EOY active accounts</t>
  </si>
  <si>
    <t>Platform revenue</t>
  </si>
  <si>
    <t>Player revenue</t>
  </si>
  <si>
    <t>Total revenue</t>
  </si>
  <si>
    <t>Cost platform revenue</t>
  </si>
  <si>
    <t>Cost of player revenue</t>
  </si>
  <si>
    <t>Selling, general, and administrative</t>
  </si>
  <si>
    <t>Research &amp; development</t>
  </si>
  <si>
    <t>Net operating profit</t>
  </si>
  <si>
    <t>Net long-term operating assets</t>
  </si>
  <si>
    <t>Depreciation and amortization</t>
  </si>
  <si>
    <t>Net working capital</t>
  </si>
  <si>
    <t>Forecast Assumptions Consistent Over the Forecast Horizon:</t>
  </si>
  <si>
    <t xml:space="preserve">  Player revenue growth</t>
  </si>
  <si>
    <t xml:space="preserve">  Cost of platform revenue  (% of platform revenue)</t>
  </si>
  <si>
    <t xml:space="preserve">  Selling, general &amp; administrative (% of total revenue)</t>
  </si>
  <si>
    <t xml:space="preserve">  Net working capital (turnover)</t>
  </si>
  <si>
    <t xml:space="preserve">  Depreciation and amortization (% of fixed assets)</t>
  </si>
  <si>
    <t>Period</t>
  </si>
  <si>
    <t>Total Revenue</t>
  </si>
  <si>
    <t>EBIT</t>
  </si>
  <si>
    <t>Tax Rate</t>
  </si>
  <si>
    <t>NOPAT</t>
  </si>
  <si>
    <t>Addback: Depreciation &amp; Amortization</t>
  </si>
  <si>
    <t>Less: Change NWC</t>
  </si>
  <si>
    <t>FCFF</t>
  </si>
  <si>
    <t>Platform Revenue</t>
  </si>
  <si>
    <t>Player Revenue</t>
  </si>
  <si>
    <t>Cost Player Revenue</t>
  </si>
  <si>
    <t>Cost Platform Revenue</t>
  </si>
  <si>
    <t>Less: SG&amp;A</t>
  </si>
  <si>
    <t>EBITDA</t>
  </si>
  <si>
    <t>Less: Taxes</t>
  </si>
  <si>
    <t>Less: Depreciation &amp; Amortization</t>
  </si>
  <si>
    <t>Unlevered OCF</t>
  </si>
  <si>
    <t>Less: Capex</t>
  </si>
  <si>
    <t>Year</t>
  </si>
  <si>
    <t>Debt</t>
  </si>
  <si>
    <t>Stock Price</t>
  </si>
  <si>
    <t>Beta</t>
  </si>
  <si>
    <t>SiriusXM</t>
  </si>
  <si>
    <t>Netflix</t>
  </si>
  <si>
    <t>Google</t>
  </si>
  <si>
    <t>Pandora</t>
  </si>
  <si>
    <t>MV Equity</t>
  </si>
  <si>
    <t>Roku</t>
  </si>
  <si>
    <t>Assumed Debt Beta</t>
  </si>
  <si>
    <t xml:space="preserve">Assumptions: </t>
  </si>
  <si>
    <t>MRP</t>
  </si>
  <si>
    <t>rf (30 year)</t>
  </si>
  <si>
    <t>rm</t>
  </si>
  <si>
    <t>Unlevered Beta</t>
  </si>
  <si>
    <t>Disney</t>
  </si>
  <si>
    <t>DISH</t>
  </si>
  <si>
    <t>Apple</t>
  </si>
  <si>
    <t>Canon</t>
  </si>
  <si>
    <t>Comcast</t>
  </si>
  <si>
    <t>GoPro</t>
  </si>
  <si>
    <t>TiVo</t>
  </si>
  <si>
    <t>Verizon</t>
  </si>
  <si>
    <t xml:space="preserve">Platform Comps: </t>
  </si>
  <si>
    <t>S/O</t>
  </si>
  <si>
    <t xml:space="preserve">D/E Ratio </t>
  </si>
  <si>
    <t xml:space="preserve">Hardware Comps: </t>
  </si>
  <si>
    <t xml:space="preserve">Average Unlevered Beta: </t>
  </si>
  <si>
    <t>Average D/E:</t>
  </si>
  <si>
    <t>N/A</t>
  </si>
  <si>
    <t>Roku Ke</t>
  </si>
  <si>
    <t>Roku Kd</t>
  </si>
  <si>
    <t>Weight Equity</t>
  </si>
  <si>
    <t>Weight Debt</t>
  </si>
  <si>
    <t xml:space="preserve">Average We of comps: </t>
  </si>
  <si>
    <t xml:space="preserve">Average Wd of comps: </t>
  </si>
  <si>
    <t>WACC using Platform Comps</t>
  </si>
  <si>
    <t>WACC using Hardware Comps</t>
  </si>
  <si>
    <t xml:space="preserve">Hybrid of Platform and Hardware Comps: </t>
  </si>
  <si>
    <t>WACC using Hybrid Comps</t>
  </si>
  <si>
    <t>Terminal Value FCFF</t>
  </si>
  <si>
    <t>PV of FCFF</t>
  </si>
  <si>
    <t>PV of Terminal Value</t>
  </si>
  <si>
    <t>PV of Roku</t>
  </si>
  <si>
    <t xml:space="preserve">Platform Comps WACC: </t>
  </si>
  <si>
    <t>Terminal Growth Rate</t>
  </si>
  <si>
    <t>Less: Debt</t>
  </si>
  <si>
    <t>Total Equity Value</t>
  </si>
  <si>
    <t>Shares Outstanding</t>
  </si>
  <si>
    <t>Value Per Share</t>
  </si>
  <si>
    <t>In millions</t>
  </si>
  <si>
    <t>Terminal Growth Rate:</t>
  </si>
  <si>
    <t>Platform Comps WACC (8.40%)</t>
  </si>
  <si>
    <t>Hardware Comps WACC (8.14%)</t>
  </si>
  <si>
    <t>Hybrid Comps WACC (6.46%)</t>
  </si>
  <si>
    <t>(Higher Wd, lower WACC)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</si>
</sst>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9" fontId="3" fillId="0" borderId="0" xfId="0" applyNumberFormat="1" applyFont="1"/>
    <xf numFmtId="9" fontId="3" fillId="0" borderId="0" xfId="1" applyFont="1"/>
    <xf numFmtId="0" fontId="3" fillId="0" borderId="0" xfId="0" applyFont="1" applyAlignment="1">
      <alignment horizontal="left"/>
    </xf>
    <xf numFmtId="39" fontId="3" fillId="0" borderId="0" xfId="0" applyNumberFormat="1" applyFont="1"/>
    <xf numFmtId="37" fontId="3" fillId="0" borderId="0" xfId="0" applyNumberFormat="1" applyFont="1"/>
    <xf numFmtId="37" fontId="3" fillId="0" borderId="1" xfId="0" applyNumberFormat="1" applyFont="1" applyBorder="1"/>
    <xf numFmtId="37" fontId="3" fillId="0" borderId="2" xfId="0" applyNumberFormat="1" applyFont="1" applyBorder="1"/>
    <xf numFmtId="0" fontId="3" fillId="0" borderId="0" xfId="0" applyFont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9" fontId="3" fillId="0" borderId="3" xfId="1" applyFont="1" applyBorder="1"/>
    <xf numFmtId="39" fontId="3" fillId="0" borderId="3" xfId="0" applyNumberFormat="1" applyFont="1" applyBorder="1"/>
    <xf numFmtId="37" fontId="3" fillId="0" borderId="3" xfId="0" applyNumberFormat="1" applyFont="1" applyBorder="1"/>
    <xf numFmtId="37" fontId="3" fillId="0" borderId="4" xfId="0" applyNumberFormat="1" applyFont="1" applyBorder="1"/>
    <xf numFmtId="37" fontId="3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/>
    <xf numFmtId="10" fontId="2" fillId="0" borderId="0" xfId="1" applyNumberFormat="1" applyFont="1"/>
    <xf numFmtId="44" fontId="2" fillId="0" borderId="0" xfId="2" applyFont="1"/>
    <xf numFmtId="44" fontId="2" fillId="0" borderId="10" xfId="2" applyFont="1" applyBorder="1"/>
    <xf numFmtId="44" fontId="2" fillId="0" borderId="1" xfId="2" applyFont="1" applyBorder="1"/>
    <xf numFmtId="44" fontId="2" fillId="0" borderId="11" xfId="2" applyFont="1" applyBorder="1"/>
    <xf numFmtId="9" fontId="4" fillId="0" borderId="0" xfId="1" applyFont="1"/>
    <xf numFmtId="10" fontId="2" fillId="0" borderId="0" xfId="0" applyNumberFormat="1" applyFont="1"/>
    <xf numFmtId="2" fontId="2" fillId="0" borderId="0" xfId="0" applyNumberFormat="1" applyFont="1"/>
    <xf numFmtId="0" fontId="2" fillId="3" borderId="0" xfId="0" applyFont="1" applyFill="1"/>
    <xf numFmtId="0" fontId="5" fillId="3" borderId="0" xfId="0" applyFont="1" applyFill="1"/>
    <xf numFmtId="44" fontId="2" fillId="0" borderId="0" xfId="2" applyFont="1" applyFill="1"/>
    <xf numFmtId="37" fontId="2" fillId="0" borderId="0" xfId="0" applyNumberFormat="1" applyFont="1"/>
    <xf numFmtId="9" fontId="2" fillId="0" borderId="0" xfId="1" applyFont="1"/>
    <xf numFmtId="164" fontId="2" fillId="0" borderId="0" xfId="1" applyNumberFormat="1" applyFont="1"/>
    <xf numFmtId="0" fontId="2" fillId="0" borderId="0" xfId="1" applyNumberFormat="1" applyFont="1"/>
    <xf numFmtId="165" fontId="2" fillId="0" borderId="0" xfId="0" applyNumberFormat="1" applyFont="1"/>
    <xf numFmtId="39" fontId="2" fillId="0" borderId="0" xfId="0" applyNumberFormat="1" applyFont="1"/>
    <xf numFmtId="0" fontId="2" fillId="4" borderId="0" xfId="0" applyFont="1" applyFill="1"/>
    <xf numFmtId="39" fontId="2" fillId="4" borderId="0" xfId="0" applyNumberFormat="1" applyFont="1" applyFill="1"/>
    <xf numFmtId="10" fontId="2" fillId="2" borderId="0" xfId="1" applyNumberFormat="1" applyFont="1" applyFill="1"/>
    <xf numFmtId="164" fontId="2" fillId="0" borderId="0" xfId="0" applyNumberFormat="1" applyFont="1"/>
    <xf numFmtId="9" fontId="2" fillId="0" borderId="0" xfId="0" applyNumberFormat="1" applyFont="1"/>
    <xf numFmtId="10" fontId="2" fillId="2" borderId="0" xfId="0" applyNumberFormat="1" applyFont="1" applyFill="1"/>
    <xf numFmtId="44" fontId="2" fillId="0" borderId="0" xfId="0" applyNumberFormat="1" applyFont="1"/>
    <xf numFmtId="0" fontId="5" fillId="2" borderId="12" xfId="0" applyFont="1" applyFill="1" applyBorder="1"/>
    <xf numFmtId="0" fontId="5" fillId="2" borderId="13" xfId="0" applyFont="1" applyFill="1" applyBorder="1"/>
    <xf numFmtId="44" fontId="5" fillId="2" borderId="14" xfId="0" applyNumberFormat="1" applyFont="1" applyFill="1" applyBorder="1"/>
    <xf numFmtId="0" fontId="6" fillId="0" borderId="0" xfId="0" applyFont="1"/>
    <xf numFmtId="0" fontId="2" fillId="3" borderId="15" xfId="0" applyFont="1" applyFill="1" applyBorder="1"/>
    <xf numFmtId="0" fontId="2" fillId="3" borderId="16" xfId="0" applyFont="1" applyFill="1" applyBorder="1"/>
    <xf numFmtId="44" fontId="2" fillId="0" borderId="0" xfId="2" applyFont="1" applyBorder="1"/>
    <xf numFmtId="44" fontId="2" fillId="0" borderId="16" xfId="2" applyFont="1" applyBorder="1"/>
    <xf numFmtId="0" fontId="2" fillId="3" borderId="17" xfId="0" applyFont="1" applyFill="1" applyBorder="1"/>
    <xf numFmtId="44" fontId="2" fillId="0" borderId="18" xfId="2" applyFont="1" applyBorder="1"/>
    <xf numFmtId="44" fontId="2" fillId="0" borderId="19" xfId="2" applyFont="1" applyBorder="1"/>
    <xf numFmtId="0" fontId="2" fillId="3" borderId="20" xfId="0" applyFont="1" applyFill="1" applyBorder="1"/>
    <xf numFmtId="10" fontId="2" fillId="3" borderId="21" xfId="0" applyNumberFormat="1" applyFont="1" applyFill="1" applyBorder="1"/>
    <xf numFmtId="9" fontId="2" fillId="3" borderId="21" xfId="0" applyNumberFormat="1" applyFont="1" applyFill="1" applyBorder="1"/>
    <xf numFmtId="9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9" fontId="3" fillId="0" borderId="3" xfId="0" applyNumberFormat="1" applyFont="1" applyBorder="1"/>
    <xf numFmtId="9" fontId="3" fillId="0" borderId="3" xfId="1" applyFont="1" applyFill="1" applyBorder="1"/>
    <xf numFmtId="0" fontId="3" fillId="0" borderId="26" xfId="0" applyFont="1" applyBorder="1" applyAlignment="1">
      <alignment horizontal="left"/>
    </xf>
    <xf numFmtId="9" fontId="3" fillId="0" borderId="4" xfId="0" applyNumberFormat="1" applyFont="1" applyBorder="1"/>
    <xf numFmtId="0" fontId="3" fillId="0" borderId="0" xfId="0" applyFont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DB-D8C0-417A-9C29-48A3C13882E8}">
  <dimension ref="A1:Z34"/>
  <sheetViews>
    <sheetView tabSelected="1" topLeftCell="K1" zoomScale="90" zoomScaleNormal="90" workbookViewId="0">
      <selection activeCell="Q19" sqref="Q19"/>
    </sheetView>
  </sheetViews>
  <sheetFormatPr defaultRowHeight="14" x14ac:dyDescent="0.3"/>
  <cols>
    <col min="1" max="1" width="42.08984375" style="1" bestFit="1" customWidth="1"/>
    <col min="2" max="11" width="8.7265625" style="1"/>
    <col min="12" max="12" width="5.6328125" style="1" bestFit="1" customWidth="1"/>
    <col min="13" max="14" width="8.7265625" style="1"/>
    <col min="15" max="15" width="33.36328125" style="1" bestFit="1" customWidth="1"/>
    <col min="16" max="16" width="8.7265625" style="1"/>
    <col min="17" max="17" width="17.6328125" style="1" bestFit="1" customWidth="1"/>
    <col min="18" max="18" width="9.453125" style="1" bestFit="1" customWidth="1"/>
    <col min="19" max="25" width="10.26953125" style="1" bestFit="1" customWidth="1"/>
    <col min="26" max="26" width="11.36328125" style="1" bestFit="1" customWidth="1"/>
    <col min="27" max="16384" width="8.7265625" style="1"/>
  </cols>
  <sheetData>
    <row r="1" spans="1:26" x14ac:dyDescent="0.3">
      <c r="A1" s="1" t="s">
        <v>0</v>
      </c>
      <c r="L1" s="12"/>
      <c r="O1" s="1" t="s">
        <v>25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</row>
    <row r="2" spans="1:26" x14ac:dyDescent="0.3">
      <c r="L2" s="12"/>
      <c r="O2" s="1" t="s">
        <v>43</v>
      </c>
      <c r="P2" s="3">
        <v>2017</v>
      </c>
      <c r="Q2" s="3">
        <f>P2+1</f>
        <v>2018</v>
      </c>
      <c r="R2" s="3">
        <f t="shared" ref="R2" si="0">Q2+1</f>
        <v>2019</v>
      </c>
      <c r="S2" s="3">
        <f t="shared" ref="S2" si="1">R2+1</f>
        <v>2020</v>
      </c>
      <c r="T2" s="3">
        <f t="shared" ref="T2" si="2">S2+1</f>
        <v>2021</v>
      </c>
      <c r="U2" s="3">
        <f t="shared" ref="U2" si="3">T2+1</f>
        <v>2022</v>
      </c>
      <c r="V2" s="3">
        <f t="shared" ref="V2" si="4">U2+1</f>
        <v>2023</v>
      </c>
      <c r="W2" s="3">
        <f t="shared" ref="W2" si="5">V2+1</f>
        <v>2024</v>
      </c>
      <c r="X2" s="3">
        <f t="shared" ref="X2" si="6">W2+1</f>
        <v>2025</v>
      </c>
      <c r="Y2" s="3">
        <f t="shared" ref="Y2" si="7">X2+1</f>
        <v>2026</v>
      </c>
      <c r="Z2" s="15">
        <f t="shared" ref="Z2" si="8">Y2+1</f>
        <v>2027</v>
      </c>
    </row>
    <row r="3" spans="1:26" x14ac:dyDescent="0.3">
      <c r="L3" s="12"/>
      <c r="O3" s="22" t="s">
        <v>33</v>
      </c>
      <c r="Q3" s="30">
        <v>350</v>
      </c>
      <c r="R3" s="30">
        <v>532</v>
      </c>
      <c r="S3" s="30">
        <v>753</v>
      </c>
      <c r="T3" s="30">
        <v>1006</v>
      </c>
      <c r="U3" s="30">
        <v>1255</v>
      </c>
      <c r="V3" s="30">
        <v>1483</v>
      </c>
      <c r="W3" s="30">
        <v>1682</v>
      </c>
      <c r="X3" s="30">
        <v>1845</v>
      </c>
      <c r="Y3" s="30">
        <v>1966</v>
      </c>
      <c r="Z3" s="30">
        <v>2056</v>
      </c>
    </row>
    <row r="4" spans="1:26" x14ac:dyDescent="0.3">
      <c r="L4" s="12"/>
      <c r="O4" s="23" t="s">
        <v>34</v>
      </c>
      <c r="Q4" s="30">
        <v>304</v>
      </c>
      <c r="R4" s="30">
        <v>310</v>
      </c>
      <c r="S4" s="30">
        <v>316</v>
      </c>
      <c r="T4" s="30">
        <v>323</v>
      </c>
      <c r="U4" s="30">
        <v>329</v>
      </c>
      <c r="V4" s="30">
        <v>336</v>
      </c>
      <c r="W4" s="30">
        <v>342</v>
      </c>
      <c r="X4" s="30">
        <v>349</v>
      </c>
      <c r="Y4" s="30">
        <v>356</v>
      </c>
      <c r="Z4" s="30">
        <v>363</v>
      </c>
    </row>
    <row r="5" spans="1:26" x14ac:dyDescent="0.3">
      <c r="A5" s="68" t="s">
        <v>19</v>
      </c>
      <c r="B5" s="69"/>
      <c r="C5" s="69"/>
      <c r="D5" s="70"/>
      <c r="H5" s="11"/>
      <c r="I5" s="11"/>
      <c r="J5" s="11"/>
      <c r="K5" s="11"/>
      <c r="L5" s="13"/>
      <c r="O5" s="22" t="s">
        <v>26</v>
      </c>
      <c r="P5" s="26"/>
      <c r="Q5" s="31">
        <f>SUM(Q3:Q4)</f>
        <v>654</v>
      </c>
      <c r="R5" s="31">
        <f t="shared" ref="R5:Z5" si="9">SUM(R3:R4)</f>
        <v>842</v>
      </c>
      <c r="S5" s="31">
        <f t="shared" si="9"/>
        <v>1069</v>
      </c>
      <c r="T5" s="31">
        <f t="shared" si="9"/>
        <v>1329</v>
      </c>
      <c r="U5" s="31">
        <f t="shared" si="9"/>
        <v>1584</v>
      </c>
      <c r="V5" s="31">
        <f t="shared" si="9"/>
        <v>1819</v>
      </c>
      <c r="W5" s="31">
        <f t="shared" si="9"/>
        <v>2024</v>
      </c>
      <c r="X5" s="31">
        <f t="shared" si="9"/>
        <v>2194</v>
      </c>
      <c r="Y5" s="31">
        <f t="shared" si="9"/>
        <v>2322</v>
      </c>
      <c r="Z5" s="31">
        <f t="shared" si="9"/>
        <v>2419</v>
      </c>
    </row>
    <row r="6" spans="1:26" x14ac:dyDescent="0.3">
      <c r="A6" s="71" t="s">
        <v>20</v>
      </c>
      <c r="C6" s="2"/>
      <c r="D6" s="72">
        <v>0.02</v>
      </c>
      <c r="H6" s="11"/>
      <c r="I6" s="11"/>
      <c r="J6" s="11"/>
      <c r="K6" s="11"/>
      <c r="L6" s="13"/>
      <c r="O6" s="23" t="s">
        <v>36</v>
      </c>
      <c r="Q6" s="30">
        <v>161</v>
      </c>
      <c r="R6" s="30">
        <v>245</v>
      </c>
      <c r="S6" s="30">
        <v>346</v>
      </c>
      <c r="T6" s="30">
        <v>463</v>
      </c>
      <c r="U6" s="30">
        <v>577</v>
      </c>
      <c r="V6" s="30">
        <v>682</v>
      </c>
      <c r="W6" s="30">
        <v>773</v>
      </c>
      <c r="X6" s="30">
        <v>849</v>
      </c>
      <c r="Y6" s="30">
        <v>905</v>
      </c>
      <c r="Z6" s="30">
        <v>946</v>
      </c>
    </row>
    <row r="7" spans="1:26" x14ac:dyDescent="0.3">
      <c r="A7" s="71" t="s">
        <v>21</v>
      </c>
      <c r="D7" s="16">
        <v>0.46</v>
      </c>
      <c r="H7" s="2"/>
      <c r="I7" s="2"/>
      <c r="J7" s="2"/>
      <c r="K7" s="2"/>
      <c r="L7" s="14"/>
      <c r="O7" s="23" t="s">
        <v>35</v>
      </c>
      <c r="Q7" s="30">
        <v>258</v>
      </c>
      <c r="R7" s="30">
        <v>254</v>
      </c>
      <c r="S7" s="30">
        <v>250</v>
      </c>
      <c r="T7" s="30">
        <v>245</v>
      </c>
      <c r="U7" s="30">
        <v>240</v>
      </c>
      <c r="V7" s="30">
        <v>235</v>
      </c>
      <c r="W7" s="30">
        <v>229</v>
      </c>
      <c r="X7" s="30">
        <v>223</v>
      </c>
      <c r="Y7" s="30">
        <v>228</v>
      </c>
      <c r="Z7" s="30">
        <v>232</v>
      </c>
    </row>
    <row r="8" spans="1:26" x14ac:dyDescent="0.3">
      <c r="A8" s="71" t="s">
        <v>22</v>
      </c>
      <c r="D8" s="73">
        <v>0.22</v>
      </c>
      <c r="H8" s="2"/>
      <c r="I8" s="2"/>
      <c r="J8" s="2"/>
      <c r="K8" s="2"/>
      <c r="L8" s="14"/>
      <c r="O8" s="23" t="s">
        <v>37</v>
      </c>
      <c r="Q8" s="30">
        <v>144</v>
      </c>
      <c r="R8" s="30">
        <v>185</v>
      </c>
      <c r="S8" s="30">
        <v>235</v>
      </c>
      <c r="T8" s="30">
        <v>292</v>
      </c>
      <c r="U8" s="30">
        <v>348</v>
      </c>
      <c r="V8" s="30">
        <v>400</v>
      </c>
      <c r="W8" s="30">
        <v>445</v>
      </c>
      <c r="X8" s="30">
        <v>483</v>
      </c>
      <c r="Y8" s="30">
        <v>511</v>
      </c>
      <c r="Z8" s="30">
        <v>532</v>
      </c>
    </row>
    <row r="9" spans="1:26" x14ac:dyDescent="0.3">
      <c r="A9" s="71" t="s">
        <v>23</v>
      </c>
      <c r="D9" s="17">
        <v>8</v>
      </c>
      <c r="F9" s="2"/>
      <c r="G9" s="2"/>
      <c r="H9" s="2"/>
      <c r="I9" s="2"/>
      <c r="J9" s="2"/>
      <c r="K9" s="2"/>
      <c r="L9" s="14"/>
      <c r="O9" s="22" t="s">
        <v>38</v>
      </c>
      <c r="P9" s="26"/>
      <c r="Q9" s="31">
        <f t="shared" ref="Q9:Z9" si="10">Q5-SUM(Q6:Q8)</f>
        <v>91</v>
      </c>
      <c r="R9" s="31">
        <f t="shared" si="10"/>
        <v>158</v>
      </c>
      <c r="S9" s="31">
        <f t="shared" si="10"/>
        <v>238</v>
      </c>
      <c r="T9" s="31">
        <f t="shared" si="10"/>
        <v>329</v>
      </c>
      <c r="U9" s="31">
        <f t="shared" si="10"/>
        <v>419</v>
      </c>
      <c r="V9" s="31">
        <f t="shared" si="10"/>
        <v>502</v>
      </c>
      <c r="W9" s="31">
        <f t="shared" si="10"/>
        <v>577</v>
      </c>
      <c r="X9" s="31">
        <f t="shared" si="10"/>
        <v>639</v>
      </c>
      <c r="Y9" s="31">
        <f t="shared" si="10"/>
        <v>678</v>
      </c>
      <c r="Z9" s="31">
        <f t="shared" si="10"/>
        <v>709</v>
      </c>
    </row>
    <row r="10" spans="1:26" x14ac:dyDescent="0.3">
      <c r="A10" s="74" t="s">
        <v>24</v>
      </c>
      <c r="B10" s="25"/>
      <c r="C10" s="3"/>
      <c r="D10" s="75">
        <v>0.4</v>
      </c>
      <c r="F10" s="2"/>
      <c r="G10" s="2"/>
      <c r="H10" s="2"/>
      <c r="I10" s="2"/>
      <c r="J10" s="2"/>
      <c r="K10" s="2"/>
      <c r="L10" s="14"/>
      <c r="O10" s="23" t="s">
        <v>40</v>
      </c>
      <c r="Q10" s="30">
        <v>10</v>
      </c>
      <c r="R10" s="30">
        <v>10</v>
      </c>
      <c r="S10" s="30">
        <v>16</v>
      </c>
      <c r="T10" s="30">
        <v>25</v>
      </c>
      <c r="U10" s="30">
        <v>41</v>
      </c>
      <c r="V10" s="30">
        <v>63</v>
      </c>
      <c r="W10" s="30">
        <v>104</v>
      </c>
      <c r="X10" s="30">
        <v>135</v>
      </c>
      <c r="Y10" s="30">
        <v>146</v>
      </c>
      <c r="Z10" s="30">
        <v>155</v>
      </c>
    </row>
    <row r="11" spans="1:26" x14ac:dyDescent="0.3">
      <c r="F11" s="2"/>
      <c r="G11" s="2"/>
      <c r="H11" s="2"/>
      <c r="I11" s="2"/>
      <c r="J11" s="2"/>
      <c r="K11" s="2"/>
      <c r="L11" s="14"/>
      <c r="O11" s="22" t="s">
        <v>27</v>
      </c>
      <c r="P11" s="26"/>
      <c r="Q11" s="31">
        <f>Q9-Q10</f>
        <v>81</v>
      </c>
      <c r="R11" s="31">
        <f t="shared" ref="R11:Z11" si="11">R9-R10</f>
        <v>148</v>
      </c>
      <c r="S11" s="31">
        <f t="shared" si="11"/>
        <v>222</v>
      </c>
      <c r="T11" s="31">
        <f t="shared" si="11"/>
        <v>304</v>
      </c>
      <c r="U11" s="31">
        <f t="shared" si="11"/>
        <v>378</v>
      </c>
      <c r="V11" s="31">
        <f t="shared" si="11"/>
        <v>439</v>
      </c>
      <c r="W11" s="31">
        <f t="shared" si="11"/>
        <v>473</v>
      </c>
      <c r="X11" s="31">
        <f t="shared" si="11"/>
        <v>504</v>
      </c>
      <c r="Y11" s="31">
        <f t="shared" si="11"/>
        <v>532</v>
      </c>
      <c r="Z11" s="31">
        <f t="shared" si="11"/>
        <v>554</v>
      </c>
    </row>
    <row r="12" spans="1:26" x14ac:dyDescent="0.3">
      <c r="A12" s="6"/>
      <c r="C12" s="2"/>
      <c r="D12" s="2"/>
      <c r="E12" s="4"/>
      <c r="F12" s="2"/>
      <c r="G12" s="2"/>
      <c r="H12" s="2"/>
      <c r="I12" s="2"/>
      <c r="J12" s="2"/>
      <c r="K12" s="2"/>
      <c r="L12" s="14"/>
      <c r="O12" s="23" t="s">
        <v>28</v>
      </c>
      <c r="Q12" s="34">
        <v>0.21</v>
      </c>
      <c r="R12" s="34">
        <v>0.21</v>
      </c>
      <c r="S12" s="34">
        <v>0.21</v>
      </c>
      <c r="T12" s="34">
        <v>0.21</v>
      </c>
      <c r="U12" s="34">
        <v>0.21</v>
      </c>
      <c r="V12" s="34">
        <v>0.21</v>
      </c>
      <c r="W12" s="34">
        <v>0.21</v>
      </c>
      <c r="X12" s="34">
        <v>0.21</v>
      </c>
      <c r="Y12" s="34">
        <v>0.21</v>
      </c>
      <c r="Z12" s="34">
        <v>0.21</v>
      </c>
    </row>
    <row r="13" spans="1:26" x14ac:dyDescent="0.3">
      <c r="A13" s="2"/>
      <c r="B13" s="3">
        <v>2017</v>
      </c>
      <c r="C13" s="3">
        <f>B13+1</f>
        <v>2018</v>
      </c>
      <c r="D13" s="3">
        <f t="shared" ref="D13:L13" si="12">C13+1</f>
        <v>2019</v>
      </c>
      <c r="E13" s="3">
        <f t="shared" si="12"/>
        <v>2020</v>
      </c>
      <c r="F13" s="3">
        <f t="shared" si="12"/>
        <v>2021</v>
      </c>
      <c r="G13" s="3">
        <f t="shared" si="12"/>
        <v>2022</v>
      </c>
      <c r="H13" s="3">
        <f t="shared" si="12"/>
        <v>2023</v>
      </c>
      <c r="I13" s="3">
        <f t="shared" si="12"/>
        <v>2024</v>
      </c>
      <c r="J13" s="3">
        <f t="shared" si="12"/>
        <v>2025</v>
      </c>
      <c r="K13" s="3">
        <f t="shared" si="12"/>
        <v>2026</v>
      </c>
      <c r="L13" s="15">
        <f t="shared" si="12"/>
        <v>2027</v>
      </c>
      <c r="O13" s="23" t="s">
        <v>39</v>
      </c>
      <c r="Q13" s="30">
        <f t="shared" ref="Q13:Z13" si="13">Q11*Q12</f>
        <v>17.009999999999998</v>
      </c>
      <c r="R13" s="30">
        <f t="shared" si="13"/>
        <v>31.08</v>
      </c>
      <c r="S13" s="30">
        <f t="shared" si="13"/>
        <v>46.62</v>
      </c>
      <c r="T13" s="30">
        <f t="shared" si="13"/>
        <v>63.839999999999996</v>
      </c>
      <c r="U13" s="30">
        <f t="shared" si="13"/>
        <v>79.38</v>
      </c>
      <c r="V13" s="30">
        <f t="shared" si="13"/>
        <v>92.19</v>
      </c>
      <c r="W13" s="30">
        <f t="shared" si="13"/>
        <v>99.33</v>
      </c>
      <c r="X13" s="30">
        <f t="shared" si="13"/>
        <v>105.83999999999999</v>
      </c>
      <c r="Y13" s="30">
        <f t="shared" si="13"/>
        <v>111.72</v>
      </c>
      <c r="Z13" s="30">
        <f t="shared" si="13"/>
        <v>116.33999999999999</v>
      </c>
    </row>
    <row r="14" spans="1:26" x14ac:dyDescent="0.3">
      <c r="A14" s="2" t="s">
        <v>1</v>
      </c>
      <c r="B14" s="4"/>
      <c r="C14" s="5">
        <v>0.3</v>
      </c>
      <c r="D14" s="5">
        <v>0.2</v>
      </c>
      <c r="E14" s="5">
        <v>0.2</v>
      </c>
      <c r="F14" s="5">
        <v>0.15</v>
      </c>
      <c r="G14" s="5">
        <v>0.1</v>
      </c>
      <c r="H14" s="5">
        <v>7.0000000000000007E-2</v>
      </c>
      <c r="I14" s="5">
        <v>0.05</v>
      </c>
      <c r="J14" s="5">
        <v>0.04</v>
      </c>
      <c r="K14" s="5">
        <v>0.03</v>
      </c>
      <c r="L14" s="16">
        <v>0.02</v>
      </c>
      <c r="O14" s="24" t="s">
        <v>29</v>
      </c>
      <c r="P14" s="25"/>
      <c r="Q14" s="32">
        <f>Q11-Q13</f>
        <v>63.99</v>
      </c>
      <c r="R14" s="32">
        <f t="shared" ref="R14:Z14" si="14">R11-R13</f>
        <v>116.92</v>
      </c>
      <c r="S14" s="32">
        <f t="shared" si="14"/>
        <v>175.38</v>
      </c>
      <c r="T14" s="32">
        <f t="shared" si="14"/>
        <v>240.16</v>
      </c>
      <c r="U14" s="32">
        <f t="shared" si="14"/>
        <v>298.62</v>
      </c>
      <c r="V14" s="32">
        <f t="shared" si="14"/>
        <v>346.81</v>
      </c>
      <c r="W14" s="32">
        <f t="shared" si="14"/>
        <v>373.67</v>
      </c>
      <c r="X14" s="32">
        <f t="shared" si="14"/>
        <v>398.16</v>
      </c>
      <c r="Y14" s="32">
        <f t="shared" si="14"/>
        <v>420.28</v>
      </c>
      <c r="Z14" s="32">
        <f t="shared" si="14"/>
        <v>437.66</v>
      </c>
    </row>
    <row r="15" spans="1:26" x14ac:dyDescent="0.3">
      <c r="A15" s="2" t="s">
        <v>2</v>
      </c>
      <c r="B15" s="4"/>
      <c r="C15" s="5">
        <v>0.28000000000000003</v>
      </c>
      <c r="D15" s="5">
        <v>0.22</v>
      </c>
      <c r="E15" s="5">
        <v>0.18</v>
      </c>
      <c r="F15" s="5">
        <v>0.14000000000000001</v>
      </c>
      <c r="G15" s="5">
        <v>0.11</v>
      </c>
      <c r="H15" s="5">
        <v>0.09</v>
      </c>
      <c r="I15" s="5">
        <v>7.0000000000000007E-2</v>
      </c>
      <c r="J15" s="5">
        <v>0.05</v>
      </c>
      <c r="K15" s="5">
        <v>0.03</v>
      </c>
      <c r="L15" s="16">
        <v>0.02</v>
      </c>
      <c r="O15" s="23" t="s">
        <v>30</v>
      </c>
      <c r="Q15" s="30">
        <f>Q10</f>
        <v>10</v>
      </c>
      <c r="R15" s="30">
        <f t="shared" ref="R15:Z15" si="15">R10</f>
        <v>10</v>
      </c>
      <c r="S15" s="30">
        <f t="shared" si="15"/>
        <v>16</v>
      </c>
      <c r="T15" s="30">
        <f t="shared" si="15"/>
        <v>25</v>
      </c>
      <c r="U15" s="30">
        <f t="shared" si="15"/>
        <v>41</v>
      </c>
      <c r="V15" s="30">
        <f t="shared" si="15"/>
        <v>63</v>
      </c>
      <c r="W15" s="30">
        <f t="shared" si="15"/>
        <v>104</v>
      </c>
      <c r="X15" s="30">
        <f t="shared" si="15"/>
        <v>135</v>
      </c>
      <c r="Y15" s="30">
        <f t="shared" si="15"/>
        <v>146</v>
      </c>
      <c r="Z15" s="30">
        <f t="shared" si="15"/>
        <v>155</v>
      </c>
    </row>
    <row r="16" spans="1:26" x14ac:dyDescent="0.3">
      <c r="A16" s="76" t="s">
        <v>3</v>
      </c>
      <c r="B16" s="76"/>
      <c r="C16" s="5">
        <v>0.85</v>
      </c>
      <c r="D16" s="5">
        <v>0.82</v>
      </c>
      <c r="E16" s="5">
        <v>0.79</v>
      </c>
      <c r="F16" s="5">
        <v>0.76</v>
      </c>
      <c r="G16" s="5">
        <v>0.73</v>
      </c>
      <c r="H16" s="5">
        <v>0.7</v>
      </c>
      <c r="I16" s="5">
        <v>0.67</v>
      </c>
      <c r="J16" s="5">
        <v>0.64</v>
      </c>
      <c r="K16" s="5">
        <v>0.64</v>
      </c>
      <c r="L16" s="16">
        <v>0.64</v>
      </c>
      <c r="O16" s="24" t="s">
        <v>41</v>
      </c>
      <c r="P16" s="25"/>
      <c r="Q16" s="32">
        <f>Q14+Q15</f>
        <v>73.990000000000009</v>
      </c>
      <c r="R16" s="32">
        <f t="shared" ref="R16:Z16" si="16">R14+R15</f>
        <v>126.92</v>
      </c>
      <c r="S16" s="32">
        <f t="shared" si="16"/>
        <v>191.38</v>
      </c>
      <c r="T16" s="32">
        <f t="shared" si="16"/>
        <v>265.15999999999997</v>
      </c>
      <c r="U16" s="32">
        <f t="shared" si="16"/>
        <v>339.62</v>
      </c>
      <c r="V16" s="32">
        <f t="shared" si="16"/>
        <v>409.81</v>
      </c>
      <c r="W16" s="32">
        <f t="shared" si="16"/>
        <v>477.67</v>
      </c>
      <c r="X16" s="32">
        <f t="shared" si="16"/>
        <v>533.16000000000008</v>
      </c>
      <c r="Y16" s="32">
        <f t="shared" si="16"/>
        <v>566.28</v>
      </c>
      <c r="Z16" s="32">
        <f t="shared" si="16"/>
        <v>592.66000000000008</v>
      </c>
    </row>
    <row r="17" spans="1:26" x14ac:dyDescent="0.3">
      <c r="A17" s="6" t="s">
        <v>4</v>
      </c>
      <c r="B17" s="6"/>
      <c r="C17" s="5">
        <v>0.2</v>
      </c>
      <c r="D17" s="5">
        <v>0.19</v>
      </c>
      <c r="E17" s="5">
        <v>0.17</v>
      </c>
      <c r="F17" s="5">
        <v>0.15</v>
      </c>
      <c r="G17" s="5">
        <v>0.12</v>
      </c>
      <c r="H17" s="5">
        <v>0.09</v>
      </c>
      <c r="I17" s="5">
        <v>0.08</v>
      </c>
      <c r="J17" s="5">
        <v>7.0000000000000007E-2</v>
      </c>
      <c r="K17" s="5">
        <v>7.0000000000000007E-2</v>
      </c>
      <c r="L17" s="16">
        <v>7.0000000000000007E-2</v>
      </c>
      <c r="O17" s="23" t="s">
        <v>42</v>
      </c>
      <c r="Q17" s="39">
        <f t="shared" ref="Q17:Z17" si="17">(C32-B32)+B33</f>
        <v>8.1759616000000008</v>
      </c>
      <c r="R17" s="39">
        <f>(D32-C32)+C33</f>
        <v>23.503584121904758</v>
      </c>
      <c r="S17" s="39">
        <f>(E32-D32)+D33</f>
        <v>33.274947646716413</v>
      </c>
      <c r="T17" s="39">
        <f t="shared" si="17"/>
        <v>55.376663169572559</v>
      </c>
      <c r="U17" s="39">
        <f>(G32-F32)+F33</f>
        <v>81.307102051740031</v>
      </c>
      <c r="V17" s="39">
        <f t="shared" si="17"/>
        <v>142.31176563522936</v>
      </c>
      <c r="W17" s="39">
        <f t="shared" si="17"/>
        <v>140.8528708848105</v>
      </c>
      <c r="X17" s="39">
        <f t="shared" si="17"/>
        <v>132.28060135198302</v>
      </c>
      <c r="Y17" s="39">
        <f t="shared" si="17"/>
        <v>156.36217119773195</v>
      </c>
      <c r="Z17" s="39">
        <f t="shared" si="17"/>
        <v>162.33973643662364</v>
      </c>
    </row>
    <row r="18" spans="1:26" x14ac:dyDescent="0.3">
      <c r="A18" s="76" t="s">
        <v>5</v>
      </c>
      <c r="B18" s="76"/>
      <c r="C18" s="7">
        <v>25</v>
      </c>
      <c r="D18" s="7">
        <v>21</v>
      </c>
      <c r="E18" s="7">
        <v>17</v>
      </c>
      <c r="F18" s="7">
        <v>13</v>
      </c>
      <c r="G18" s="7">
        <v>10</v>
      </c>
      <c r="H18" s="7">
        <v>7</v>
      </c>
      <c r="I18" s="7">
        <v>6</v>
      </c>
      <c r="J18" s="7">
        <v>6</v>
      </c>
      <c r="K18" s="7">
        <v>6</v>
      </c>
      <c r="L18" s="17">
        <v>6</v>
      </c>
      <c r="O18" s="23" t="s">
        <v>31</v>
      </c>
      <c r="Q18" s="30">
        <f>C34-B34</f>
        <v>17.799880000000002</v>
      </c>
      <c r="R18" s="30">
        <f>D34-C34</f>
        <v>23.408927519999992</v>
      </c>
      <c r="S18" s="30">
        <f t="shared" ref="S18:Z18" si="18">E34-D34</f>
        <v>28.419923528319998</v>
      </c>
      <c r="T18" s="30">
        <f t="shared" si="18"/>
        <v>32.493318567006725</v>
      </c>
      <c r="U18" s="30">
        <f t="shared" si="18"/>
        <v>31.855965596827502</v>
      </c>
      <c r="V18" s="30">
        <f t="shared" si="18"/>
        <v>29.349256603878302</v>
      </c>
      <c r="W18" s="30">
        <f t="shared" si="18"/>
        <v>25.649604967543354</v>
      </c>
      <c r="X18" s="30">
        <f t="shared" si="18"/>
        <v>21.269672105633248</v>
      </c>
      <c r="Y18" s="30">
        <f t="shared" si="18"/>
        <v>16.080877684868597</v>
      </c>
      <c r="Z18" s="30">
        <f t="shared" si="18"/>
        <v>12.056182771784108</v>
      </c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4"/>
      <c r="O19" s="21" t="s">
        <v>32</v>
      </c>
      <c r="P19" s="27"/>
      <c r="Q19" s="33">
        <f>Q16-Q17-Q18</f>
        <v>48.014158400000014</v>
      </c>
      <c r="R19" s="33">
        <f t="shared" ref="R19:Z19" si="19">R16-R17-R18</f>
        <v>80.007488358095259</v>
      </c>
      <c r="S19" s="33">
        <f t="shared" si="19"/>
        <v>129.68512882496358</v>
      </c>
      <c r="T19" s="33">
        <f t="shared" si="19"/>
        <v>177.29001826342068</v>
      </c>
      <c r="U19" s="33">
        <f t="shared" si="19"/>
        <v>226.4569323514325</v>
      </c>
      <c r="V19" s="33">
        <f t="shared" si="19"/>
        <v>238.14897776089231</v>
      </c>
      <c r="W19" s="33">
        <f t="shared" si="19"/>
        <v>311.16752414764619</v>
      </c>
      <c r="X19" s="33">
        <f t="shared" si="19"/>
        <v>379.60972654238378</v>
      </c>
      <c r="Y19" s="33">
        <f t="shared" si="19"/>
        <v>393.83695111739939</v>
      </c>
      <c r="Z19" s="33">
        <f t="shared" si="19"/>
        <v>418.26408079159233</v>
      </c>
    </row>
    <row r="20" spans="1:26" x14ac:dyDescent="0.3">
      <c r="A20" s="2" t="s">
        <v>6</v>
      </c>
      <c r="B20" s="7">
        <v>12.53</v>
      </c>
      <c r="C20" s="7">
        <f t="shared" ref="C20:L20" si="20">B20*(1+C15)</f>
        <v>16.038399999999999</v>
      </c>
      <c r="D20" s="7">
        <f>C20*(1+D15)</f>
        <v>19.566848</v>
      </c>
      <c r="E20" s="7">
        <f t="shared" si="20"/>
        <v>23.088880639999999</v>
      </c>
      <c r="F20" s="7">
        <f t="shared" si="20"/>
        <v>26.321323929600002</v>
      </c>
      <c r="G20" s="7">
        <f t="shared" si="20"/>
        <v>29.216669561856005</v>
      </c>
      <c r="H20" s="7">
        <f t="shared" si="20"/>
        <v>31.846169822423047</v>
      </c>
      <c r="I20" s="7">
        <f t="shared" si="20"/>
        <v>34.075401709992661</v>
      </c>
      <c r="J20" s="7">
        <f t="shared" si="20"/>
        <v>35.779171795492296</v>
      </c>
      <c r="K20" s="7">
        <f t="shared" si="20"/>
        <v>36.852546949357063</v>
      </c>
      <c r="L20" s="17">
        <f t="shared" si="20"/>
        <v>37.589597888344201</v>
      </c>
      <c r="O20" s="1" t="s">
        <v>84</v>
      </c>
      <c r="Z20" s="30">
        <f>(Z19+(1+P21))/(P22-P21)</f>
        <v>5307.2035543239535</v>
      </c>
    </row>
    <row r="21" spans="1:26" x14ac:dyDescent="0.3">
      <c r="A21" s="2" t="s">
        <v>7</v>
      </c>
      <c r="B21" s="8">
        <v>19</v>
      </c>
      <c r="C21" s="8">
        <f t="shared" ref="C21:L21" si="21">B21*(1+C14)</f>
        <v>24.7</v>
      </c>
      <c r="D21" s="8">
        <f t="shared" si="21"/>
        <v>29.639999999999997</v>
      </c>
      <c r="E21" s="8">
        <f t="shared" si="21"/>
        <v>35.567999999999998</v>
      </c>
      <c r="F21" s="8">
        <f t="shared" si="21"/>
        <v>40.903199999999991</v>
      </c>
      <c r="G21" s="8">
        <f t="shared" si="21"/>
        <v>44.993519999999997</v>
      </c>
      <c r="H21" s="8">
        <f t="shared" si="21"/>
        <v>48.143066400000002</v>
      </c>
      <c r="I21" s="8">
        <f t="shared" si="21"/>
        <v>50.550219720000001</v>
      </c>
      <c r="J21" s="8">
        <f t="shared" si="21"/>
        <v>52.572228508800002</v>
      </c>
      <c r="K21" s="8">
        <f t="shared" si="21"/>
        <v>54.149395364064006</v>
      </c>
      <c r="L21" s="18">
        <f t="shared" si="21"/>
        <v>55.232383271345284</v>
      </c>
      <c r="O21" s="1" t="s">
        <v>89</v>
      </c>
      <c r="P21" s="35">
        <v>5.0000000000000001E-3</v>
      </c>
    </row>
    <row r="22" spans="1:26" x14ac:dyDescent="0.3">
      <c r="A22" s="2" t="s">
        <v>8</v>
      </c>
      <c r="B22" s="8">
        <v>201</v>
      </c>
      <c r="C22" s="8">
        <f>(C21+B21)/2*C20</f>
        <v>350.43904000000003</v>
      </c>
      <c r="D22" s="8">
        <f t="shared" ref="D22:L22" si="22">(D21+C21)/2*D20</f>
        <v>531.63126016000001</v>
      </c>
      <c r="E22" s="8">
        <f t="shared" si="22"/>
        <v>752.78986438656</v>
      </c>
      <c r="F22" s="8">
        <f t="shared" si="22"/>
        <v>1006.4116132426136</v>
      </c>
      <c r="G22" s="8">
        <f t="shared" si="22"/>
        <v>1254.8080423436338</v>
      </c>
      <c r="H22" s="8">
        <f t="shared" si="22"/>
        <v>1483.0217735875883</v>
      </c>
      <c r="I22" s="8">
        <f t="shared" si="22"/>
        <v>1681.5066853091216</v>
      </c>
      <c r="J22" s="8">
        <f t="shared" si="22"/>
        <v>1844.8178955749979</v>
      </c>
      <c r="K22" s="8">
        <f t="shared" si="22"/>
        <v>1966.4818271431729</v>
      </c>
      <c r="L22" s="18">
        <f t="shared" si="22"/>
        <v>2055.8085376084568</v>
      </c>
      <c r="O22" s="1" t="s">
        <v>88</v>
      </c>
      <c r="P22" s="35">
        <v>8.4000000000000005E-2</v>
      </c>
    </row>
    <row r="23" spans="1:26" x14ac:dyDescent="0.3">
      <c r="A23" s="2" t="s">
        <v>9</v>
      </c>
      <c r="B23" s="9">
        <v>298</v>
      </c>
      <c r="C23" s="9">
        <f t="shared" ref="C23:L23" si="23">B23*(1+$D$6)</f>
        <v>303.95999999999998</v>
      </c>
      <c r="D23" s="9">
        <f t="shared" si="23"/>
        <v>310.03919999999999</v>
      </c>
      <c r="E23" s="9">
        <f t="shared" si="23"/>
        <v>316.23998399999999</v>
      </c>
      <c r="F23" s="9">
        <f t="shared" si="23"/>
        <v>322.56478368000001</v>
      </c>
      <c r="G23" s="9">
        <f t="shared" si="23"/>
        <v>329.01607935359999</v>
      </c>
      <c r="H23" s="9">
        <f t="shared" si="23"/>
        <v>335.59640094067197</v>
      </c>
      <c r="I23" s="9">
        <f t="shared" si="23"/>
        <v>342.30832895948544</v>
      </c>
      <c r="J23" s="9">
        <f t="shared" si="23"/>
        <v>349.15449553867518</v>
      </c>
      <c r="K23" s="9">
        <f t="shared" si="23"/>
        <v>356.13758544944869</v>
      </c>
      <c r="L23" s="19">
        <f t="shared" si="23"/>
        <v>363.26033715843766</v>
      </c>
      <c r="O23" s="1" t="s">
        <v>85</v>
      </c>
      <c r="Q23" s="52">
        <f>Q19/((1+$P$22)^Q1)</f>
        <v>44.2935040590406</v>
      </c>
      <c r="R23" s="52">
        <f t="shared" ref="R23:Z23" si="24">R19/((1+$P$22)^R1)</f>
        <v>68.088234397420422</v>
      </c>
      <c r="S23" s="52">
        <f t="shared" si="24"/>
        <v>101.81278824013992</v>
      </c>
      <c r="T23" s="52">
        <f t="shared" si="24"/>
        <v>128.40063039405808</v>
      </c>
      <c r="U23" s="52">
        <f t="shared" si="24"/>
        <v>151.30009786359969</v>
      </c>
      <c r="V23" s="52">
        <f>V19/((1+$P$22)^V1)</f>
        <v>146.78207689283727</v>
      </c>
      <c r="W23" s="52">
        <f t="shared" si="24"/>
        <v>176.92503448668697</v>
      </c>
      <c r="X23" s="52">
        <f t="shared" si="24"/>
        <v>199.11458547203958</v>
      </c>
      <c r="Y23" s="52">
        <f t="shared" si="24"/>
        <v>190.56929216681431</v>
      </c>
      <c r="Z23" s="52">
        <f t="shared" si="24"/>
        <v>186.70577370222969</v>
      </c>
    </row>
    <row r="24" spans="1:26" x14ac:dyDescent="0.3">
      <c r="A24" s="2" t="s">
        <v>10</v>
      </c>
      <c r="B24" s="8">
        <f t="shared" ref="B24:L24" si="25">B22+B23</f>
        <v>499</v>
      </c>
      <c r="C24" s="8">
        <f t="shared" si="25"/>
        <v>654.39904000000001</v>
      </c>
      <c r="D24" s="8">
        <f t="shared" si="25"/>
        <v>841.67046015999995</v>
      </c>
      <c r="E24" s="8">
        <f t="shared" si="25"/>
        <v>1069.0298483865599</v>
      </c>
      <c r="F24" s="8">
        <f t="shared" si="25"/>
        <v>1328.9763969226137</v>
      </c>
      <c r="G24" s="8">
        <f t="shared" si="25"/>
        <v>1583.8241216972337</v>
      </c>
      <c r="H24" s="8">
        <f t="shared" si="25"/>
        <v>1818.6181745282602</v>
      </c>
      <c r="I24" s="8">
        <f t="shared" si="25"/>
        <v>2023.815014268607</v>
      </c>
      <c r="J24" s="8">
        <f t="shared" si="25"/>
        <v>2193.972391113673</v>
      </c>
      <c r="K24" s="8">
        <f t="shared" si="25"/>
        <v>2322.6194125926218</v>
      </c>
      <c r="L24" s="18">
        <f t="shared" si="25"/>
        <v>2419.0688747668946</v>
      </c>
      <c r="O24" s="1" t="s">
        <v>86</v>
      </c>
      <c r="Q24" s="52">
        <f>Z20/((1+P22)^Z1)</f>
        <v>2369.0428877611507</v>
      </c>
      <c r="R24" s="56" t="s">
        <v>94</v>
      </c>
    </row>
    <row r="25" spans="1:26" x14ac:dyDescent="0.3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18"/>
      <c r="O25" s="1" t="s">
        <v>87</v>
      </c>
      <c r="Q25" s="52">
        <f>(SUM(Q23:Z23)+Q24)*1000000</f>
        <v>3763034905.436017</v>
      </c>
    </row>
    <row r="26" spans="1:26" x14ac:dyDescent="0.3">
      <c r="A26" s="2" t="s">
        <v>11</v>
      </c>
      <c r="B26" s="8"/>
      <c r="C26" s="8">
        <f>$D$7*C22</f>
        <v>161.20195840000002</v>
      </c>
      <c r="D26" s="8">
        <f t="shared" ref="D26:L26" si="26">$D$7*D22</f>
        <v>244.55037967360002</v>
      </c>
      <c r="E26" s="8">
        <f t="shared" si="26"/>
        <v>346.28333761781761</v>
      </c>
      <c r="F26" s="8">
        <f t="shared" si="26"/>
        <v>462.94934209160226</v>
      </c>
      <c r="G26" s="8">
        <f t="shared" si="26"/>
        <v>577.21169947807164</v>
      </c>
      <c r="H26" s="8">
        <f t="shared" si="26"/>
        <v>682.19001585029071</v>
      </c>
      <c r="I26" s="8">
        <f t="shared" si="26"/>
        <v>773.49307524219603</v>
      </c>
      <c r="J26" s="8">
        <f t="shared" si="26"/>
        <v>848.61623196449909</v>
      </c>
      <c r="K26" s="8">
        <f t="shared" si="26"/>
        <v>904.58164048585957</v>
      </c>
      <c r="L26" s="18">
        <f t="shared" si="26"/>
        <v>945.67192729989017</v>
      </c>
      <c r="O26" s="1" t="s">
        <v>90</v>
      </c>
      <c r="Q26" s="30">
        <f>22811*1000</f>
        <v>22811000</v>
      </c>
    </row>
    <row r="27" spans="1:26" x14ac:dyDescent="0.3">
      <c r="A27" s="2" t="s">
        <v>12</v>
      </c>
      <c r="B27" s="8"/>
      <c r="C27" s="8">
        <f t="shared" ref="C27:L27" si="27">C16*C23</f>
        <v>258.36599999999999</v>
      </c>
      <c r="D27" s="8">
        <f t="shared" si="27"/>
        <v>254.23214399999998</v>
      </c>
      <c r="E27" s="8">
        <f t="shared" si="27"/>
        <v>249.82958736</v>
      </c>
      <c r="F27" s="8">
        <f t="shared" si="27"/>
        <v>245.1492355968</v>
      </c>
      <c r="G27" s="8">
        <f t="shared" si="27"/>
        <v>240.181737928128</v>
      </c>
      <c r="H27" s="8">
        <f t="shared" si="27"/>
        <v>234.91748065847037</v>
      </c>
      <c r="I27" s="8">
        <f t="shared" si="27"/>
        <v>229.34658040285527</v>
      </c>
      <c r="J27" s="8">
        <f t="shared" si="27"/>
        <v>223.45887714475211</v>
      </c>
      <c r="K27" s="8">
        <f t="shared" si="27"/>
        <v>227.92805468764718</v>
      </c>
      <c r="L27" s="18">
        <f t="shared" si="27"/>
        <v>232.4866157814001</v>
      </c>
      <c r="O27" s="1" t="s">
        <v>91</v>
      </c>
      <c r="Q27" s="52">
        <f>Q25-Q26</f>
        <v>3740223905.436017</v>
      </c>
    </row>
    <row r="28" spans="1:26" ht="14.5" thickBot="1" x14ac:dyDescent="0.35">
      <c r="A28" s="2" t="s">
        <v>13</v>
      </c>
      <c r="B28" s="8"/>
      <c r="C28" s="8">
        <f t="shared" ref="C28:L28" si="28">$D$8*C24</f>
        <v>143.96778879999999</v>
      </c>
      <c r="D28" s="8">
        <f t="shared" si="28"/>
        <v>185.16750123519998</v>
      </c>
      <c r="E28" s="8">
        <f t="shared" si="28"/>
        <v>235.1865666450432</v>
      </c>
      <c r="F28" s="8">
        <f t="shared" si="28"/>
        <v>292.37480732297502</v>
      </c>
      <c r="G28" s="8">
        <f t="shared" si="28"/>
        <v>348.44130677339143</v>
      </c>
      <c r="H28" s="8">
        <f t="shared" si="28"/>
        <v>400.09599839621723</v>
      </c>
      <c r="I28" s="8">
        <f t="shared" si="28"/>
        <v>445.23930313909352</v>
      </c>
      <c r="J28" s="8">
        <f t="shared" si="28"/>
        <v>482.67392604500805</v>
      </c>
      <c r="K28" s="8">
        <f t="shared" si="28"/>
        <v>510.9762707703768</v>
      </c>
      <c r="L28" s="18">
        <f t="shared" si="28"/>
        <v>532.19515244871684</v>
      </c>
      <c r="O28" s="1" t="s">
        <v>92</v>
      </c>
      <c r="Q28" s="1">
        <f>116469*1000</f>
        <v>116469000</v>
      </c>
    </row>
    <row r="29" spans="1:26" ht="14.5" thickBot="1" x14ac:dyDescent="0.35">
      <c r="A29" s="2" t="s">
        <v>14</v>
      </c>
      <c r="B29" s="8"/>
      <c r="C29" s="8">
        <f>C17*C24</f>
        <v>130.879808</v>
      </c>
      <c r="D29" s="8">
        <f t="shared" ref="D29:L29" si="29">D17*D24</f>
        <v>159.9173874304</v>
      </c>
      <c r="E29" s="8">
        <f t="shared" si="29"/>
        <v>181.73507422571521</v>
      </c>
      <c r="F29" s="8">
        <f t="shared" si="29"/>
        <v>199.34645953839205</v>
      </c>
      <c r="G29" s="8">
        <f t="shared" si="29"/>
        <v>190.05889460366805</v>
      </c>
      <c r="H29" s="8">
        <f t="shared" si="29"/>
        <v>163.67563570754342</v>
      </c>
      <c r="I29" s="8">
        <f t="shared" si="29"/>
        <v>161.90520114148856</v>
      </c>
      <c r="J29" s="8">
        <f t="shared" si="29"/>
        <v>153.57806737795713</v>
      </c>
      <c r="K29" s="8">
        <f t="shared" si="29"/>
        <v>162.58335888148355</v>
      </c>
      <c r="L29" s="18">
        <f t="shared" si="29"/>
        <v>169.33482123368265</v>
      </c>
      <c r="O29" s="53" t="s">
        <v>93</v>
      </c>
      <c r="P29" s="54"/>
      <c r="Q29" s="55">
        <f>Q27/Q28</f>
        <v>32.113471442495573</v>
      </c>
    </row>
    <row r="30" spans="1:26" ht="14.5" thickBot="1" x14ac:dyDescent="0.35">
      <c r="A30" s="2" t="s">
        <v>15</v>
      </c>
      <c r="B30" s="8"/>
      <c r="C30" s="10">
        <f t="shared" ref="C30:K30" si="30">C24-C26-C27-C28-C29</f>
        <v>-40.016515199999986</v>
      </c>
      <c r="D30" s="10">
        <f t="shared" si="30"/>
        <v>-2.1969521791999682</v>
      </c>
      <c r="E30" s="10">
        <f t="shared" si="30"/>
        <v>55.995282537983968</v>
      </c>
      <c r="F30" s="10">
        <f t="shared" si="30"/>
        <v>129.15655237284446</v>
      </c>
      <c r="G30" s="10">
        <f t="shared" si="30"/>
        <v>227.93048291397466</v>
      </c>
      <c r="H30" s="10">
        <f t="shared" si="30"/>
        <v>337.73904391573831</v>
      </c>
      <c r="I30" s="10">
        <f t="shared" si="30"/>
        <v>413.83085434297368</v>
      </c>
      <c r="J30" s="10">
        <f t="shared" si="30"/>
        <v>485.64528858145661</v>
      </c>
      <c r="K30" s="10">
        <f t="shared" si="30"/>
        <v>516.55008776725458</v>
      </c>
      <c r="L30" s="20">
        <f>L24-L26-L27-L28-L29</f>
        <v>539.38035800320472</v>
      </c>
    </row>
    <row r="31" spans="1:26" ht="14.5" thickTop="1" x14ac:dyDescent="0.3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18"/>
    </row>
    <row r="32" spans="1:26" x14ac:dyDescent="0.3">
      <c r="A32" s="2" t="s">
        <v>16</v>
      </c>
      <c r="B32" s="8">
        <v>24</v>
      </c>
      <c r="C32" s="8">
        <f t="shared" ref="C32:L32" si="31">C24/C18</f>
        <v>26.175961600000001</v>
      </c>
      <c r="D32" s="8">
        <f t="shared" si="31"/>
        <v>40.079545721904758</v>
      </c>
      <c r="E32" s="8">
        <f t="shared" si="31"/>
        <v>62.884108728621172</v>
      </c>
      <c r="F32" s="8">
        <f t="shared" si="31"/>
        <v>102.22895360943183</v>
      </c>
      <c r="G32" s="8">
        <f t="shared" si="31"/>
        <v>158.38241216972338</v>
      </c>
      <c r="H32" s="8">
        <f t="shared" si="31"/>
        <v>259.80259636118001</v>
      </c>
      <c r="I32" s="8">
        <f t="shared" si="31"/>
        <v>337.30250237810117</v>
      </c>
      <c r="J32" s="8">
        <f t="shared" si="31"/>
        <v>365.66206518561216</v>
      </c>
      <c r="K32" s="8">
        <f t="shared" si="31"/>
        <v>387.10323543210365</v>
      </c>
      <c r="L32" s="18">
        <f t="shared" si="31"/>
        <v>403.17814579448242</v>
      </c>
    </row>
    <row r="33" spans="1:12" x14ac:dyDescent="0.3">
      <c r="A33" s="2" t="s">
        <v>17</v>
      </c>
      <c r="B33" s="8">
        <v>6</v>
      </c>
      <c r="C33" s="8">
        <f>$D$10*B32</f>
        <v>9.6000000000000014</v>
      </c>
      <c r="D33" s="8">
        <f t="shared" ref="D33:L33" si="32">$D$10*C32</f>
        <v>10.470384640000001</v>
      </c>
      <c r="E33" s="8">
        <f t="shared" si="32"/>
        <v>16.031818288761905</v>
      </c>
      <c r="F33" s="8">
        <f t="shared" si="32"/>
        <v>25.15364349144847</v>
      </c>
      <c r="G33" s="8">
        <f t="shared" si="32"/>
        <v>40.891581443772736</v>
      </c>
      <c r="H33" s="8">
        <f t="shared" si="32"/>
        <v>63.352964867889355</v>
      </c>
      <c r="I33" s="8">
        <f t="shared" si="32"/>
        <v>103.92103854447201</v>
      </c>
      <c r="J33" s="8">
        <f t="shared" si="32"/>
        <v>134.92100095124047</v>
      </c>
      <c r="K33" s="8">
        <f t="shared" si="32"/>
        <v>146.26482607424487</v>
      </c>
      <c r="L33" s="18">
        <f t="shared" si="32"/>
        <v>154.84129417284146</v>
      </c>
    </row>
    <row r="34" spans="1:12" x14ac:dyDescent="0.3">
      <c r="A34" s="3" t="s">
        <v>18</v>
      </c>
      <c r="B34" s="9">
        <v>64</v>
      </c>
      <c r="C34" s="9">
        <f>C24/$D$9</f>
        <v>81.799880000000002</v>
      </c>
      <c r="D34" s="9">
        <f t="shared" ref="D34:L34" si="33">D24/$D$9</f>
        <v>105.20880751999999</v>
      </c>
      <c r="E34" s="9">
        <f t="shared" si="33"/>
        <v>133.62873104831999</v>
      </c>
      <c r="F34" s="9">
        <f t="shared" si="33"/>
        <v>166.12204961532672</v>
      </c>
      <c r="G34" s="9">
        <f t="shared" si="33"/>
        <v>197.97801521215422</v>
      </c>
      <c r="H34" s="9">
        <f t="shared" si="33"/>
        <v>227.32727181603252</v>
      </c>
      <c r="I34" s="9">
        <f t="shared" si="33"/>
        <v>252.97687678357588</v>
      </c>
      <c r="J34" s="9">
        <f t="shared" si="33"/>
        <v>274.24654888920912</v>
      </c>
      <c r="K34" s="9">
        <f t="shared" si="33"/>
        <v>290.32742657407772</v>
      </c>
      <c r="L34" s="19">
        <f t="shared" si="33"/>
        <v>302.38360934586183</v>
      </c>
    </row>
  </sheetData>
  <mergeCells count="2">
    <mergeCell ref="A16:B16"/>
    <mergeCell ref="A18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02CA-A4BE-45C1-81DD-1DEC0C94473D}">
  <dimension ref="B1:G6"/>
  <sheetViews>
    <sheetView workbookViewId="0">
      <selection activeCell="D23" sqref="D23"/>
    </sheetView>
  </sheetViews>
  <sheetFormatPr defaultRowHeight="14" x14ac:dyDescent="0.3"/>
  <cols>
    <col min="1" max="1" width="11.453125" style="1" bestFit="1" customWidth="1"/>
    <col min="2" max="2" width="27.7265625" style="1" bestFit="1" customWidth="1"/>
    <col min="3" max="16384" width="8.7265625" style="1"/>
  </cols>
  <sheetData>
    <row r="1" spans="2:7" ht="14.5" thickBot="1" x14ac:dyDescent="0.35"/>
    <row r="2" spans="2:7" x14ac:dyDescent="0.3">
      <c r="B2" s="64" t="s">
        <v>95</v>
      </c>
      <c r="C2" s="65">
        <v>2.5000000000000001E-3</v>
      </c>
      <c r="D2" s="65">
        <v>5.0000000000000001E-3</v>
      </c>
      <c r="E2" s="66">
        <v>0.01</v>
      </c>
      <c r="F2" s="66">
        <v>0.02</v>
      </c>
      <c r="G2" s="67">
        <v>0.03</v>
      </c>
    </row>
    <row r="3" spans="2:7" x14ac:dyDescent="0.3">
      <c r="B3" s="57"/>
      <c r="C3" s="37"/>
      <c r="D3" s="37"/>
      <c r="E3" s="37"/>
      <c r="F3" s="37"/>
      <c r="G3" s="58"/>
    </row>
    <row r="4" spans="2:7" x14ac:dyDescent="0.3">
      <c r="B4" s="57" t="s">
        <v>96</v>
      </c>
      <c r="C4" s="59">
        <v>31.49</v>
      </c>
      <c r="D4" s="59">
        <v>32.11</v>
      </c>
      <c r="E4" s="59">
        <v>33.49</v>
      </c>
      <c r="F4" s="59">
        <v>36.880000000000003</v>
      </c>
      <c r="G4" s="60">
        <v>41.53</v>
      </c>
    </row>
    <row r="5" spans="2:7" x14ac:dyDescent="0.3">
      <c r="B5" s="57" t="s">
        <v>97</v>
      </c>
      <c r="C5" s="59">
        <v>32.82</v>
      </c>
      <c r="D5" s="59">
        <v>33.51</v>
      </c>
      <c r="E5" s="59">
        <v>35.01</v>
      </c>
      <c r="F5" s="59">
        <v>38.770000000000003</v>
      </c>
      <c r="G5" s="60">
        <v>43.99</v>
      </c>
    </row>
    <row r="6" spans="2:7" ht="14.5" thickBot="1" x14ac:dyDescent="0.35">
      <c r="B6" s="61" t="s">
        <v>98</v>
      </c>
      <c r="C6" s="62">
        <v>44.27</v>
      </c>
      <c r="D6" s="62">
        <v>45.57</v>
      </c>
      <c r="E6" s="62">
        <v>48.53</v>
      </c>
      <c r="F6" s="62">
        <v>56.44</v>
      </c>
      <c r="G6" s="63">
        <v>68.91</v>
      </c>
    </row>
  </sheetData>
  <conditionalFormatting sqref="B4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232-A6D0-459A-B472-A4AB1936980E}">
  <dimension ref="A1:K71"/>
  <sheetViews>
    <sheetView zoomScale="71" zoomScaleNormal="110" workbookViewId="0">
      <selection activeCell="G23" sqref="G23"/>
    </sheetView>
  </sheetViews>
  <sheetFormatPr defaultRowHeight="14" x14ac:dyDescent="0.3"/>
  <cols>
    <col min="1" max="1" width="25.7265625" style="1" bestFit="1" customWidth="1"/>
    <col min="2" max="2" width="8.453125" style="1" bestFit="1" customWidth="1"/>
    <col min="3" max="3" width="17" style="1" bestFit="1" customWidth="1"/>
    <col min="4" max="4" width="10" style="1" bestFit="1" customWidth="1"/>
    <col min="5" max="5" width="6.54296875" style="1" bestFit="1" customWidth="1"/>
    <col min="6" max="6" width="17.08984375" style="1" bestFit="1" customWidth="1"/>
    <col min="7" max="7" width="9.81640625" style="1" bestFit="1" customWidth="1"/>
    <col min="8" max="8" width="21.81640625" style="1" bestFit="1" customWidth="1"/>
    <col min="9" max="9" width="13.26953125" style="1" bestFit="1" customWidth="1"/>
    <col min="10" max="10" width="12.453125" style="1" bestFit="1" customWidth="1"/>
    <col min="11" max="11" width="11" style="1" bestFit="1" customWidth="1"/>
    <col min="12" max="12" width="27.08984375" style="1" bestFit="1" customWidth="1"/>
    <col min="13" max="13" width="14.1796875" style="1" bestFit="1" customWidth="1"/>
    <col min="14" max="14" width="9.26953125" style="1" customWidth="1"/>
    <col min="15" max="15" width="8.1796875" style="1" bestFit="1" customWidth="1"/>
    <col min="16" max="16" width="17.08984375" style="1" bestFit="1" customWidth="1"/>
    <col min="17" max="17" width="22.26953125" style="1" bestFit="1" customWidth="1"/>
    <col min="18" max="18" width="13.26953125" style="1" customWidth="1"/>
    <col min="19" max="19" width="13.26953125" style="1" bestFit="1" customWidth="1"/>
    <col min="20" max="20" width="22.6328125" style="1" bestFit="1" customWidth="1"/>
    <col min="21" max="16384" width="8.7265625" style="1"/>
  </cols>
  <sheetData>
    <row r="1" spans="1:11" x14ac:dyDescent="0.3">
      <c r="A1" s="1" t="s">
        <v>54</v>
      </c>
    </row>
    <row r="2" spans="1:11" x14ac:dyDescent="0.3">
      <c r="A2" s="1" t="s">
        <v>55</v>
      </c>
      <c r="B2" s="35">
        <v>0.06</v>
      </c>
    </row>
    <row r="3" spans="1:11" x14ac:dyDescent="0.3">
      <c r="A3" s="1" t="s">
        <v>56</v>
      </c>
      <c r="B3" s="35">
        <v>2.81E-2</v>
      </c>
    </row>
    <row r="4" spans="1:11" x14ac:dyDescent="0.3">
      <c r="A4" s="1" t="s">
        <v>28</v>
      </c>
      <c r="B4" s="35">
        <v>0.21</v>
      </c>
    </row>
    <row r="5" spans="1:11" x14ac:dyDescent="0.3">
      <c r="A5" s="1" t="s">
        <v>57</v>
      </c>
      <c r="B5" s="35">
        <f>B2-B3</f>
        <v>3.1899999999999998E-2</v>
      </c>
    </row>
    <row r="7" spans="1:11" x14ac:dyDescent="0.3">
      <c r="A7" s="29"/>
      <c r="B7" s="29"/>
      <c r="C7" s="40"/>
      <c r="D7" s="45"/>
      <c r="E7" s="45"/>
      <c r="H7" s="29"/>
      <c r="I7" s="29"/>
    </row>
    <row r="8" spans="1:11" x14ac:dyDescent="0.3">
      <c r="B8" s="40"/>
      <c r="C8" s="40"/>
      <c r="D8" s="45"/>
      <c r="E8" s="45"/>
      <c r="H8" s="29"/>
      <c r="I8" s="36"/>
    </row>
    <row r="9" spans="1:11" x14ac:dyDescent="0.3">
      <c r="A9" s="38" t="s">
        <v>67</v>
      </c>
      <c r="B9" s="37" t="s">
        <v>44</v>
      </c>
      <c r="C9" s="37" t="s">
        <v>68</v>
      </c>
      <c r="D9" s="37" t="s">
        <v>45</v>
      </c>
      <c r="E9" s="37" t="s">
        <v>46</v>
      </c>
      <c r="F9" s="37" t="s">
        <v>53</v>
      </c>
      <c r="G9" s="37" t="s">
        <v>51</v>
      </c>
      <c r="H9" s="37" t="s">
        <v>69</v>
      </c>
      <c r="I9" s="37" t="s">
        <v>58</v>
      </c>
      <c r="J9" s="37" t="s">
        <v>76</v>
      </c>
      <c r="K9" s="37" t="s">
        <v>77</v>
      </c>
    </row>
    <row r="10" spans="1:11" x14ac:dyDescent="0.3">
      <c r="A10" s="1" t="s">
        <v>59</v>
      </c>
      <c r="B10" s="40">
        <v>20170</v>
      </c>
      <c r="C10" s="40">
        <v>1639</v>
      </c>
      <c r="D10" s="45">
        <v>98.43</v>
      </c>
      <c r="E10" s="45">
        <v>1</v>
      </c>
      <c r="F10" s="1">
        <v>0.2</v>
      </c>
      <c r="G10" s="1">
        <f>C10*D10</f>
        <v>161326.77000000002</v>
      </c>
      <c r="H10" s="29">
        <f>B10/G10</f>
        <v>0.12502574743174985</v>
      </c>
      <c r="I10" s="36">
        <f>(E10/(1+H10))+((F10*H10)/(1+H10))</f>
        <v>0.91109483656375823</v>
      </c>
      <c r="J10" s="42">
        <f>G10/(G10+B10)</f>
        <v>0.88886854570469764</v>
      </c>
      <c r="K10" s="42">
        <f>B10/(B10+G10)</f>
        <v>0.11113145429530233</v>
      </c>
    </row>
    <row r="11" spans="1:11" x14ac:dyDescent="0.3">
      <c r="A11" s="1" t="s">
        <v>47</v>
      </c>
      <c r="B11" s="40">
        <v>5848</v>
      </c>
      <c r="C11" s="40">
        <v>4965</v>
      </c>
      <c r="D11" s="45">
        <v>5.47</v>
      </c>
      <c r="E11" s="45">
        <v>1.1000000000000001</v>
      </c>
      <c r="F11" s="1">
        <v>0.2</v>
      </c>
      <c r="G11" s="1">
        <f t="shared" ref="G11:G15" si="0">C11*D11</f>
        <v>27158.55</v>
      </c>
      <c r="H11" s="29">
        <f t="shared" ref="H11:H15" si="1">B11/G11</f>
        <v>0.21532813791605224</v>
      </c>
      <c r="I11" s="36">
        <f t="shared" ref="I11:I15" si="2">(E11/(1+H11))+((F11*H11)/(1+H11))</f>
        <v>0.94054074115592201</v>
      </c>
      <c r="J11" s="42">
        <f t="shared" ref="J11:J15" si="3">G11/(G11+B11)</f>
        <v>0.82282304572880227</v>
      </c>
      <c r="K11" s="42">
        <f t="shared" ref="K11:K15" si="4">B11/(B11+G11)</f>
        <v>0.17717695427119767</v>
      </c>
    </row>
    <row r="12" spans="1:11" x14ac:dyDescent="0.3">
      <c r="A12" s="1" t="s">
        <v>60</v>
      </c>
      <c r="B12" s="40">
        <v>16479</v>
      </c>
      <c r="C12" s="40">
        <v>484</v>
      </c>
      <c r="D12" s="45">
        <v>53.38</v>
      </c>
      <c r="E12" s="45">
        <v>1.06</v>
      </c>
      <c r="F12" s="1">
        <v>0.2</v>
      </c>
      <c r="G12" s="1">
        <f t="shared" si="0"/>
        <v>25835.920000000002</v>
      </c>
      <c r="H12" s="29">
        <f t="shared" si="1"/>
        <v>0.63783290860166775</v>
      </c>
      <c r="I12" s="36">
        <f t="shared" si="2"/>
        <v>0.72508408854370998</v>
      </c>
      <c r="J12" s="42">
        <f t="shared" si="3"/>
        <v>0.61056289365547667</v>
      </c>
      <c r="K12" s="42">
        <f t="shared" si="4"/>
        <v>0.38943710634452339</v>
      </c>
    </row>
    <row r="13" spans="1:11" x14ac:dyDescent="0.3">
      <c r="A13" s="1" t="s">
        <v>48</v>
      </c>
      <c r="B13" s="40">
        <v>3394</v>
      </c>
      <c r="C13" s="40">
        <v>439</v>
      </c>
      <c r="D13" s="45">
        <v>185.68</v>
      </c>
      <c r="E13" s="45">
        <v>0.9</v>
      </c>
      <c r="F13" s="1">
        <v>0.2</v>
      </c>
      <c r="G13" s="1">
        <f t="shared" si="0"/>
        <v>81513.52</v>
      </c>
      <c r="H13" s="29">
        <f t="shared" si="1"/>
        <v>4.1637264591199104E-2</v>
      </c>
      <c r="I13" s="36">
        <f t="shared" si="2"/>
        <v>0.87201896840232762</v>
      </c>
      <c r="J13" s="42">
        <f t="shared" si="3"/>
        <v>0.96002709771761086</v>
      </c>
      <c r="K13" s="42">
        <f t="shared" si="4"/>
        <v>3.9972902282389117E-2</v>
      </c>
    </row>
    <row r="14" spans="1:11" x14ac:dyDescent="0.3">
      <c r="A14" s="1" t="s">
        <v>49</v>
      </c>
      <c r="B14" s="40">
        <v>3940</v>
      </c>
      <c r="C14" s="40">
        <v>699</v>
      </c>
      <c r="D14" s="45">
        <v>936.86</v>
      </c>
      <c r="E14" s="45">
        <v>1.05</v>
      </c>
      <c r="F14" s="1">
        <v>0.2</v>
      </c>
      <c r="G14" s="1">
        <f t="shared" si="0"/>
        <v>654865.14</v>
      </c>
      <c r="H14" s="29">
        <f t="shared" si="1"/>
        <v>6.0165059328093108E-3</v>
      </c>
      <c r="I14" s="36">
        <f t="shared" si="2"/>
        <v>1.0449165545368999</v>
      </c>
      <c r="J14" s="42">
        <f t="shared" si="3"/>
        <v>0.99401947592576467</v>
      </c>
      <c r="K14" s="42">
        <f t="shared" si="4"/>
        <v>5.9805240742353645E-3</v>
      </c>
    </row>
    <row r="15" spans="1:11" x14ac:dyDescent="0.3">
      <c r="A15" s="1" t="s">
        <v>50</v>
      </c>
      <c r="B15" s="40">
        <v>342</v>
      </c>
      <c r="C15" s="40">
        <v>231</v>
      </c>
      <c r="D15" s="45">
        <v>8.32</v>
      </c>
      <c r="E15" s="45">
        <v>1.3</v>
      </c>
      <c r="F15" s="1">
        <v>0.2</v>
      </c>
      <c r="G15" s="1">
        <f t="shared" si="0"/>
        <v>1921.92</v>
      </c>
      <c r="H15" s="29">
        <f t="shared" si="1"/>
        <v>0.17794705294705293</v>
      </c>
      <c r="I15" s="36">
        <f t="shared" si="2"/>
        <v>1.1338280504611469</v>
      </c>
      <c r="J15" s="42">
        <f t="shared" si="3"/>
        <v>0.8489345913283155</v>
      </c>
      <c r="K15" s="42">
        <f t="shared" si="4"/>
        <v>0.1510654086716845</v>
      </c>
    </row>
    <row r="16" spans="1:11" x14ac:dyDescent="0.3">
      <c r="B16" s="40"/>
      <c r="C16" s="40"/>
      <c r="D16" s="45"/>
      <c r="E16" s="45"/>
      <c r="H16" s="29"/>
      <c r="I16" s="36"/>
    </row>
    <row r="17" spans="1:11" x14ac:dyDescent="0.3">
      <c r="A17" s="29" t="s">
        <v>71</v>
      </c>
      <c r="B17" s="36">
        <f>AVERAGE(I10:I15)</f>
        <v>0.93791387327729403</v>
      </c>
      <c r="C17" s="40"/>
      <c r="D17" s="45"/>
      <c r="E17" s="45"/>
      <c r="H17" s="29"/>
      <c r="I17" s="36"/>
    </row>
    <row r="18" spans="1:11" x14ac:dyDescent="0.3">
      <c r="A18" s="29" t="s">
        <v>72</v>
      </c>
      <c r="B18" s="29">
        <f>AVERAGE(H10:H15)</f>
        <v>0.20063126957008856</v>
      </c>
      <c r="C18" s="40"/>
      <c r="D18" s="45"/>
      <c r="E18" s="45"/>
      <c r="H18" s="29"/>
      <c r="I18" s="29"/>
    </row>
    <row r="19" spans="1:11" x14ac:dyDescent="0.3">
      <c r="A19" s="1" t="s">
        <v>78</v>
      </c>
      <c r="B19" s="41">
        <f>AVERAGE(J10:J15)</f>
        <v>0.85420594167677777</v>
      </c>
      <c r="C19" s="40"/>
      <c r="D19" s="45"/>
      <c r="E19" s="45"/>
      <c r="H19" s="29"/>
      <c r="I19" s="36"/>
    </row>
    <row r="20" spans="1:11" x14ac:dyDescent="0.3">
      <c r="A20" s="1" t="s">
        <v>79</v>
      </c>
      <c r="B20" s="41">
        <f>AVERAGE(K10:K15)</f>
        <v>0.14579405832322206</v>
      </c>
      <c r="C20" s="40"/>
      <c r="D20" s="45"/>
      <c r="E20" s="45"/>
      <c r="H20" s="29"/>
      <c r="I20" s="36"/>
    </row>
    <row r="21" spans="1:11" x14ac:dyDescent="0.3">
      <c r="B21" s="40"/>
      <c r="C21" s="40"/>
      <c r="D21" s="45"/>
      <c r="E21" s="45"/>
      <c r="H21" s="29"/>
      <c r="I21" s="36"/>
    </row>
    <row r="22" spans="1:11" x14ac:dyDescent="0.3">
      <c r="A22" s="46" t="s">
        <v>52</v>
      </c>
      <c r="B22" s="40" t="s">
        <v>73</v>
      </c>
      <c r="C22" s="40" t="s">
        <v>73</v>
      </c>
      <c r="D22" s="45" t="s">
        <v>73</v>
      </c>
      <c r="E22" s="47">
        <f>(I22*(1+H22))-(F22*H22)</f>
        <v>1.0859624705062989</v>
      </c>
      <c r="F22" s="1">
        <v>0.2</v>
      </c>
      <c r="G22" s="1" t="s">
        <v>73</v>
      </c>
      <c r="H22" s="29">
        <f>B18</f>
        <v>0.20063126957008856</v>
      </c>
      <c r="I22" s="36">
        <f>B17</f>
        <v>0.93791387327729403</v>
      </c>
    </row>
    <row r="23" spans="1:11" x14ac:dyDescent="0.3">
      <c r="A23" s="1" t="s">
        <v>74</v>
      </c>
      <c r="B23" s="29">
        <f>B3+(E22*B2)</f>
        <v>9.3257748230377926E-2</v>
      </c>
      <c r="C23" s="40"/>
      <c r="D23" s="45"/>
      <c r="E23" s="45"/>
      <c r="H23" s="29"/>
      <c r="I23" s="36"/>
    </row>
    <row r="24" spans="1:11" x14ac:dyDescent="0.3">
      <c r="A24" s="1" t="s">
        <v>75</v>
      </c>
      <c r="B24" s="29">
        <f>B3+(F22*B2)</f>
        <v>4.0099999999999997E-2</v>
      </c>
      <c r="C24" s="40"/>
      <c r="D24" s="45"/>
      <c r="E24" s="45"/>
      <c r="F24" s="40"/>
      <c r="H24" s="29"/>
      <c r="I24" s="36"/>
    </row>
    <row r="25" spans="1:11" x14ac:dyDescent="0.3">
      <c r="A25" s="1" t="s">
        <v>76</v>
      </c>
      <c r="B25" s="43">
        <v>0.85</v>
      </c>
      <c r="C25" s="40"/>
      <c r="D25" s="45"/>
      <c r="E25" s="45"/>
      <c r="H25" s="29"/>
      <c r="I25" s="36"/>
    </row>
    <row r="26" spans="1:11" x14ac:dyDescent="0.3">
      <c r="A26" s="1" t="s">
        <v>77</v>
      </c>
      <c r="B26" s="43">
        <f>1-B25</f>
        <v>0.15000000000000002</v>
      </c>
      <c r="C26" s="40"/>
      <c r="D26" s="45"/>
      <c r="E26" s="45"/>
      <c r="F26" s="29"/>
      <c r="G26" s="43"/>
      <c r="H26" s="43"/>
      <c r="I26" s="44"/>
    </row>
    <row r="27" spans="1:11" x14ac:dyDescent="0.3">
      <c r="A27" s="1" t="s">
        <v>28</v>
      </c>
      <c r="B27" s="29">
        <v>0.21</v>
      </c>
      <c r="C27" s="40"/>
      <c r="D27" s="45"/>
      <c r="E27" s="45"/>
      <c r="H27" s="29"/>
      <c r="I27" s="36"/>
    </row>
    <row r="28" spans="1:11" x14ac:dyDescent="0.3">
      <c r="A28" s="28" t="s">
        <v>80</v>
      </c>
      <c r="B28" s="48">
        <f>(B23*B25)+(B24*B26*(1-B27))</f>
        <v>8.4020935995821236E-2</v>
      </c>
      <c r="C28" s="40"/>
      <c r="D28" s="45"/>
      <c r="E28" s="45"/>
      <c r="H28" s="29"/>
      <c r="I28" s="36"/>
    </row>
    <row r="29" spans="1:11" x14ac:dyDescent="0.3">
      <c r="B29" s="40"/>
      <c r="C29" s="40"/>
      <c r="D29" s="45"/>
      <c r="E29" s="45"/>
      <c r="H29" s="29"/>
      <c r="I29" s="36"/>
    </row>
    <row r="31" spans="1:11" x14ac:dyDescent="0.3">
      <c r="A31" s="38" t="s">
        <v>70</v>
      </c>
      <c r="B31" s="37" t="s">
        <v>44</v>
      </c>
      <c r="C31" s="37" t="s">
        <v>68</v>
      </c>
      <c r="D31" s="37" t="s">
        <v>45</v>
      </c>
      <c r="E31" s="37" t="s">
        <v>46</v>
      </c>
      <c r="F31" s="37" t="s">
        <v>53</v>
      </c>
      <c r="G31" s="37" t="s">
        <v>51</v>
      </c>
      <c r="H31" s="37" t="s">
        <v>69</v>
      </c>
      <c r="I31" s="37" t="s">
        <v>58</v>
      </c>
      <c r="J31" s="37" t="s">
        <v>76</v>
      </c>
      <c r="K31" s="37" t="s">
        <v>77</v>
      </c>
    </row>
    <row r="32" spans="1:11" x14ac:dyDescent="0.3">
      <c r="A32" s="1" t="s">
        <v>61</v>
      </c>
      <c r="B32" s="40">
        <v>87030</v>
      </c>
      <c r="C32" s="40">
        <v>5500</v>
      </c>
      <c r="D32" s="45">
        <v>158.72999999999999</v>
      </c>
      <c r="E32" s="45">
        <v>0.9</v>
      </c>
      <c r="F32" s="1">
        <v>0.2</v>
      </c>
      <c r="G32" s="1">
        <f>C32*D32</f>
        <v>873015</v>
      </c>
      <c r="H32" s="29">
        <f>B32/G32</f>
        <v>9.9689008779917876E-2</v>
      </c>
      <c r="I32" s="36">
        <f>(E32/(1+H32))+((F32*H32)/(1+H32))</f>
        <v>0.83654359951877266</v>
      </c>
      <c r="J32" s="42">
        <f>G32/(G32+B32)</f>
        <v>0.90934799931253218</v>
      </c>
      <c r="K32" s="42">
        <f>B32/(B32+G32)</f>
        <v>9.0652000687467774E-2</v>
      </c>
    </row>
    <row r="33" spans="1:11" x14ac:dyDescent="0.3">
      <c r="A33" s="1" t="s">
        <v>62</v>
      </c>
      <c r="B33" s="40">
        <v>5554.3</v>
      </c>
      <c r="C33" s="40">
        <v>1092</v>
      </c>
      <c r="D33" s="45">
        <v>34.42</v>
      </c>
      <c r="E33" s="45">
        <v>0.85</v>
      </c>
      <c r="F33" s="1">
        <v>0.2</v>
      </c>
      <c r="G33" s="1">
        <f t="shared" ref="G33:G37" si="5">C33*D33</f>
        <v>37586.639999999999</v>
      </c>
      <c r="H33" s="29">
        <f t="shared" ref="H33:H37" si="6">B33/G33</f>
        <v>0.14777325134675512</v>
      </c>
      <c r="I33" s="36">
        <f t="shared" ref="I33:I37" si="7">(E33/(1+H33))+((F33*H33)/(1+H33))</f>
        <v>0.76631394679856302</v>
      </c>
      <c r="J33" s="42">
        <f t="shared" ref="J33:J37" si="8">G33/(G33+B33)</f>
        <v>0.87125222584394302</v>
      </c>
      <c r="K33" s="42">
        <f t="shared" ref="K33:K37" si="9">B33/(B33+G33)</f>
        <v>0.12874777415605687</v>
      </c>
    </row>
    <row r="34" spans="1:11" x14ac:dyDescent="0.3">
      <c r="A34" s="1" t="s">
        <v>63</v>
      </c>
      <c r="B34" s="40">
        <v>61046</v>
      </c>
      <c r="C34" s="40">
        <v>4876</v>
      </c>
      <c r="D34" s="45">
        <v>37.299999999999997</v>
      </c>
      <c r="E34" s="45">
        <v>0.9</v>
      </c>
      <c r="F34" s="1">
        <v>0.2</v>
      </c>
      <c r="G34" s="1">
        <f t="shared" si="5"/>
        <v>181874.8</v>
      </c>
      <c r="H34" s="29">
        <f t="shared" si="6"/>
        <v>0.33564847906361961</v>
      </c>
      <c r="I34" s="36">
        <f t="shared" si="7"/>
        <v>0.72408999147047104</v>
      </c>
      <c r="J34" s="42">
        <f t="shared" si="8"/>
        <v>0.74869998781495861</v>
      </c>
      <c r="K34" s="42">
        <f t="shared" si="9"/>
        <v>0.25130001218504139</v>
      </c>
    </row>
    <row r="35" spans="1:11" x14ac:dyDescent="0.3">
      <c r="A35" s="1" t="s">
        <v>64</v>
      </c>
      <c r="B35" s="40">
        <v>0</v>
      </c>
      <c r="C35" s="40">
        <v>139</v>
      </c>
      <c r="D35" s="45">
        <v>10.97</v>
      </c>
      <c r="E35" s="45">
        <v>1.45</v>
      </c>
      <c r="F35" s="1">
        <v>0.2</v>
      </c>
      <c r="G35" s="1">
        <f t="shared" si="5"/>
        <v>1524.8300000000002</v>
      </c>
      <c r="H35" s="29">
        <f t="shared" si="6"/>
        <v>0</v>
      </c>
      <c r="I35" s="36">
        <f t="shared" si="7"/>
        <v>1.45</v>
      </c>
      <c r="J35" s="42">
        <f t="shared" si="8"/>
        <v>1</v>
      </c>
      <c r="K35" s="42">
        <f t="shared" si="9"/>
        <v>0</v>
      </c>
    </row>
    <row r="36" spans="1:11" x14ac:dyDescent="0.3">
      <c r="A36" s="1" t="s">
        <v>65</v>
      </c>
      <c r="B36" s="40">
        <v>975</v>
      </c>
      <c r="C36" s="40">
        <v>94</v>
      </c>
      <c r="D36" s="45">
        <v>19.05</v>
      </c>
      <c r="E36" s="45">
        <v>1.5</v>
      </c>
      <c r="F36" s="1">
        <v>0.2</v>
      </c>
      <c r="G36" s="1">
        <f t="shared" si="5"/>
        <v>1790.7</v>
      </c>
      <c r="H36" s="29">
        <f t="shared" si="6"/>
        <v>0.54447981236387999</v>
      </c>
      <c r="I36" s="36">
        <f t="shared" si="7"/>
        <v>1.0417073435296669</v>
      </c>
      <c r="J36" s="42">
        <f t="shared" si="8"/>
        <v>0.64746718733051312</v>
      </c>
      <c r="K36" s="42">
        <f t="shared" si="9"/>
        <v>0.35253281266948694</v>
      </c>
    </row>
    <row r="37" spans="1:11" x14ac:dyDescent="0.3">
      <c r="A37" s="1" t="s">
        <v>66</v>
      </c>
      <c r="B37" s="40">
        <v>108080</v>
      </c>
      <c r="C37" s="40">
        <v>4086</v>
      </c>
      <c r="D37" s="45">
        <v>49.34</v>
      </c>
      <c r="E37" s="45">
        <v>0.75</v>
      </c>
      <c r="F37" s="1">
        <v>0.2</v>
      </c>
      <c r="G37" s="1">
        <f t="shared" si="5"/>
        <v>201603.24000000002</v>
      </c>
      <c r="H37" s="29">
        <f t="shared" si="6"/>
        <v>0.53610249517815289</v>
      </c>
      <c r="I37" s="36">
        <f t="shared" si="7"/>
        <v>0.55804902454520955</v>
      </c>
      <c r="J37" s="42">
        <f t="shared" si="8"/>
        <v>0.65099822644583549</v>
      </c>
      <c r="K37" s="42">
        <f t="shared" si="9"/>
        <v>0.34900177355416456</v>
      </c>
    </row>
    <row r="38" spans="1:11" x14ac:dyDescent="0.3">
      <c r="B38" s="40"/>
      <c r="C38" s="40"/>
      <c r="D38" s="45"/>
      <c r="E38" s="45"/>
      <c r="H38" s="29"/>
      <c r="I38" s="36"/>
    </row>
    <row r="39" spans="1:11" x14ac:dyDescent="0.3">
      <c r="A39" s="29" t="s">
        <v>71</v>
      </c>
      <c r="B39" s="45">
        <f>AVERAGE(I32:I37)</f>
        <v>0.89611731764378055</v>
      </c>
      <c r="C39" s="40"/>
      <c r="D39" s="45"/>
      <c r="E39" s="45"/>
      <c r="H39" s="29"/>
      <c r="I39" s="36"/>
    </row>
    <row r="40" spans="1:11" x14ac:dyDescent="0.3">
      <c r="A40" s="29" t="s">
        <v>72</v>
      </c>
      <c r="B40" s="29">
        <f>AVERAGE(H32:H37)</f>
        <v>0.27728217445538755</v>
      </c>
      <c r="C40" s="40"/>
      <c r="D40" s="45"/>
      <c r="E40" s="45"/>
      <c r="H40" s="29"/>
      <c r="I40" s="36"/>
    </row>
    <row r="41" spans="1:11" x14ac:dyDescent="0.3">
      <c r="A41" s="1" t="s">
        <v>78</v>
      </c>
      <c r="B41" s="29">
        <f>AVERAGE(J32:J37)</f>
        <v>0.80462760445796377</v>
      </c>
      <c r="C41" s="40"/>
      <c r="D41" s="45"/>
      <c r="E41" s="45"/>
      <c r="H41" s="29"/>
      <c r="I41" s="36"/>
    </row>
    <row r="42" spans="1:11" x14ac:dyDescent="0.3">
      <c r="A42" s="1" t="s">
        <v>79</v>
      </c>
      <c r="B42" s="29">
        <f>AVERAGE(K32:K37)</f>
        <v>0.19537239554203625</v>
      </c>
      <c r="C42" s="40"/>
      <c r="D42" s="45"/>
      <c r="E42" s="45"/>
      <c r="H42" s="29"/>
      <c r="I42" s="36"/>
    </row>
    <row r="43" spans="1:11" x14ac:dyDescent="0.3">
      <c r="B43" s="40"/>
      <c r="C43" s="40"/>
      <c r="D43" s="45"/>
      <c r="E43" s="45"/>
      <c r="H43" s="29"/>
      <c r="I43" s="36"/>
    </row>
    <row r="44" spans="1:11" x14ac:dyDescent="0.3">
      <c r="A44" s="46" t="s">
        <v>52</v>
      </c>
      <c r="B44" s="40" t="s">
        <v>73</v>
      </c>
      <c r="C44" s="40" t="s">
        <v>73</v>
      </c>
      <c r="D44" s="45" t="s">
        <v>73</v>
      </c>
      <c r="E44" s="47">
        <f>(B39*(1+H44))-(F44*H44)</f>
        <v>1.0891382411560997</v>
      </c>
      <c r="F44" s="1">
        <v>0.2</v>
      </c>
      <c r="G44" s="1" t="s">
        <v>73</v>
      </c>
      <c r="H44" s="29">
        <f>B40</f>
        <v>0.27728217445538755</v>
      </c>
      <c r="I44" s="36">
        <f>B39</f>
        <v>0.89611731764378055</v>
      </c>
    </row>
    <row r="45" spans="1:11" x14ac:dyDescent="0.3">
      <c r="A45" s="1" t="s">
        <v>74</v>
      </c>
      <c r="B45" s="29">
        <f>B3+(E44*B2)</f>
        <v>9.3448294469365978E-2</v>
      </c>
      <c r="C45" s="40"/>
      <c r="D45" s="45"/>
      <c r="E45" s="45"/>
      <c r="H45" s="29"/>
      <c r="I45" s="36"/>
    </row>
    <row r="46" spans="1:11" x14ac:dyDescent="0.3">
      <c r="A46" s="1" t="s">
        <v>75</v>
      </c>
      <c r="B46" s="29">
        <f>B3+(F44*B2)</f>
        <v>4.0099999999999997E-2</v>
      </c>
    </row>
    <row r="47" spans="1:11" x14ac:dyDescent="0.3">
      <c r="A47" s="1" t="s">
        <v>76</v>
      </c>
      <c r="B47" s="29">
        <f>B41</f>
        <v>0.80462760445796377</v>
      </c>
    </row>
    <row r="48" spans="1:11" x14ac:dyDescent="0.3">
      <c r="A48" s="1" t="s">
        <v>77</v>
      </c>
      <c r="B48" s="29">
        <f>B42</f>
        <v>0.19537239554203625</v>
      </c>
    </row>
    <row r="49" spans="1:11" x14ac:dyDescent="0.3">
      <c r="A49" s="1" t="s">
        <v>28</v>
      </c>
      <c r="B49" s="29">
        <v>0.21</v>
      </c>
    </row>
    <row r="50" spans="1:11" x14ac:dyDescent="0.3">
      <c r="A50" s="28" t="s">
        <v>81</v>
      </c>
      <c r="B50" s="48">
        <f>(B45*B47) + (B46*B48*(1-B49))</f>
        <v>8.1380279437944486E-2</v>
      </c>
    </row>
    <row r="53" spans="1:11" x14ac:dyDescent="0.3">
      <c r="A53" s="37" t="s">
        <v>82</v>
      </c>
      <c r="B53" s="37" t="s">
        <v>44</v>
      </c>
      <c r="C53" s="37" t="s">
        <v>68</v>
      </c>
      <c r="D53" s="37" t="s">
        <v>45</v>
      </c>
      <c r="E53" s="37" t="s">
        <v>46</v>
      </c>
      <c r="F53" s="37" t="s">
        <v>53</v>
      </c>
      <c r="G53" s="37" t="s">
        <v>51</v>
      </c>
      <c r="H53" s="37" t="s">
        <v>69</v>
      </c>
      <c r="I53" s="37" t="s">
        <v>58</v>
      </c>
      <c r="J53" s="37" t="s">
        <v>76</v>
      </c>
      <c r="K53" s="37" t="s">
        <v>77</v>
      </c>
    </row>
    <row r="54" spans="1:11" x14ac:dyDescent="0.3">
      <c r="A54" s="1" t="s">
        <v>47</v>
      </c>
      <c r="B54" s="40">
        <v>5848</v>
      </c>
      <c r="C54" s="40">
        <v>4965</v>
      </c>
      <c r="D54" s="45">
        <v>5.47</v>
      </c>
      <c r="E54" s="45">
        <v>1.1000000000000001</v>
      </c>
      <c r="F54" s="1">
        <v>0.2</v>
      </c>
      <c r="G54" s="1">
        <f t="shared" ref="G54:G58" si="10">C54*D54</f>
        <v>27158.55</v>
      </c>
      <c r="H54" s="29">
        <f t="shared" ref="H54:H58" si="11">B54/G54</f>
        <v>0.21532813791605224</v>
      </c>
      <c r="I54" s="36">
        <f t="shared" ref="I54:I58" si="12">(E54/(1+H54))+((F54*H54)/(1+H54))</f>
        <v>0.94054074115592201</v>
      </c>
      <c r="J54" s="42">
        <f t="shared" ref="J54:J58" si="13">G54/(G54+B54)</f>
        <v>0.82282304572880227</v>
      </c>
      <c r="K54" s="42">
        <f t="shared" ref="K54:K58" si="14">B54/(B54+G54)</f>
        <v>0.17717695427119767</v>
      </c>
    </row>
    <row r="55" spans="1:11" x14ac:dyDescent="0.3">
      <c r="A55" s="1" t="s">
        <v>50</v>
      </c>
      <c r="B55" s="40">
        <v>342</v>
      </c>
      <c r="C55" s="40">
        <v>231</v>
      </c>
      <c r="D55" s="45">
        <v>8.32</v>
      </c>
      <c r="E55" s="45">
        <v>1.3</v>
      </c>
      <c r="F55" s="1">
        <v>0.2</v>
      </c>
      <c r="G55" s="1">
        <f t="shared" si="10"/>
        <v>1921.92</v>
      </c>
      <c r="H55" s="29">
        <f t="shared" si="11"/>
        <v>0.17794705294705293</v>
      </c>
      <c r="I55" s="36">
        <f t="shared" si="12"/>
        <v>1.1338280504611469</v>
      </c>
      <c r="J55" s="42">
        <f t="shared" si="13"/>
        <v>0.8489345913283155</v>
      </c>
      <c r="K55" s="42">
        <f t="shared" si="14"/>
        <v>0.1510654086716845</v>
      </c>
    </row>
    <row r="56" spans="1:11" x14ac:dyDescent="0.3">
      <c r="A56" s="1" t="s">
        <v>60</v>
      </c>
      <c r="B56" s="40">
        <v>16479</v>
      </c>
      <c r="C56" s="40">
        <v>484</v>
      </c>
      <c r="D56" s="45">
        <v>53.38</v>
      </c>
      <c r="E56" s="45">
        <v>1.06</v>
      </c>
      <c r="F56" s="1">
        <v>0.2</v>
      </c>
      <c r="G56" s="1">
        <f t="shared" si="10"/>
        <v>25835.920000000002</v>
      </c>
      <c r="H56" s="29">
        <f t="shared" si="11"/>
        <v>0.63783290860166775</v>
      </c>
      <c r="I56" s="36">
        <f t="shared" si="12"/>
        <v>0.72508408854370998</v>
      </c>
      <c r="J56" s="42">
        <f t="shared" si="13"/>
        <v>0.61056289365547667</v>
      </c>
      <c r="K56" s="42">
        <f t="shared" si="14"/>
        <v>0.38943710634452339</v>
      </c>
    </row>
    <row r="57" spans="1:11" x14ac:dyDescent="0.3">
      <c r="A57" s="1" t="s">
        <v>65</v>
      </c>
      <c r="B57" s="40">
        <v>975</v>
      </c>
      <c r="C57" s="40">
        <v>94</v>
      </c>
      <c r="D57" s="45">
        <v>19.05</v>
      </c>
      <c r="E57" s="45">
        <v>1.5</v>
      </c>
      <c r="F57" s="1">
        <v>0.2</v>
      </c>
      <c r="G57" s="1">
        <f t="shared" si="10"/>
        <v>1790.7</v>
      </c>
      <c r="H57" s="29">
        <f t="shared" si="11"/>
        <v>0.54447981236387999</v>
      </c>
      <c r="I57" s="36">
        <f t="shared" si="12"/>
        <v>1.0417073435296669</v>
      </c>
      <c r="J57" s="42">
        <f t="shared" si="13"/>
        <v>0.64746718733051312</v>
      </c>
      <c r="K57" s="42">
        <f t="shared" si="14"/>
        <v>0.35253281266948694</v>
      </c>
    </row>
    <row r="58" spans="1:11" x14ac:dyDescent="0.3">
      <c r="A58" s="1" t="s">
        <v>63</v>
      </c>
      <c r="B58" s="40">
        <v>61046</v>
      </c>
      <c r="C58" s="40">
        <v>4876</v>
      </c>
      <c r="D58" s="45">
        <v>37.299999999999997</v>
      </c>
      <c r="E58" s="45">
        <v>0.9</v>
      </c>
      <c r="F58" s="1">
        <v>0.2</v>
      </c>
      <c r="G58" s="1">
        <f t="shared" si="10"/>
        <v>181874.8</v>
      </c>
      <c r="H58" s="29">
        <f t="shared" si="11"/>
        <v>0.33564847906361961</v>
      </c>
      <c r="I58" s="36">
        <f t="shared" si="12"/>
        <v>0.72408999147047104</v>
      </c>
      <c r="J58" s="42">
        <f t="shared" si="13"/>
        <v>0.74869998781495861</v>
      </c>
      <c r="K58" s="42">
        <f t="shared" si="14"/>
        <v>0.25130001218504139</v>
      </c>
    </row>
    <row r="59" spans="1:11" x14ac:dyDescent="0.3">
      <c r="B59" s="40"/>
      <c r="C59" s="40"/>
      <c r="D59" s="45"/>
      <c r="E59" s="45"/>
      <c r="H59" s="29"/>
      <c r="I59" s="36"/>
      <c r="J59" s="42"/>
      <c r="K59" s="42"/>
    </row>
    <row r="60" spans="1:11" x14ac:dyDescent="0.3">
      <c r="A60" s="29" t="s">
        <v>71</v>
      </c>
      <c r="B60" s="36">
        <f>AVERAGE(I54:I58)</f>
        <v>0.91305004303218351</v>
      </c>
    </row>
    <row r="61" spans="1:11" x14ac:dyDescent="0.3">
      <c r="A61" s="29" t="s">
        <v>72</v>
      </c>
      <c r="B61" s="35">
        <f>AVERAGE(H54:H58)</f>
        <v>0.38224727817845455</v>
      </c>
    </row>
    <row r="62" spans="1:11" x14ac:dyDescent="0.3">
      <c r="A62" s="1" t="s">
        <v>78</v>
      </c>
      <c r="B62" s="49">
        <f>AVERAGE(J54:J58)</f>
        <v>0.73569754117161312</v>
      </c>
    </row>
    <row r="63" spans="1:11" x14ac:dyDescent="0.3">
      <c r="A63" s="1" t="s">
        <v>79</v>
      </c>
      <c r="B63" s="49">
        <f>AVERAGE(K54:K58)</f>
        <v>0.26430245882838677</v>
      </c>
      <c r="C63" s="1" t="s">
        <v>99</v>
      </c>
    </row>
    <row r="65" spans="1:9" x14ac:dyDescent="0.3">
      <c r="A65" s="46" t="s">
        <v>52</v>
      </c>
      <c r="B65" s="1" t="s">
        <v>73</v>
      </c>
      <c r="C65" s="1" t="s">
        <v>73</v>
      </c>
      <c r="D65" s="1" t="s">
        <v>73</v>
      </c>
      <c r="E65" s="46">
        <f>(I65*(1+H65))-(F65*H65)</f>
        <v>1.1856114811862655</v>
      </c>
      <c r="F65" s="1">
        <v>0.2</v>
      </c>
      <c r="G65" s="1" t="s">
        <v>73</v>
      </c>
      <c r="H65" s="35">
        <f>B61</f>
        <v>0.38224727817845455</v>
      </c>
      <c r="I65" s="36">
        <f>B60</f>
        <v>0.91305004303218351</v>
      </c>
    </row>
    <row r="66" spans="1:9" x14ac:dyDescent="0.3">
      <c r="A66" s="1" t="s">
        <v>74</v>
      </c>
      <c r="B66" s="35">
        <f>B3+(B2*E65)</f>
        <v>9.9236688871175927E-2</v>
      </c>
    </row>
    <row r="67" spans="1:9" x14ac:dyDescent="0.3">
      <c r="A67" s="1" t="s">
        <v>75</v>
      </c>
      <c r="B67" s="35">
        <f>B3+(B2*F65)</f>
        <v>4.0099999999999997E-2</v>
      </c>
    </row>
    <row r="68" spans="1:9" x14ac:dyDescent="0.3">
      <c r="A68" s="1" t="s">
        <v>76</v>
      </c>
      <c r="B68" s="49">
        <f>B62</f>
        <v>0.73569754117161312</v>
      </c>
    </row>
    <row r="69" spans="1:9" x14ac:dyDescent="0.3">
      <c r="A69" s="1" t="s">
        <v>77</v>
      </c>
      <c r="B69" s="49">
        <f>B63</f>
        <v>0.26430245882838677</v>
      </c>
    </row>
    <row r="70" spans="1:9" x14ac:dyDescent="0.3">
      <c r="A70" s="1" t="s">
        <v>28</v>
      </c>
      <c r="B70" s="50">
        <v>0.21</v>
      </c>
    </row>
    <row r="71" spans="1:9" x14ac:dyDescent="0.3">
      <c r="A71" s="28" t="s">
        <v>83</v>
      </c>
      <c r="B71" s="51">
        <f>(B66*B68)+(B67*B69*-(1-B70))</f>
        <v>6.4635350403312045E-2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 Comps WACC</vt:lpstr>
      <vt:lpstr>Sensitivity Analysis</vt:lpstr>
      <vt:lpstr>WACC Through Comps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Benka</dc:creator>
  <cp:lastModifiedBy>Benjamin Kanarick</cp:lastModifiedBy>
  <cp:lastPrinted>2022-04-20T17:15:42Z</cp:lastPrinted>
  <dcterms:created xsi:type="dcterms:W3CDTF">2022-04-20T16:20:40Z</dcterms:created>
  <dcterms:modified xsi:type="dcterms:W3CDTF">2023-01-11T23:06:46Z</dcterms:modified>
</cp:coreProperties>
</file>