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59\"/>
    </mc:Choice>
  </mc:AlternateContent>
  <bookViews>
    <workbookView xWindow="-105" yWindow="-105" windowWidth="19425" windowHeight="10425" activeTab="2"/>
  </bookViews>
  <sheets>
    <sheet name="BehavioralTask_Sub0259_test_out" sheetId="1" r:id="rId1"/>
    <sheet name="BehavioralTask_train_out" sheetId="2" r:id="rId2"/>
    <sheet name="utest_out" sheetId="3" r:id="rId3"/>
    <sheet name="error analysi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45" i="1" l="1"/>
  <c r="AT45" i="1"/>
  <c r="AS45" i="1"/>
  <c r="AU44" i="1"/>
  <c r="AT44" i="1"/>
  <c r="AS44" i="1"/>
  <c r="AU43" i="1"/>
  <c r="AT43" i="1"/>
  <c r="AS43" i="1"/>
  <c r="AU42" i="1"/>
  <c r="AT42" i="1"/>
  <c r="AS42" i="1"/>
  <c r="AU41" i="1"/>
  <c r="AT41" i="1"/>
  <c r="AS41" i="1"/>
  <c r="AU40" i="1"/>
  <c r="AT40" i="1"/>
  <c r="AS40" i="1"/>
  <c r="AU39" i="1"/>
  <c r="AT39" i="1"/>
  <c r="AS39" i="1"/>
  <c r="AU38" i="1"/>
  <c r="AT38" i="1"/>
  <c r="AS38" i="1"/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2" i="1"/>
  <c r="AO38" i="3"/>
  <c r="AO39" i="3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2" i="1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2" i="3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2" i="1"/>
  <c r="AL3" i="3"/>
  <c r="AN3" i="3" s="1"/>
  <c r="AO3" i="3" s="1"/>
  <c r="AL4" i="3"/>
  <c r="AN4" i="3" s="1"/>
  <c r="AO4" i="3" s="1"/>
  <c r="AL5" i="3"/>
  <c r="AN5" i="3" s="1"/>
  <c r="AO5" i="3" s="1"/>
  <c r="AL6" i="3"/>
  <c r="AN6" i="3" s="1"/>
  <c r="AO6" i="3" s="1"/>
  <c r="AL7" i="3"/>
  <c r="AN7" i="3" s="1"/>
  <c r="AO7" i="3" s="1"/>
  <c r="AL8" i="3"/>
  <c r="AN8" i="3" s="1"/>
  <c r="AO8" i="3" s="1"/>
  <c r="AL9" i="3"/>
  <c r="AN9" i="3" s="1"/>
  <c r="AO9" i="3" s="1"/>
  <c r="AL10" i="3"/>
  <c r="AN10" i="3" s="1"/>
  <c r="AO10" i="3" s="1"/>
  <c r="AL11" i="3"/>
  <c r="AN11" i="3" s="1"/>
  <c r="AO11" i="3" s="1"/>
  <c r="AL12" i="3"/>
  <c r="AN12" i="3" s="1"/>
  <c r="AO12" i="3" s="1"/>
  <c r="AL13" i="3"/>
  <c r="AN13" i="3" s="1"/>
  <c r="AO13" i="3" s="1"/>
  <c r="AL14" i="3"/>
  <c r="AN14" i="3" s="1"/>
  <c r="AO14" i="3" s="1"/>
  <c r="AL15" i="3"/>
  <c r="AN15" i="3" s="1"/>
  <c r="AO15" i="3" s="1"/>
  <c r="AL16" i="3"/>
  <c r="AN16" i="3" s="1"/>
  <c r="AO16" i="3" s="1"/>
  <c r="AL17" i="3"/>
  <c r="AN17" i="3" s="1"/>
  <c r="AO17" i="3" s="1"/>
  <c r="AL18" i="3"/>
  <c r="AN18" i="3" s="1"/>
  <c r="AO18" i="3" s="1"/>
  <c r="AL19" i="3"/>
  <c r="AN19" i="3" s="1"/>
  <c r="AO19" i="3" s="1"/>
  <c r="AL20" i="3"/>
  <c r="AN20" i="3" s="1"/>
  <c r="AO20" i="3" s="1"/>
  <c r="AL21" i="3"/>
  <c r="AN21" i="3" s="1"/>
  <c r="AO21" i="3" s="1"/>
  <c r="AL22" i="3"/>
  <c r="AN22" i="3" s="1"/>
  <c r="AO22" i="3" s="1"/>
  <c r="AL23" i="3"/>
  <c r="AN23" i="3" s="1"/>
  <c r="AO23" i="3" s="1"/>
  <c r="AL24" i="3"/>
  <c r="AN24" i="3" s="1"/>
  <c r="AO24" i="3" s="1"/>
  <c r="AL25" i="3"/>
  <c r="AN25" i="3" s="1"/>
  <c r="AO25" i="3" s="1"/>
  <c r="AL26" i="3"/>
  <c r="AN26" i="3" s="1"/>
  <c r="AO26" i="3" s="1"/>
  <c r="AS22" i="3" s="1"/>
  <c r="AL27" i="3"/>
  <c r="AN27" i="3" s="1"/>
  <c r="AO27" i="3" s="1"/>
  <c r="AL28" i="3"/>
  <c r="AN28" i="3" s="1"/>
  <c r="AO28" i="3" s="1"/>
  <c r="AL29" i="3"/>
  <c r="AN29" i="3" s="1"/>
  <c r="AO29" i="3" s="1"/>
  <c r="AL30" i="3"/>
  <c r="AN30" i="3" s="1"/>
  <c r="AO30" i="3" s="1"/>
  <c r="AL31" i="3"/>
  <c r="AN31" i="3" s="1"/>
  <c r="AO31" i="3" s="1"/>
  <c r="AL32" i="3"/>
  <c r="AN32" i="3" s="1"/>
  <c r="AO32" i="3" s="1"/>
  <c r="AL33" i="3"/>
  <c r="AN33" i="3" s="1"/>
  <c r="AO33" i="3" s="1"/>
  <c r="AL34" i="3"/>
  <c r="AN34" i="3" s="1"/>
  <c r="AO34" i="3" s="1"/>
  <c r="AL35" i="3"/>
  <c r="AN35" i="3" s="1"/>
  <c r="AO35" i="3" s="1"/>
  <c r="AL36" i="3"/>
  <c r="AN36" i="3" s="1"/>
  <c r="AO36" i="3" s="1"/>
  <c r="AL37" i="3"/>
  <c r="AN37" i="3" s="1"/>
  <c r="AO37" i="3" s="1"/>
  <c r="AL2" i="3"/>
  <c r="AN2" i="3" s="1"/>
  <c r="AO2" i="3" s="1"/>
  <c r="AT22" i="3" l="1"/>
  <c r="AR22" i="3"/>
  <c r="FE16" i="4"/>
  <c r="EZ16" i="4"/>
  <c r="EY16" i="4"/>
  <c r="EX16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C16" i="4"/>
  <c r="DB16" i="4"/>
  <c r="DA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CQ11" i="4"/>
  <c r="CI11" i="4"/>
  <c r="CA11" i="4"/>
  <c r="BS11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S39" i="3"/>
  <c r="FF16" i="4" s="1"/>
  <c r="AS38" i="3"/>
  <c r="FD16" i="4" s="1"/>
  <c r="AR38" i="3"/>
  <c r="FC16" i="4" s="1"/>
  <c r="AS37" i="3"/>
  <c r="FB16" i="4" s="1"/>
  <c r="AR37" i="3"/>
  <c r="FA16" i="4" s="1"/>
  <c r="AU34" i="3"/>
  <c r="DD16" i="4" s="1"/>
  <c r="AU33" i="3"/>
  <c r="CZ16" i="4" s="1"/>
  <c r="AT33" i="3"/>
  <c r="CY16" i="4" s="1"/>
  <c r="AS33" i="3"/>
  <c r="CX16" i="4" s="1"/>
  <c r="AR33" i="3"/>
  <c r="CW16" i="4" s="1"/>
  <c r="AU32" i="3"/>
  <c r="CV16" i="4" s="1"/>
  <c r="AT32" i="3"/>
  <c r="CU16" i="4" s="1"/>
  <c r="AS32" i="3"/>
  <c r="CT16" i="4" s="1"/>
  <c r="AR32" i="3"/>
  <c r="CS16" i="4" s="1"/>
  <c r="BA29" i="3"/>
  <c r="DD11" i="4" s="1"/>
  <c r="AZ29" i="3"/>
  <c r="DC11" i="4" s="1"/>
  <c r="AY29" i="3"/>
  <c r="AS29" i="3" s="1"/>
  <c r="FF11" i="4" s="1"/>
  <c r="AX29" i="3"/>
  <c r="AR29" i="3" s="1"/>
  <c r="FE11" i="4" s="1"/>
  <c r="BA28" i="3"/>
  <c r="AZ28" i="3"/>
  <c r="CY11" i="4" s="1"/>
  <c r="AY28" i="3"/>
  <c r="CX11" i="4" s="1"/>
  <c r="AX28" i="3"/>
  <c r="CW11" i="4" s="1"/>
  <c r="BA27" i="3"/>
  <c r="CV11" i="4" s="1"/>
  <c r="AZ27" i="3"/>
  <c r="AY27" i="3"/>
  <c r="AX27" i="3"/>
  <c r="AS18" i="3"/>
  <c r="FE6" i="4" s="1"/>
  <c r="AR18" i="3"/>
  <c r="AU18" i="3" s="1"/>
  <c r="AT18" i="3" s="1"/>
  <c r="FF6" i="4" s="1"/>
  <c r="AS17" i="3"/>
  <c r="FB6" i="4" s="1"/>
  <c r="AR17" i="3"/>
  <c r="AS16" i="3"/>
  <c r="EY6" i="4" s="1"/>
  <c r="AR16" i="3"/>
  <c r="AU16" i="3" s="1"/>
  <c r="AT16" i="3" s="1"/>
  <c r="EZ6" i="4" s="1"/>
  <c r="AS12" i="3"/>
  <c r="EV6" i="4" s="1"/>
  <c r="AR12" i="3"/>
  <c r="AU12" i="3" s="1"/>
  <c r="AT12" i="3" s="1"/>
  <c r="EW6" i="4" s="1"/>
  <c r="AS11" i="3"/>
  <c r="ES6" i="4" s="1"/>
  <c r="AR11" i="3"/>
  <c r="AU11" i="3" s="1"/>
  <c r="AT11" i="3" s="1"/>
  <c r="ET6" i="4" s="1"/>
  <c r="AS10" i="3"/>
  <c r="EP6" i="4" s="1"/>
  <c r="AR10" i="3"/>
  <c r="EO6" i="4" s="1"/>
  <c r="AT6" i="3"/>
  <c r="AS6" i="3"/>
  <c r="AR6" i="3"/>
  <c r="AT5" i="3"/>
  <c r="AS5" i="3"/>
  <c r="AR5" i="3"/>
  <c r="AT4" i="3"/>
  <c r="AS4" i="3"/>
  <c r="AR4" i="3"/>
  <c r="AV50" i="2"/>
  <c r="AR50" i="2"/>
  <c r="AN50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Y49" i="2" s="1"/>
  <c r="AX48" i="2"/>
  <c r="AX50" i="2" s="1"/>
  <c r="AW48" i="2"/>
  <c r="AW50" i="2" s="1"/>
  <c r="AV48" i="2"/>
  <c r="AU48" i="2"/>
  <c r="AU50" i="2" s="1"/>
  <c r="AT48" i="2"/>
  <c r="AT50" i="2" s="1"/>
  <c r="AS48" i="2"/>
  <c r="AS50" i="2" s="1"/>
  <c r="AR48" i="2"/>
  <c r="AQ48" i="2"/>
  <c r="AQ50" i="2" s="1"/>
  <c r="AP48" i="2"/>
  <c r="AP50" i="2" s="1"/>
  <c r="AO48" i="2"/>
  <c r="AO50" i="2" s="1"/>
  <c r="AN48" i="2"/>
  <c r="AM48" i="2"/>
  <c r="AM50" i="2" s="1"/>
  <c r="AU45" i="2"/>
  <c r="AQ45" i="2"/>
  <c r="AM45" i="2"/>
  <c r="AX44" i="2"/>
  <c r="AW44" i="2"/>
  <c r="AV44" i="2"/>
  <c r="AV45" i="2" s="1"/>
  <c r="AU44" i="2"/>
  <c r="AT44" i="2"/>
  <c r="AS44" i="2"/>
  <c r="AR44" i="2"/>
  <c r="AR45" i="2" s="1"/>
  <c r="AQ44" i="2"/>
  <c r="AP44" i="2"/>
  <c r="AO44" i="2"/>
  <c r="AN44" i="2"/>
  <c r="AN45" i="2" s="1"/>
  <c r="AM44" i="2"/>
  <c r="AY44" i="2" s="1"/>
  <c r="AX43" i="2"/>
  <c r="AX45" i="2" s="1"/>
  <c r="AW43" i="2"/>
  <c r="AW45" i="2" s="1"/>
  <c r="AV43" i="2"/>
  <c r="AU43" i="2"/>
  <c r="AT43" i="2"/>
  <c r="AT45" i="2" s="1"/>
  <c r="AS43" i="2"/>
  <c r="AS45" i="2" s="1"/>
  <c r="AR43" i="2"/>
  <c r="AQ43" i="2"/>
  <c r="AP43" i="2"/>
  <c r="AP45" i="2" s="1"/>
  <c r="AO43" i="2"/>
  <c r="AO45" i="2" s="1"/>
  <c r="AN43" i="2"/>
  <c r="AM43" i="2"/>
  <c r="AY43" i="2" s="1"/>
  <c r="AX40" i="2"/>
  <c r="AT40" i="2"/>
  <c r="AP40" i="2"/>
  <c r="AX39" i="2"/>
  <c r="AW39" i="2"/>
  <c r="AV39" i="2"/>
  <c r="AU39" i="2"/>
  <c r="AU40" i="2" s="1"/>
  <c r="AT39" i="2"/>
  <c r="AS39" i="2"/>
  <c r="AR39" i="2"/>
  <c r="AQ39" i="2"/>
  <c r="AQ40" i="2" s="1"/>
  <c r="AP39" i="2"/>
  <c r="AO39" i="2"/>
  <c r="AN39" i="2"/>
  <c r="AM39" i="2"/>
  <c r="AM40" i="2" s="1"/>
  <c r="AX38" i="2"/>
  <c r="AW38" i="2"/>
  <c r="AW40" i="2" s="1"/>
  <c r="AV38" i="2"/>
  <c r="AV40" i="2" s="1"/>
  <c r="AU38" i="2"/>
  <c r="AT38" i="2"/>
  <c r="AS38" i="2"/>
  <c r="AS40" i="2" s="1"/>
  <c r="AR38" i="2"/>
  <c r="AR40" i="2" s="1"/>
  <c r="AQ38" i="2"/>
  <c r="AP38" i="2"/>
  <c r="AO38" i="2"/>
  <c r="AO40" i="2" s="1"/>
  <c r="AN38" i="2"/>
  <c r="AN40" i="2" s="1"/>
  <c r="AM38" i="2"/>
  <c r="AY38" i="2" s="1"/>
  <c r="AW33" i="2"/>
  <c r="AS33" i="2"/>
  <c r="AO33" i="2"/>
  <c r="AX32" i="2"/>
  <c r="AX33" i="2" s="1"/>
  <c r="AW32" i="2"/>
  <c r="AV32" i="2"/>
  <c r="AU32" i="2"/>
  <c r="AT32" i="2"/>
  <c r="AT33" i="2" s="1"/>
  <c r="AS32" i="2"/>
  <c r="AR32" i="2"/>
  <c r="AQ32" i="2"/>
  <c r="AP32" i="2"/>
  <c r="AP33" i="2" s="1"/>
  <c r="AO32" i="2"/>
  <c r="AN32" i="2"/>
  <c r="AM32" i="2"/>
  <c r="AY32" i="2" s="1"/>
  <c r="AX31" i="2"/>
  <c r="AW31" i="2"/>
  <c r="AV31" i="2"/>
  <c r="AV33" i="2" s="1"/>
  <c r="AU31" i="2"/>
  <c r="AU33" i="2" s="1"/>
  <c r="AT31" i="2"/>
  <c r="AS31" i="2"/>
  <c r="AR31" i="2"/>
  <c r="AR33" i="2" s="1"/>
  <c r="AQ31" i="2"/>
  <c r="AQ33" i="2" s="1"/>
  <c r="AP31" i="2"/>
  <c r="AO31" i="2"/>
  <c r="AN31" i="2"/>
  <c r="AN33" i="2" s="1"/>
  <c r="AM31" i="2"/>
  <c r="AM33" i="2" s="1"/>
  <c r="AY33" i="2" s="1"/>
  <c r="AV28" i="2"/>
  <c r="AR28" i="2"/>
  <c r="AN28" i="2"/>
  <c r="AX27" i="2"/>
  <c r="AW27" i="2"/>
  <c r="AW28" i="2" s="1"/>
  <c r="AV27" i="2"/>
  <c r="AU27" i="2"/>
  <c r="AT27" i="2"/>
  <c r="AS27" i="2"/>
  <c r="AS28" i="2" s="1"/>
  <c r="AR27" i="2"/>
  <c r="AQ27" i="2"/>
  <c r="AP27" i="2"/>
  <c r="AO27" i="2"/>
  <c r="AO28" i="2" s="1"/>
  <c r="AN27" i="2"/>
  <c r="AM27" i="2"/>
  <c r="AY27" i="2" s="1"/>
  <c r="AX26" i="2"/>
  <c r="AX28" i="2" s="1"/>
  <c r="AW26" i="2"/>
  <c r="AV26" i="2"/>
  <c r="AU26" i="2"/>
  <c r="AU28" i="2" s="1"/>
  <c r="AT26" i="2"/>
  <c r="AT28" i="2" s="1"/>
  <c r="AS26" i="2"/>
  <c r="AR26" i="2"/>
  <c r="AQ26" i="2"/>
  <c r="AQ28" i="2" s="1"/>
  <c r="AP26" i="2"/>
  <c r="AP28" i="2" s="1"/>
  <c r="AO26" i="2"/>
  <c r="AN26" i="2"/>
  <c r="AM26" i="2"/>
  <c r="AM28" i="2" s="1"/>
  <c r="AU23" i="2"/>
  <c r="AQ23" i="2"/>
  <c r="AM23" i="2"/>
  <c r="AX22" i="2"/>
  <c r="AW22" i="2"/>
  <c r="AV22" i="2"/>
  <c r="AV23" i="2" s="1"/>
  <c r="AU22" i="2"/>
  <c r="AT22" i="2"/>
  <c r="AS22" i="2"/>
  <c r="AR22" i="2"/>
  <c r="AR23" i="2" s="1"/>
  <c r="AQ22" i="2"/>
  <c r="AP22" i="2"/>
  <c r="AO22" i="2"/>
  <c r="AN22" i="2"/>
  <c r="AN23" i="2" s="1"/>
  <c r="AM22" i="2"/>
  <c r="AY22" i="2" s="1"/>
  <c r="AX21" i="2"/>
  <c r="AX23" i="2" s="1"/>
  <c r="AW21" i="2"/>
  <c r="AW23" i="2" s="1"/>
  <c r="AV21" i="2"/>
  <c r="AU21" i="2"/>
  <c r="AT21" i="2"/>
  <c r="AT23" i="2" s="1"/>
  <c r="AS21" i="2"/>
  <c r="AS23" i="2" s="1"/>
  <c r="AR21" i="2"/>
  <c r="AQ21" i="2"/>
  <c r="AP21" i="2"/>
  <c r="AP23" i="2" s="1"/>
  <c r="AO21" i="2"/>
  <c r="AO23" i="2" s="1"/>
  <c r="AN21" i="2"/>
  <c r="AM21" i="2"/>
  <c r="AY21" i="2" s="1"/>
  <c r="AX16" i="2"/>
  <c r="AW16" i="2"/>
  <c r="AV16" i="2"/>
  <c r="AU16" i="2"/>
  <c r="AT16" i="2"/>
  <c r="AS16" i="2"/>
  <c r="AR16" i="2"/>
  <c r="AQ16" i="2"/>
  <c r="AP16" i="2"/>
  <c r="AO16" i="2"/>
  <c r="AN16" i="2"/>
  <c r="AM16" i="2"/>
  <c r="AY16" i="2" s="1"/>
  <c r="AX15" i="2"/>
  <c r="AW15" i="2"/>
  <c r="AV15" i="2"/>
  <c r="AU15" i="2"/>
  <c r="AT15" i="2"/>
  <c r="AS15" i="2"/>
  <c r="AR15" i="2"/>
  <c r="AQ15" i="2"/>
  <c r="AP15" i="2"/>
  <c r="AO15" i="2"/>
  <c r="AN15" i="2"/>
  <c r="AM15" i="2"/>
  <c r="AY15" i="2" s="1"/>
  <c r="AX14" i="2"/>
  <c r="AW14" i="2"/>
  <c r="AV14" i="2"/>
  <c r="AU14" i="2"/>
  <c r="AT14" i="2"/>
  <c r="AS14" i="2"/>
  <c r="AR14" i="2"/>
  <c r="AQ14" i="2"/>
  <c r="AP14" i="2"/>
  <c r="AO14" i="2"/>
  <c r="AN14" i="2"/>
  <c r="AM14" i="2"/>
  <c r="AY14" i="2" s="1"/>
  <c r="AX11" i="2"/>
  <c r="AW11" i="2"/>
  <c r="AV11" i="2"/>
  <c r="AU11" i="2"/>
  <c r="AT11" i="2"/>
  <c r="AS11" i="2"/>
  <c r="AR11" i="2"/>
  <c r="AQ11" i="2"/>
  <c r="AP11" i="2"/>
  <c r="AO11" i="2"/>
  <c r="AN11" i="2"/>
  <c r="AM11" i="2"/>
  <c r="AY11" i="2" s="1"/>
  <c r="AX10" i="2"/>
  <c r="AW10" i="2"/>
  <c r="AV10" i="2"/>
  <c r="AU10" i="2"/>
  <c r="AT10" i="2"/>
  <c r="AS10" i="2"/>
  <c r="AR10" i="2"/>
  <c r="AQ10" i="2"/>
  <c r="AP10" i="2"/>
  <c r="AO10" i="2"/>
  <c r="AN10" i="2"/>
  <c r="AM10" i="2"/>
  <c r="AY10" i="2" s="1"/>
  <c r="AX9" i="2"/>
  <c r="AW9" i="2"/>
  <c r="AV9" i="2"/>
  <c r="AU9" i="2"/>
  <c r="AT9" i="2"/>
  <c r="AS9" i="2"/>
  <c r="AR9" i="2"/>
  <c r="AQ9" i="2"/>
  <c r="AP9" i="2"/>
  <c r="AO9" i="2"/>
  <c r="AN9" i="2"/>
  <c r="AM9" i="2"/>
  <c r="AY9" i="2" s="1"/>
  <c r="AX6" i="2"/>
  <c r="AW6" i="2"/>
  <c r="AV6" i="2"/>
  <c r="AU6" i="2"/>
  <c r="AT6" i="2"/>
  <c r="AS6" i="2"/>
  <c r="AR6" i="2"/>
  <c r="AQ6" i="2"/>
  <c r="AP6" i="2"/>
  <c r="AO6" i="2"/>
  <c r="AN6" i="2"/>
  <c r="AM6" i="2"/>
  <c r="AY6" i="2" s="1"/>
  <c r="AX5" i="2"/>
  <c r="AW5" i="2"/>
  <c r="AV5" i="2"/>
  <c r="AU5" i="2"/>
  <c r="AT5" i="2"/>
  <c r="AS5" i="2"/>
  <c r="AR5" i="2"/>
  <c r="AQ5" i="2"/>
  <c r="AP5" i="2"/>
  <c r="AO5" i="2"/>
  <c r="AN5" i="2"/>
  <c r="AM5" i="2"/>
  <c r="AY5" i="2" s="1"/>
  <c r="AX4" i="2"/>
  <c r="AW4" i="2"/>
  <c r="AV4" i="2"/>
  <c r="AU4" i="2"/>
  <c r="AT4" i="2"/>
  <c r="AS4" i="2"/>
  <c r="AR4" i="2"/>
  <c r="AQ4" i="2"/>
  <c r="AP4" i="2"/>
  <c r="AO4" i="2"/>
  <c r="AN4" i="2"/>
  <c r="AM4" i="2"/>
  <c r="AY4" i="2" s="1"/>
  <c r="AX75" i="1"/>
  <c r="AW75" i="1"/>
  <c r="AV75" i="1"/>
  <c r="AU75" i="1"/>
  <c r="AT75" i="1"/>
  <c r="AS75" i="1"/>
  <c r="AX74" i="1"/>
  <c r="AW74" i="1"/>
  <c r="AV74" i="1"/>
  <c r="AU74" i="1"/>
  <c r="AT74" i="1"/>
  <c r="AS74" i="1"/>
  <c r="AX73" i="1"/>
  <c r="AW73" i="1"/>
  <c r="AV73" i="1"/>
  <c r="AU73" i="1"/>
  <c r="AT73" i="1"/>
  <c r="AS73" i="1"/>
  <c r="AX72" i="1"/>
  <c r="AW72" i="1"/>
  <c r="AV72" i="1"/>
  <c r="AU72" i="1"/>
  <c r="AT72" i="1"/>
  <c r="AS72" i="1"/>
  <c r="AX71" i="1"/>
  <c r="AW71" i="1"/>
  <c r="AV71" i="1"/>
  <c r="AU71" i="1"/>
  <c r="AT71" i="1"/>
  <c r="AS71" i="1"/>
  <c r="AX70" i="1"/>
  <c r="AW70" i="1"/>
  <c r="AV70" i="1"/>
  <c r="AU70" i="1"/>
  <c r="AT70" i="1"/>
  <c r="AS70" i="1"/>
  <c r="AX69" i="1"/>
  <c r="AW69" i="1"/>
  <c r="AV69" i="1"/>
  <c r="AU69" i="1"/>
  <c r="AT69" i="1"/>
  <c r="AS69" i="1"/>
  <c r="AX68" i="1"/>
  <c r="AW68" i="1"/>
  <c r="AV68" i="1"/>
  <c r="AU68" i="1"/>
  <c r="AT68" i="1"/>
  <c r="AS68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BD59" i="1"/>
  <c r="BC59" i="1"/>
  <c r="BB59" i="1"/>
  <c r="AZ59" i="1"/>
  <c r="AY59" i="1"/>
  <c r="AX59" i="1"/>
  <c r="AW59" i="1"/>
  <c r="AV59" i="1"/>
  <c r="AU59" i="1"/>
  <c r="AT59" i="1"/>
  <c r="AS59" i="1"/>
  <c r="BD58" i="1"/>
  <c r="BC58" i="1"/>
  <c r="BB58" i="1"/>
  <c r="AZ58" i="1"/>
  <c r="AY58" i="1"/>
  <c r="AX58" i="1"/>
  <c r="AW58" i="1"/>
  <c r="AT58" i="1"/>
  <c r="AS58" i="1"/>
  <c r="BD57" i="1"/>
  <c r="BC57" i="1"/>
  <c r="BB57" i="1"/>
  <c r="BA57" i="1"/>
  <c r="AZ57" i="1"/>
  <c r="AX57" i="1"/>
  <c r="AU57" i="1"/>
  <c r="AT57" i="1"/>
  <c r="AS57" i="1"/>
  <c r="BD97" i="1"/>
  <c r="CR11" i="4" s="1"/>
  <c r="BC97" i="1"/>
  <c r="BB97" i="1"/>
  <c r="CP11" i="4" s="1"/>
  <c r="BA97" i="1"/>
  <c r="AW108" i="1" s="1"/>
  <c r="EY11" i="4" s="1"/>
  <c r="AZ97" i="1"/>
  <c r="CN11" i="4" s="1"/>
  <c r="AY97" i="1"/>
  <c r="CM11" i="4" s="1"/>
  <c r="AX97" i="1"/>
  <c r="AV108" i="1" s="1"/>
  <c r="EX11" i="4" s="1"/>
  <c r="AW97" i="1"/>
  <c r="CK11" i="4" s="1"/>
  <c r="AV97" i="1"/>
  <c r="CJ11" i="4" s="1"/>
  <c r="AU97" i="1"/>
  <c r="AT97" i="1"/>
  <c r="CH11" i="4" s="1"/>
  <c r="AS97" i="1"/>
  <c r="BD96" i="1"/>
  <c r="CF11" i="4" s="1"/>
  <c r="BC96" i="1"/>
  <c r="CE11" i="4" s="1"/>
  <c r="BB96" i="1"/>
  <c r="AX107" i="1" s="1"/>
  <c r="ET11" i="4" s="1"/>
  <c r="BA96" i="1"/>
  <c r="CC11" i="4" s="1"/>
  <c r="AZ96" i="1"/>
  <c r="CB11" i="4" s="1"/>
  <c r="AY96" i="1"/>
  <c r="AX96" i="1"/>
  <c r="AV107" i="1" s="1"/>
  <c r="ER11" i="4" s="1"/>
  <c r="AW96" i="1"/>
  <c r="AU107" i="1" s="1"/>
  <c r="EQ11" i="4" s="1"/>
  <c r="AV96" i="1"/>
  <c r="BX11" i="4" s="1"/>
  <c r="AU96" i="1"/>
  <c r="AT96" i="1"/>
  <c r="BV11" i="4" s="1"/>
  <c r="AS96" i="1"/>
  <c r="BU11" i="4" s="1"/>
  <c r="BD95" i="1"/>
  <c r="BT11" i="4" s="1"/>
  <c r="BC95" i="1"/>
  <c r="BB95" i="1"/>
  <c r="AX106" i="1" s="1"/>
  <c r="EN11" i="4" s="1"/>
  <c r="BA95" i="1"/>
  <c r="AW106" i="1" s="1"/>
  <c r="EM11" i="4" s="1"/>
  <c r="AZ95" i="1"/>
  <c r="BP11" i="4" s="1"/>
  <c r="AY95" i="1"/>
  <c r="BO11" i="4" s="1"/>
  <c r="AX95" i="1"/>
  <c r="AV106" i="1" s="1"/>
  <c r="EL11" i="4" s="1"/>
  <c r="AW95" i="1"/>
  <c r="BM11" i="4" s="1"/>
  <c r="AV95" i="1"/>
  <c r="BL11" i="4" s="1"/>
  <c r="AU95" i="1"/>
  <c r="AT95" i="1"/>
  <c r="BJ11" i="4" s="1"/>
  <c r="AS95" i="1"/>
  <c r="BD94" i="1"/>
  <c r="BH11" i="4" s="1"/>
  <c r="BC94" i="1"/>
  <c r="BG11" i="4" s="1"/>
  <c r="BB94" i="1"/>
  <c r="AX105" i="1" s="1"/>
  <c r="EH11" i="4" s="1"/>
  <c r="BA94" i="1"/>
  <c r="BE11" i="4" s="1"/>
  <c r="AZ94" i="1"/>
  <c r="BD11" i="4" s="1"/>
  <c r="AY94" i="1"/>
  <c r="BC11" i="4" s="1"/>
  <c r="AX94" i="1"/>
  <c r="AV105" i="1" s="1"/>
  <c r="EF11" i="4" s="1"/>
  <c r="AW94" i="1"/>
  <c r="AU105" i="1" s="1"/>
  <c r="EE11" i="4" s="1"/>
  <c r="AV94" i="1"/>
  <c r="AZ11" i="4" s="1"/>
  <c r="AU94" i="1"/>
  <c r="AT94" i="1"/>
  <c r="AX11" i="4" s="1"/>
  <c r="AS94" i="1"/>
  <c r="AW11" i="4" s="1"/>
  <c r="BD93" i="1"/>
  <c r="AV11" i="4" s="1"/>
  <c r="BC93" i="1"/>
  <c r="AU11" i="4" s="1"/>
  <c r="BB93" i="1"/>
  <c r="AX104" i="1" s="1"/>
  <c r="EB11" i="4" s="1"/>
  <c r="BA93" i="1"/>
  <c r="AW104" i="1" s="1"/>
  <c r="EA11" i="4" s="1"/>
  <c r="AZ93" i="1"/>
  <c r="AR11" i="4" s="1"/>
  <c r="AY93" i="1"/>
  <c r="AQ11" i="4" s="1"/>
  <c r="AX93" i="1"/>
  <c r="AV104" i="1" s="1"/>
  <c r="DZ11" i="4" s="1"/>
  <c r="AW93" i="1"/>
  <c r="AO11" i="4" s="1"/>
  <c r="AV93" i="1"/>
  <c r="AN11" i="4" s="1"/>
  <c r="AU93" i="1"/>
  <c r="AT93" i="1"/>
  <c r="AL11" i="4" s="1"/>
  <c r="AS93" i="1"/>
  <c r="BD92" i="1"/>
  <c r="AJ11" i="4" s="1"/>
  <c r="BC92" i="1"/>
  <c r="AI11" i="4" s="1"/>
  <c r="BB92" i="1"/>
  <c r="AX103" i="1" s="1"/>
  <c r="DV11" i="4" s="1"/>
  <c r="BA92" i="1"/>
  <c r="AG11" i="4" s="1"/>
  <c r="AZ92" i="1"/>
  <c r="AF11" i="4" s="1"/>
  <c r="AY92" i="1"/>
  <c r="AE11" i="4" s="1"/>
  <c r="AX92" i="1"/>
  <c r="AV103" i="1" s="1"/>
  <c r="DT11" i="4" s="1"/>
  <c r="AW92" i="1"/>
  <c r="AU103" i="1" s="1"/>
  <c r="DS11" i="4" s="1"/>
  <c r="AV92" i="1"/>
  <c r="AB11" i="4" s="1"/>
  <c r="AU92" i="1"/>
  <c r="AA11" i="4" s="1"/>
  <c r="AT92" i="1"/>
  <c r="AT103" i="1" s="1"/>
  <c r="DR11" i="4" s="1"/>
  <c r="AS92" i="1"/>
  <c r="Y11" i="4" s="1"/>
  <c r="BD91" i="1"/>
  <c r="X11" i="4" s="1"/>
  <c r="BC91" i="1"/>
  <c r="W11" i="4" s="1"/>
  <c r="BB91" i="1"/>
  <c r="AX102" i="1" s="1"/>
  <c r="DP11" i="4" s="1"/>
  <c r="BA91" i="1"/>
  <c r="AW102" i="1" s="1"/>
  <c r="DO11" i="4" s="1"/>
  <c r="AZ91" i="1"/>
  <c r="T11" i="4" s="1"/>
  <c r="AY91" i="1"/>
  <c r="S11" i="4" s="1"/>
  <c r="AX91" i="1"/>
  <c r="AV102" i="1" s="1"/>
  <c r="DN11" i="4" s="1"/>
  <c r="AW91" i="1"/>
  <c r="Q11" i="4" s="1"/>
  <c r="AV91" i="1"/>
  <c r="P11" i="4" s="1"/>
  <c r="AU91" i="1"/>
  <c r="O11" i="4" s="1"/>
  <c r="AT91" i="1"/>
  <c r="AT102" i="1" s="1"/>
  <c r="DL11" i="4" s="1"/>
  <c r="AS91" i="1"/>
  <c r="AS102" i="1" s="1"/>
  <c r="DK11" i="4" s="1"/>
  <c r="BD90" i="1"/>
  <c r="L11" i="4" s="1"/>
  <c r="BC90" i="1"/>
  <c r="K11" i="4" s="1"/>
  <c r="BB90" i="1"/>
  <c r="AX101" i="1" s="1"/>
  <c r="DJ11" i="4" s="1"/>
  <c r="BA90" i="1"/>
  <c r="I11" i="4" s="1"/>
  <c r="AZ90" i="1"/>
  <c r="H11" i="4" s="1"/>
  <c r="AY90" i="1"/>
  <c r="G11" i="4" s="1"/>
  <c r="AX90" i="1"/>
  <c r="AV101" i="1" s="1"/>
  <c r="DH11" i="4" s="1"/>
  <c r="AW90" i="1"/>
  <c r="AU101" i="1" s="1"/>
  <c r="DG11" i="4" s="1"/>
  <c r="AV90" i="1"/>
  <c r="D11" i="4" s="1"/>
  <c r="AU90" i="1"/>
  <c r="C11" i="4" s="1"/>
  <c r="AT90" i="1"/>
  <c r="AT101" i="1" s="1"/>
  <c r="DF11" i="4" s="1"/>
  <c r="AS90" i="1"/>
  <c r="A11" i="4" s="1"/>
  <c r="BG31" i="1"/>
  <c r="BF31" i="1" s="1"/>
  <c r="BE31" i="1"/>
  <c r="BD31" i="1"/>
  <c r="BA31" i="1"/>
  <c r="AZ31" i="1" s="1"/>
  <c r="AY31" i="1"/>
  <c r="AX31" i="1"/>
  <c r="AU31" i="1"/>
  <c r="AT31" i="1"/>
  <c r="AS31" i="1"/>
  <c r="BE30" i="1"/>
  <c r="BD30" i="1"/>
  <c r="BG30" i="1" s="1"/>
  <c r="BF30" i="1" s="1"/>
  <c r="AY30" i="1"/>
  <c r="AX30" i="1"/>
  <c r="BA30" i="1" s="1"/>
  <c r="AZ30" i="1" s="1"/>
  <c r="AU30" i="1"/>
  <c r="AT30" i="1"/>
  <c r="AS30" i="1"/>
  <c r="BE29" i="1"/>
  <c r="BG29" i="1" s="1"/>
  <c r="BF29" i="1" s="1"/>
  <c r="BD29" i="1"/>
  <c r="AY29" i="1"/>
  <c r="BA29" i="1" s="1"/>
  <c r="AZ29" i="1" s="1"/>
  <c r="AX29" i="1"/>
  <c r="AU29" i="1"/>
  <c r="AT29" i="1"/>
  <c r="AS29" i="1"/>
  <c r="BE28" i="1"/>
  <c r="BD28" i="1"/>
  <c r="BG28" i="1" s="1"/>
  <c r="BF28" i="1" s="1"/>
  <c r="AY28" i="1"/>
  <c r="AX28" i="1"/>
  <c r="BA28" i="1" s="1"/>
  <c r="AZ28" i="1" s="1"/>
  <c r="AU28" i="1"/>
  <c r="AT28" i="1"/>
  <c r="AS28" i="1"/>
  <c r="BG27" i="1"/>
  <c r="BF27" i="1" s="1"/>
  <c r="BE27" i="1"/>
  <c r="BD27" i="1"/>
  <c r="BA27" i="1"/>
  <c r="AZ27" i="1" s="1"/>
  <c r="AY27" i="1"/>
  <c r="AX27" i="1"/>
  <c r="AU27" i="1"/>
  <c r="AT27" i="1"/>
  <c r="AS27" i="1"/>
  <c r="BE26" i="1"/>
  <c r="BD26" i="1"/>
  <c r="BG26" i="1" s="1"/>
  <c r="BF26" i="1" s="1"/>
  <c r="AY26" i="1"/>
  <c r="AX26" i="1"/>
  <c r="BA26" i="1" s="1"/>
  <c r="AZ26" i="1" s="1"/>
  <c r="AU26" i="1"/>
  <c r="AT26" i="1"/>
  <c r="AS26" i="1"/>
  <c r="BE25" i="1"/>
  <c r="BG25" i="1" s="1"/>
  <c r="BF25" i="1" s="1"/>
  <c r="BD25" i="1"/>
  <c r="AY25" i="1"/>
  <c r="BA25" i="1" s="1"/>
  <c r="AZ25" i="1" s="1"/>
  <c r="AX25" i="1"/>
  <c r="AU25" i="1"/>
  <c r="AT25" i="1"/>
  <c r="AS25" i="1"/>
  <c r="BE24" i="1"/>
  <c r="BE32" i="1" s="1"/>
  <c r="BD24" i="1"/>
  <c r="BG24" i="1" s="1"/>
  <c r="AY24" i="1"/>
  <c r="AY32" i="1" s="1"/>
  <c r="AX24" i="1"/>
  <c r="BA24" i="1" s="1"/>
  <c r="AU24" i="1"/>
  <c r="AU32" i="1" s="1"/>
  <c r="AT24" i="1"/>
  <c r="AT32" i="1" s="1"/>
  <c r="AS24" i="1"/>
  <c r="AS32" i="1" s="1"/>
  <c r="BE21" i="1"/>
  <c r="BD21" i="1"/>
  <c r="BG21" i="1" s="1"/>
  <c r="BF21" i="1" s="1"/>
  <c r="AY21" i="1"/>
  <c r="AX21" i="1"/>
  <c r="BA21" i="1" s="1"/>
  <c r="AZ21" i="1" s="1"/>
  <c r="AU21" i="1"/>
  <c r="AT21" i="1"/>
  <c r="AS21" i="1"/>
  <c r="BE20" i="1"/>
  <c r="BG20" i="1" s="1"/>
  <c r="BF20" i="1" s="1"/>
  <c r="BD20" i="1"/>
  <c r="AY20" i="1"/>
  <c r="BA20" i="1" s="1"/>
  <c r="AZ20" i="1" s="1"/>
  <c r="AX20" i="1"/>
  <c r="AU20" i="1"/>
  <c r="AT20" i="1"/>
  <c r="AS20" i="1"/>
  <c r="BE19" i="1"/>
  <c r="BD19" i="1"/>
  <c r="BG19" i="1" s="1"/>
  <c r="BF19" i="1" s="1"/>
  <c r="AY19" i="1"/>
  <c r="AX19" i="1"/>
  <c r="BA19" i="1" s="1"/>
  <c r="AZ19" i="1" s="1"/>
  <c r="AU19" i="1"/>
  <c r="AT19" i="1"/>
  <c r="AS19" i="1"/>
  <c r="BG18" i="1"/>
  <c r="BF18" i="1" s="1"/>
  <c r="BE18" i="1"/>
  <c r="BD18" i="1"/>
  <c r="BA18" i="1"/>
  <c r="AZ18" i="1" s="1"/>
  <c r="AY18" i="1"/>
  <c r="AX18" i="1"/>
  <c r="AU18" i="1"/>
  <c r="AT18" i="1"/>
  <c r="AS18" i="1"/>
  <c r="BE17" i="1"/>
  <c r="BD17" i="1"/>
  <c r="BG17" i="1" s="1"/>
  <c r="BF17" i="1" s="1"/>
  <c r="AY17" i="1"/>
  <c r="AX17" i="1"/>
  <c r="BA17" i="1" s="1"/>
  <c r="AZ17" i="1" s="1"/>
  <c r="AU17" i="1"/>
  <c r="AT17" i="1"/>
  <c r="AS17" i="1"/>
  <c r="BE16" i="1"/>
  <c r="BG16" i="1" s="1"/>
  <c r="BF16" i="1" s="1"/>
  <c r="BD16" i="1"/>
  <c r="AY16" i="1"/>
  <c r="BA16" i="1" s="1"/>
  <c r="AZ16" i="1" s="1"/>
  <c r="AX16" i="1"/>
  <c r="AU16" i="1"/>
  <c r="AT16" i="1"/>
  <c r="AS16" i="1"/>
  <c r="BE15" i="1"/>
  <c r="BD15" i="1"/>
  <c r="BG15" i="1" s="1"/>
  <c r="BF15" i="1" s="1"/>
  <c r="AY15" i="1"/>
  <c r="AX15" i="1"/>
  <c r="BA15" i="1" s="1"/>
  <c r="AZ15" i="1" s="1"/>
  <c r="AU15" i="1"/>
  <c r="AT15" i="1"/>
  <c r="AS15" i="1"/>
  <c r="BG14" i="1"/>
  <c r="BF14" i="1" s="1"/>
  <c r="BE14" i="1"/>
  <c r="BE22" i="1" s="1"/>
  <c r="BD14" i="1"/>
  <c r="BD22" i="1" s="1"/>
  <c r="BA14" i="1"/>
  <c r="AZ14" i="1" s="1"/>
  <c r="AY14" i="1"/>
  <c r="AY22" i="1" s="1"/>
  <c r="AX14" i="1"/>
  <c r="AX22" i="1" s="1"/>
  <c r="AU14" i="1"/>
  <c r="AU22" i="1" s="1"/>
  <c r="AT14" i="1"/>
  <c r="AT22" i="1" s="1"/>
  <c r="AS14" i="1"/>
  <c r="AS22" i="1" s="1"/>
  <c r="BE11" i="1"/>
  <c r="BG11" i="1" s="1"/>
  <c r="BF11" i="1" s="1"/>
  <c r="BD11" i="1"/>
  <c r="AY11" i="1"/>
  <c r="BA11" i="1" s="1"/>
  <c r="AZ11" i="1" s="1"/>
  <c r="AX11" i="1"/>
  <c r="AU11" i="1"/>
  <c r="AT11" i="1"/>
  <c r="AS11" i="1"/>
  <c r="BE10" i="1"/>
  <c r="BD10" i="1"/>
  <c r="BG10" i="1" s="1"/>
  <c r="BF10" i="1" s="1"/>
  <c r="AY10" i="1"/>
  <c r="AX10" i="1"/>
  <c r="BA10" i="1" s="1"/>
  <c r="AZ10" i="1" s="1"/>
  <c r="AU10" i="1"/>
  <c r="AT10" i="1"/>
  <c r="AS10" i="1"/>
  <c r="BG9" i="1"/>
  <c r="BF9" i="1" s="1"/>
  <c r="BE9" i="1"/>
  <c r="BD9" i="1"/>
  <c r="BA9" i="1"/>
  <c r="AZ9" i="1" s="1"/>
  <c r="AY9" i="1"/>
  <c r="AX9" i="1"/>
  <c r="AU9" i="1"/>
  <c r="AT9" i="1"/>
  <c r="AS9" i="1"/>
  <c r="BE8" i="1"/>
  <c r="BD8" i="1"/>
  <c r="BG8" i="1" s="1"/>
  <c r="BF8" i="1" s="1"/>
  <c r="AY8" i="1"/>
  <c r="AX8" i="1"/>
  <c r="BA8" i="1" s="1"/>
  <c r="AZ8" i="1" s="1"/>
  <c r="AU8" i="1"/>
  <c r="AT8" i="1"/>
  <c r="AS8" i="1"/>
  <c r="BE7" i="1"/>
  <c r="BG7" i="1" s="1"/>
  <c r="BF7" i="1" s="1"/>
  <c r="BD7" i="1"/>
  <c r="AY7" i="1"/>
  <c r="BA7" i="1" s="1"/>
  <c r="AZ7" i="1" s="1"/>
  <c r="AX7" i="1"/>
  <c r="AU7" i="1"/>
  <c r="AT7" i="1"/>
  <c r="AS7" i="1"/>
  <c r="BE6" i="1"/>
  <c r="BD6" i="1"/>
  <c r="BG6" i="1" s="1"/>
  <c r="BF6" i="1" s="1"/>
  <c r="AY6" i="1"/>
  <c r="AX6" i="1"/>
  <c r="BA6" i="1" s="1"/>
  <c r="AZ6" i="1" s="1"/>
  <c r="AU6" i="1"/>
  <c r="AT6" i="1"/>
  <c r="AS6" i="1"/>
  <c r="BG5" i="1"/>
  <c r="BF5" i="1" s="1"/>
  <c r="BE5" i="1"/>
  <c r="BD5" i="1"/>
  <c r="BA5" i="1"/>
  <c r="AZ5" i="1" s="1"/>
  <c r="AY5" i="1"/>
  <c r="AX5" i="1"/>
  <c r="AU5" i="1"/>
  <c r="AT5" i="1"/>
  <c r="AS5" i="1"/>
  <c r="BE4" i="1"/>
  <c r="BE12" i="1" s="1"/>
  <c r="BD4" i="1"/>
  <c r="BD12" i="1" s="1"/>
  <c r="AY4" i="1"/>
  <c r="AY12" i="1" s="1"/>
  <c r="AX4" i="1"/>
  <c r="AX12" i="1" s="1"/>
  <c r="AU4" i="1"/>
  <c r="AU12" i="1" s="1"/>
  <c r="AT4" i="1"/>
  <c r="AT12" i="1" s="1"/>
  <c r="AS4" i="1"/>
  <c r="AS12" i="1" s="1"/>
  <c r="AR27" i="3" l="1"/>
  <c r="FA11" i="4" s="1"/>
  <c r="AS27" i="3"/>
  <c r="FB11" i="4" s="1"/>
  <c r="CU11" i="4"/>
  <c r="F11" i="4"/>
  <c r="N11" i="4"/>
  <c r="V11" i="4"/>
  <c r="AD11" i="4"/>
  <c r="AT11" i="4"/>
  <c r="BB11" i="4"/>
  <c r="BR11" i="4"/>
  <c r="BZ11" i="4"/>
  <c r="AS104" i="1"/>
  <c r="DW11" i="4" s="1"/>
  <c r="AS108" i="1"/>
  <c r="EU11" i="4" s="1"/>
  <c r="AM11" i="4"/>
  <c r="BK11" i="4"/>
  <c r="AT108" i="1"/>
  <c r="EV11" i="4" s="1"/>
  <c r="AX108" i="1"/>
  <c r="EZ11" i="4" s="1"/>
  <c r="AT104" i="1"/>
  <c r="DX11" i="4" s="1"/>
  <c r="AT106" i="1"/>
  <c r="EJ11" i="4" s="1"/>
  <c r="B11" i="4"/>
  <c r="J11" i="4"/>
  <c r="R11" i="4"/>
  <c r="Z11" i="4"/>
  <c r="AH11" i="4"/>
  <c r="AP11" i="4"/>
  <c r="BF11" i="4"/>
  <c r="BN11" i="4"/>
  <c r="CD11" i="4"/>
  <c r="CL11" i="4"/>
  <c r="AS106" i="1"/>
  <c r="EI11" i="4" s="1"/>
  <c r="AS101" i="1"/>
  <c r="DE11" i="4" s="1"/>
  <c r="AW101" i="1"/>
  <c r="DI11" i="4" s="1"/>
  <c r="AU102" i="1"/>
  <c r="DM11" i="4" s="1"/>
  <c r="AS103" i="1"/>
  <c r="DQ11" i="4" s="1"/>
  <c r="AW103" i="1"/>
  <c r="DU11" i="4" s="1"/>
  <c r="AU104" i="1"/>
  <c r="DY11" i="4" s="1"/>
  <c r="AS105" i="1"/>
  <c r="EC11" i="4" s="1"/>
  <c r="AW105" i="1"/>
  <c r="EG11" i="4" s="1"/>
  <c r="AU106" i="1"/>
  <c r="EK11" i="4" s="1"/>
  <c r="AS107" i="1"/>
  <c r="EO11" i="4" s="1"/>
  <c r="AW107" i="1"/>
  <c r="ES11" i="4" s="1"/>
  <c r="AU108" i="1"/>
  <c r="EW11" i="4" s="1"/>
  <c r="AY11" i="4"/>
  <c r="BW11" i="4"/>
  <c r="AT105" i="1"/>
  <c r="ED11" i="4" s="1"/>
  <c r="AT107" i="1"/>
  <c r="EP11" i="4" s="1"/>
  <c r="E11" i="4"/>
  <c r="M11" i="4"/>
  <c r="U11" i="4"/>
  <c r="AC11" i="4"/>
  <c r="AK11" i="4"/>
  <c r="AS11" i="4"/>
  <c r="BA11" i="4"/>
  <c r="BI11" i="4"/>
  <c r="BQ11" i="4"/>
  <c r="BY11" i="4"/>
  <c r="CG11" i="4"/>
  <c r="CO11" i="4"/>
  <c r="EU6" i="4"/>
  <c r="FD6" i="4"/>
  <c r="AS28" i="3"/>
  <c r="FD11" i="4" s="1"/>
  <c r="EX6" i="4"/>
  <c r="CZ11" i="4"/>
  <c r="AU10" i="3"/>
  <c r="AT10" i="3" s="1"/>
  <c r="EQ6" i="4" s="1"/>
  <c r="AU17" i="3"/>
  <c r="AT17" i="3" s="1"/>
  <c r="FC6" i="4" s="1"/>
  <c r="AR28" i="3"/>
  <c r="FC11" i="4" s="1"/>
  <c r="CS11" i="4"/>
  <c r="DA11" i="4"/>
  <c r="ER6" i="4"/>
  <c r="CT11" i="4"/>
  <c r="DB11" i="4"/>
  <c r="FA6" i="4"/>
  <c r="AY28" i="2"/>
  <c r="AY23" i="2"/>
  <c r="AY45" i="2"/>
  <c r="AY50" i="2"/>
  <c r="AY40" i="2"/>
  <c r="AY31" i="2"/>
  <c r="AY39" i="2"/>
  <c r="AY26" i="2"/>
  <c r="AY48" i="2"/>
  <c r="BG32" i="1"/>
  <c r="BF32" i="1" s="1"/>
  <c r="BF24" i="1"/>
  <c r="BA32" i="1"/>
  <c r="AZ32" i="1" s="1"/>
  <c r="AZ24" i="1"/>
  <c r="BA22" i="1"/>
  <c r="AZ22" i="1" s="1"/>
  <c r="BG22" i="1"/>
  <c r="BF22" i="1" s="1"/>
  <c r="AX32" i="1"/>
  <c r="BD32" i="1"/>
  <c r="BA4" i="1"/>
  <c r="BG4" i="1"/>
  <c r="BA12" i="1" l="1"/>
  <c r="AZ12" i="1" s="1"/>
  <c r="AZ4" i="1"/>
  <c r="BG12" i="1"/>
  <c r="BF12" i="1" s="1"/>
  <c r="BF4" i="1"/>
</calcChain>
</file>

<file path=xl/sharedStrings.xml><?xml version="1.0" encoding="utf-8"?>
<sst xmlns="http://schemas.openxmlformats.org/spreadsheetml/2006/main" count="21876" uniqueCount="405">
  <si>
    <t>SUBJ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</si>
  <si>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</si>
  <si>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</si>
  <si>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</si>
  <si>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</si>
  <si>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</si>
  <si>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</si>
  <si>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</si>
  <si>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</si>
  <si>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</si>
  <si>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</si>
  <si>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</si>
  <si>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</si>
  <si>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</si>
  <si>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</si>
  <si>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</si>
  <si>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</si>
  <si>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</si>
  <si>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</si>
  <si>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</si>
  <si>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</si>
  <si>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</si>
  <si>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</si>
  <si>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</si>
  <si>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</si>
  <si>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</si>
  <si>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</si>
  <si>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</si>
  <si>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</si>
  <si>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</si>
  <si>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</si>
  <si>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</si>
  <si>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</si>
  <si>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</si>
  <si>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</si>
  <si>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</si>
  <si>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</si>
  <si>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           Test</t>
  </si>
  <si>
    <t xml:space="preserve">Digzof              </t>
  </si>
  <si>
    <t xml:space="preserve">A                   </t>
  </si>
  <si>
    <t xml:space="preserve">DGZF                </t>
  </si>
  <si>
    <t xml:space="preserve">cow                 </t>
  </si>
  <si>
    <t xml:space="preserve">XiXXoX              </t>
  </si>
  <si>
    <t xml:space="preserve">Thing               </t>
  </si>
  <si>
    <t xml:space="preserve">חלב                 </t>
  </si>
  <si>
    <t xml:space="preserve">זגוגית              </t>
  </si>
  <si>
    <t xml:space="preserve">לוכד נחשים          </t>
  </si>
  <si>
    <t xml:space="preserve">גן ירק              </t>
  </si>
  <si>
    <t xml:space="preserve">Tomlepu             </t>
  </si>
  <si>
    <t xml:space="preserve">TMLP                </t>
  </si>
  <si>
    <t xml:space="preserve">scorpion            </t>
  </si>
  <si>
    <t xml:space="preserve">XoXXeXu             </t>
  </si>
  <si>
    <t xml:space="preserve">Place               </t>
  </si>
  <si>
    <t xml:space="preserve">קן עקרבים           </t>
  </si>
  <si>
    <t xml:space="preserve">קבוצת עקרבים        </t>
  </si>
  <si>
    <t xml:space="preserve">קרחון               </t>
  </si>
  <si>
    <t xml:space="preserve">נהג קטר             </t>
  </si>
  <si>
    <t xml:space="preserve">Dugzafi             </t>
  </si>
  <si>
    <t xml:space="preserve">XuXXaXi             </t>
  </si>
  <si>
    <t xml:space="preserve">Person              </t>
  </si>
  <si>
    <t xml:space="preserve">רפתן                </t>
  </si>
  <si>
    <t xml:space="preserve">תחנת רכבת           </t>
  </si>
  <si>
    <t xml:space="preserve">עדר כבשים           </t>
  </si>
  <si>
    <t xml:space="preserve">Šuskani             </t>
  </si>
  <si>
    <t xml:space="preserve">ŠSKN                </t>
  </si>
  <si>
    <t xml:space="preserve">hat                 </t>
  </si>
  <si>
    <t xml:space="preserve">כובען               </t>
  </si>
  <si>
    <t xml:space="preserve">מתלה כובעים         </t>
  </si>
  <si>
    <t xml:space="preserve">גלקסיה              </t>
  </si>
  <si>
    <t xml:space="preserve">חוף                 </t>
  </si>
  <si>
    <t xml:space="preserve">Gulbáki             </t>
  </si>
  <si>
    <t xml:space="preserve">GLBK                </t>
  </si>
  <si>
    <t xml:space="preserve">insect              </t>
  </si>
  <si>
    <t xml:space="preserve">מדביר חרקים         </t>
  </si>
  <si>
    <t xml:space="preserve">כרם                 </t>
  </si>
  <si>
    <t xml:space="preserve">משטח החלקרח         </t>
  </si>
  <si>
    <t xml:space="preserve">Sodmeku             </t>
  </si>
  <si>
    <t xml:space="preserve">SDMK                </t>
  </si>
  <si>
    <t xml:space="preserve">carrot              </t>
  </si>
  <si>
    <t xml:space="preserve">ערוגת גזר           </t>
  </si>
  <si>
    <t xml:space="preserve">צרור גזרים          </t>
  </si>
  <si>
    <t xml:space="preserve">ארגז חול            </t>
  </si>
  <si>
    <t xml:space="preserve">מקרן                </t>
  </si>
  <si>
    <t xml:space="preserve">-                   </t>
  </si>
  <si>
    <t xml:space="preserve">Šiskon              </t>
  </si>
  <si>
    <t xml:space="preserve">מסגרת               </t>
  </si>
  <si>
    <t xml:space="preserve">אשכול בננות         </t>
  </si>
  <si>
    <t xml:space="preserve">מטפס הרים           </t>
  </si>
  <si>
    <t xml:space="preserve">Vézgip              </t>
  </si>
  <si>
    <t xml:space="preserve">VSGP                </t>
  </si>
  <si>
    <t xml:space="preserve">fire                </t>
  </si>
  <si>
    <t xml:space="preserve">XeXXiX              </t>
  </si>
  <si>
    <t xml:space="preserve">A lot               </t>
  </si>
  <si>
    <t xml:space="preserve">מדורה               </t>
  </si>
  <si>
    <t xml:space="preserve">נחיל חרקים          </t>
  </si>
  <si>
    <t xml:space="preserve">חייט                </t>
  </si>
  <si>
    <t xml:space="preserve">צפר                 </t>
  </si>
  <si>
    <t xml:space="preserve">Temlip              </t>
  </si>
  <si>
    <t xml:space="preserve">קבוצת איים          </t>
  </si>
  <si>
    <t xml:space="preserve">מעיין               </t>
  </si>
  <si>
    <t xml:space="preserve">עניבה               </t>
  </si>
  <si>
    <t xml:space="preserve">Vozgépu             </t>
  </si>
  <si>
    <t xml:space="preserve">תנור חימום          </t>
  </si>
  <si>
    <t xml:space="preserve">לולן                </t>
  </si>
  <si>
    <t xml:space="preserve">ארס                 </t>
  </si>
  <si>
    <t xml:space="preserve">Sedmik              </t>
  </si>
  <si>
    <t xml:space="preserve">עדר סוסים           </t>
  </si>
  <si>
    <t xml:space="preserve">אגרטל               </t>
  </si>
  <si>
    <t xml:space="preserve">סוליית נעליים       </t>
  </si>
  <si>
    <t xml:space="preserve">Gélbik              </t>
  </si>
  <si>
    <t xml:space="preserve">קולפן ירקות         </t>
  </si>
  <si>
    <t xml:space="preserve">סימניה              </t>
  </si>
  <si>
    <t xml:space="preserve">Kevlumo             </t>
  </si>
  <si>
    <t xml:space="preserve">C                   </t>
  </si>
  <si>
    <t xml:space="preserve">                    </t>
  </si>
  <si>
    <t xml:space="preserve">snake               </t>
  </si>
  <si>
    <t xml:space="preserve">רצועה               </t>
  </si>
  <si>
    <t xml:space="preserve">Temdus              </t>
  </si>
  <si>
    <t xml:space="preserve">gold                </t>
  </si>
  <si>
    <t xml:space="preserve">מכרה זהב            </t>
  </si>
  <si>
    <t xml:space="preserve">מטמון               </t>
  </si>
  <si>
    <t xml:space="preserve">צמר                 </t>
  </si>
  <si>
    <t xml:space="preserve">Zefmok              </t>
  </si>
  <si>
    <t xml:space="preserve">fish                </t>
  </si>
  <si>
    <t xml:space="preserve">דייג                </t>
  </si>
  <si>
    <t xml:space="preserve">Feskun              </t>
  </si>
  <si>
    <t xml:space="preserve">ant                 </t>
  </si>
  <si>
    <t xml:space="preserve">שיירת נמלים         </t>
  </si>
  <si>
    <t xml:space="preserve">קן נמלים            </t>
  </si>
  <si>
    <t xml:space="preserve">Šunlade             </t>
  </si>
  <si>
    <t xml:space="preserve">להקת דגים           </t>
  </si>
  <si>
    <t xml:space="preserve">אוכף                </t>
  </si>
  <si>
    <t xml:space="preserve">מוסך                </t>
  </si>
  <si>
    <t xml:space="preserve">Gosdif              </t>
  </si>
  <si>
    <t xml:space="preserve">suit                </t>
  </si>
  <si>
    <t xml:space="preserve">Fundimu             </t>
  </si>
  <si>
    <t xml:space="preserve">grape               </t>
  </si>
  <si>
    <t xml:space="preserve">אשכול ענבים         </t>
  </si>
  <si>
    <t xml:space="preserve">תושב אי             </t>
  </si>
  <si>
    <t xml:space="preserve">סנדלר               </t>
  </si>
  <si>
    <t xml:space="preserve">Bunkut              </t>
  </si>
  <si>
    <t xml:space="preserve">להקת ציפורים        </t>
  </si>
  <si>
    <t xml:space="preserve">Sekliša             </t>
  </si>
  <si>
    <t xml:space="preserve">Genkud              </t>
  </si>
  <si>
    <t xml:space="preserve">משתלת עצים          </t>
  </si>
  <si>
    <t xml:space="preserve">Mangit              </t>
  </si>
  <si>
    <t xml:space="preserve">נהג מכונית          </t>
  </si>
  <si>
    <t xml:space="preserve">טייס                </t>
  </si>
  <si>
    <t xml:space="preserve">Dínzet              </t>
  </si>
  <si>
    <t xml:space="preserve">מפעל זכוכית         </t>
  </si>
  <si>
    <t xml:space="preserve">Vustom              </t>
  </si>
  <si>
    <t xml:space="preserve">B                   </t>
  </si>
  <si>
    <t xml:space="preserve">VUST                </t>
  </si>
  <si>
    <t xml:space="preserve">water               </t>
  </si>
  <si>
    <t xml:space="preserve">om                  </t>
  </si>
  <si>
    <t xml:space="preserve">שיטפון              </t>
  </si>
  <si>
    <t xml:space="preserve">צייר                </t>
  </si>
  <si>
    <t xml:space="preserve">Banduk              </t>
  </si>
  <si>
    <t xml:space="preserve">BAND                </t>
  </si>
  <si>
    <t xml:space="preserve">chicken             </t>
  </si>
  <si>
    <t xml:space="preserve">uk                  </t>
  </si>
  <si>
    <t xml:space="preserve">ביצה                </t>
  </si>
  <si>
    <t xml:space="preserve">סופר                </t>
  </si>
  <si>
    <t xml:space="preserve">Monšom              </t>
  </si>
  <si>
    <t xml:space="preserve">MONŠ                </t>
  </si>
  <si>
    <t xml:space="preserve">banana              </t>
  </si>
  <si>
    <t xml:space="preserve">מטע בננות           </t>
  </si>
  <si>
    <t xml:space="preserve">Zomgíne             </t>
  </si>
  <si>
    <t xml:space="preserve">ZOMG                </t>
  </si>
  <si>
    <t xml:space="preserve">bird                </t>
  </si>
  <si>
    <t xml:space="preserve">ine                 </t>
  </si>
  <si>
    <t xml:space="preserve">Bandine             </t>
  </si>
  <si>
    <t xml:space="preserve">שדה תעופה           </t>
  </si>
  <si>
    <t xml:space="preserve">Vustápa             </t>
  </si>
  <si>
    <t xml:space="preserve">apa                 </t>
  </si>
  <si>
    <t xml:space="preserve">Monšapa             </t>
  </si>
  <si>
    <t xml:space="preserve">Duvnine             </t>
  </si>
  <si>
    <t xml:space="preserve">DUVN                </t>
  </si>
  <si>
    <t xml:space="preserve">shoe                </t>
  </si>
  <si>
    <t xml:space="preserve">להקת כלבים          </t>
  </si>
  <si>
    <t xml:space="preserve">Tevlom              </t>
  </si>
  <si>
    <t xml:space="preserve">TEFL                </t>
  </si>
  <si>
    <t xml:space="preserve">bee                 </t>
  </si>
  <si>
    <t xml:space="preserve">נחיל דבורים         </t>
  </si>
  <si>
    <t xml:space="preserve">Zómgom              </t>
  </si>
  <si>
    <t xml:space="preserve">גרזן                </t>
  </si>
  <si>
    <t xml:space="preserve">Tevlapa             </t>
  </si>
  <si>
    <t xml:space="preserve">כוורת דבורים        </t>
  </si>
  <si>
    <t xml:space="preserve">Duvnuk              </t>
  </si>
  <si>
    <t xml:space="preserve">Mizdoš              </t>
  </si>
  <si>
    <t xml:space="preserve">MZDŠ                </t>
  </si>
  <si>
    <t xml:space="preserve">glass               </t>
  </si>
  <si>
    <t xml:space="preserve">Zotléfu             </t>
  </si>
  <si>
    <t xml:space="preserve">ZTLF                </t>
  </si>
  <si>
    <t xml:space="preserve">tree                </t>
  </si>
  <si>
    <t xml:space="preserve">Kívmoš              </t>
  </si>
  <si>
    <t xml:space="preserve">KVMŠ                </t>
  </si>
  <si>
    <t xml:space="preserve">painting            </t>
  </si>
  <si>
    <t xml:space="preserve">Fumtali             </t>
  </si>
  <si>
    <t xml:space="preserve">FMTL                </t>
  </si>
  <si>
    <t xml:space="preserve">island              </t>
  </si>
  <si>
    <t xml:space="preserve">Bofselu             </t>
  </si>
  <si>
    <t xml:space="preserve">BFSL                </t>
  </si>
  <si>
    <t xml:space="preserve">plane               </t>
  </si>
  <si>
    <t xml:space="preserve">אסטרונום            </t>
  </si>
  <si>
    <t xml:space="preserve">Kuvmáši             </t>
  </si>
  <si>
    <t xml:space="preserve">Pivlon              </t>
  </si>
  <si>
    <t xml:space="preserve">PVLN                </t>
  </si>
  <si>
    <t xml:space="preserve">horse               </t>
  </si>
  <si>
    <t xml:space="preserve">רכס הרים            </t>
  </si>
  <si>
    <t xml:space="preserve">Mozdešu             </t>
  </si>
  <si>
    <t xml:space="preserve">במאי סרטים          </t>
  </si>
  <si>
    <t xml:space="preserve">Bufsali             </t>
  </si>
  <si>
    <t xml:space="preserve">Pevlin              </t>
  </si>
  <si>
    <t xml:space="preserve">שוק פרחים           </t>
  </si>
  <si>
    <t xml:space="preserve">Zítlof              </t>
  </si>
  <si>
    <t xml:space="preserve">Femtil              </t>
  </si>
  <si>
    <t xml:space="preserve">Vutkas              </t>
  </si>
  <si>
    <t xml:space="preserve">flower              </t>
  </si>
  <si>
    <t xml:space="preserve">Tingoda             </t>
  </si>
  <si>
    <t xml:space="preserve">dog                 </t>
  </si>
  <si>
    <t xml:space="preserve">Komlen              </t>
  </si>
  <si>
    <t xml:space="preserve">sand                </t>
  </si>
  <si>
    <t xml:space="preserve">Valtebi             </t>
  </si>
  <si>
    <t xml:space="preserve">train               </t>
  </si>
  <si>
    <t xml:space="preserve">Mafteni             </t>
  </si>
  <si>
    <t xml:space="preserve">mountain            </t>
  </si>
  <si>
    <t xml:space="preserve">Zuskem              </t>
  </si>
  <si>
    <t xml:space="preserve">Piftona             </t>
  </si>
  <si>
    <t xml:space="preserve">Boškodo             </t>
  </si>
  <si>
    <t xml:space="preserve">Dezlúme             </t>
  </si>
  <si>
    <t xml:space="preserve">book                </t>
  </si>
  <si>
    <t xml:space="preserve">Sošdubu             </t>
  </si>
  <si>
    <t xml:space="preserve">Šílgup              </t>
  </si>
  <si>
    <t xml:space="preserve">Pefnedi             </t>
  </si>
  <si>
    <t xml:space="preserve">Pelsuk              </t>
  </si>
  <si>
    <t xml:space="preserve">PELS                </t>
  </si>
  <si>
    <t xml:space="preserve">ice                 </t>
  </si>
  <si>
    <t xml:space="preserve">Gúftuk              </t>
  </si>
  <si>
    <t xml:space="preserve">GUFT                </t>
  </si>
  <si>
    <t xml:space="preserve">movie               </t>
  </si>
  <si>
    <t xml:space="preserve">Faldapa             </t>
  </si>
  <si>
    <t xml:space="preserve">FALD                </t>
  </si>
  <si>
    <t xml:space="preserve">car                 </t>
  </si>
  <si>
    <t xml:space="preserve">Kestom              </t>
  </si>
  <si>
    <t xml:space="preserve">KEST                </t>
  </si>
  <si>
    <t xml:space="preserve">sheep               </t>
  </si>
  <si>
    <t xml:space="preserve">Pelsapa             </t>
  </si>
  <si>
    <t xml:space="preserve">Šozdom              </t>
  </si>
  <si>
    <t xml:space="preserve">ŠOZD                </t>
  </si>
  <si>
    <t xml:space="preserve">star                </t>
  </si>
  <si>
    <t xml:space="preserve">Kestuk              </t>
  </si>
  <si>
    <t xml:space="preserve">Faldine             </t>
  </si>
  <si>
    <t xml:space="preserve">Guftíne             </t>
  </si>
  <si>
    <t xml:space="preserve">Leškápa             </t>
  </si>
  <si>
    <t xml:space="preserve">LEŠK                </t>
  </si>
  <si>
    <t xml:space="preserve">vegetable           </t>
  </si>
  <si>
    <t xml:space="preserve">Šozdine             </t>
  </si>
  <si>
    <t xml:space="preserve">Leškuk              </t>
  </si>
  <si>
    <t xml:space="preserve">            Training</t>
  </si>
  <si>
    <t xml:space="preserve">Zutláfi             </t>
  </si>
  <si>
    <t xml:space="preserve">חוטב עצים           </t>
  </si>
  <si>
    <t xml:space="preserve">כבאי                </t>
  </si>
  <si>
    <t xml:space="preserve">אקווריום            </t>
  </si>
  <si>
    <t xml:space="preserve">דיר כבשים           </t>
  </si>
  <si>
    <t xml:space="preserve">Gílbok              </t>
  </si>
  <si>
    <t xml:space="preserve">דוחה חרקים          </t>
  </si>
  <si>
    <t xml:space="preserve">חוות חרקים          </t>
  </si>
  <si>
    <t xml:space="preserve">זר פרחים            </t>
  </si>
  <si>
    <t xml:space="preserve">ירקן                </t>
  </si>
  <si>
    <t xml:space="preserve">Puvlani             </t>
  </si>
  <si>
    <t xml:space="preserve">רוכב סוסים          </t>
  </si>
  <si>
    <t xml:space="preserve">ספריה               </t>
  </si>
  <si>
    <t xml:space="preserve">פסטיבל סרטים        </t>
  </si>
  <si>
    <t xml:space="preserve">Vuzgápi             </t>
  </si>
  <si>
    <t xml:space="preserve">גפרור               </t>
  </si>
  <si>
    <t xml:space="preserve">אוסף ספרים          </t>
  </si>
  <si>
    <t xml:space="preserve">ערימת ירקות         </t>
  </si>
  <si>
    <t xml:space="preserve">Kovméšu             </t>
  </si>
  <si>
    <t xml:space="preserve">גלריה               </t>
  </si>
  <si>
    <t xml:space="preserve">אורוות סוסים        </t>
  </si>
  <si>
    <t xml:space="preserve">מוכר פרחים          </t>
  </si>
  <si>
    <t xml:space="preserve">רועה כבשים          </t>
  </si>
  <si>
    <t xml:space="preserve">Zétlif              </t>
  </si>
  <si>
    <t xml:space="preserve">יער                 </t>
  </si>
  <si>
    <t xml:space="preserve">שוק דגים            </t>
  </si>
  <si>
    <t xml:space="preserve">כלוב ציפורים        </t>
  </si>
  <si>
    <t xml:space="preserve">Bifsol              </t>
  </si>
  <si>
    <t xml:space="preserve">נושאת מטוסים        </t>
  </si>
  <si>
    <t xml:space="preserve">להק מטוסים          </t>
  </si>
  <si>
    <t xml:space="preserve">צורף                </t>
  </si>
  <si>
    <t xml:space="preserve">בית קולנוע          </t>
  </si>
  <si>
    <t xml:space="preserve">Golbéku             </t>
  </si>
  <si>
    <t xml:space="preserve">מטבע זהב            </t>
  </si>
  <si>
    <t xml:space="preserve">דלי מים             </t>
  </si>
  <si>
    <t xml:space="preserve">Befsil              </t>
  </si>
  <si>
    <t xml:space="preserve">מלונה               </t>
  </si>
  <si>
    <t xml:space="preserve">פארק צפרות          </t>
  </si>
  <si>
    <t xml:space="preserve">Povlenu             </t>
  </si>
  <si>
    <t xml:space="preserve">פקק תנועה           </t>
  </si>
  <si>
    <t xml:space="preserve">Kévmiš              </t>
  </si>
  <si>
    <t xml:space="preserve">אוסף ציורים         </t>
  </si>
  <si>
    <t xml:space="preserve">כלבן                </t>
  </si>
  <si>
    <t xml:space="preserve">צוללן               </t>
  </si>
  <si>
    <t xml:space="preserve">Vízgop              </t>
  </si>
  <si>
    <t xml:space="preserve">צי רכבות            </t>
  </si>
  <si>
    <t xml:space="preserve">Tamšif              </t>
  </si>
  <si>
    <t xml:space="preserve">צמיג                </t>
  </si>
  <si>
    <t xml:space="preserve">Vuktel              </t>
  </si>
  <si>
    <t xml:space="preserve">Vusnoka             </t>
  </si>
  <si>
    <t xml:space="preserve">Zafmate             </t>
  </si>
  <si>
    <t xml:space="preserve">מסילת רכבת          </t>
  </si>
  <si>
    <t xml:space="preserve">Zosnak              </t>
  </si>
  <si>
    <t xml:space="preserve">šumbúsa             </t>
  </si>
  <si>
    <t xml:space="preserve">Šašten              </t>
  </si>
  <si>
    <t xml:space="preserve">Pontáda             </t>
  </si>
  <si>
    <t xml:space="preserve">Paldun              </t>
  </si>
  <si>
    <t xml:space="preserve">Teftida             </t>
  </si>
  <si>
    <t xml:space="preserve">Dilvušo             </t>
  </si>
  <si>
    <t xml:space="preserve">Daspon              </t>
  </si>
  <si>
    <t xml:space="preserve">Gúftom              </t>
  </si>
  <si>
    <t xml:space="preserve">Leškom              </t>
  </si>
  <si>
    <t xml:space="preserve">Falduk              </t>
  </si>
  <si>
    <t xml:space="preserve">Vustíne             </t>
  </si>
  <si>
    <t xml:space="preserve">Zomgápa             </t>
  </si>
  <si>
    <t xml:space="preserve">Faldom              </t>
  </si>
  <si>
    <t xml:space="preserve">Kestapa             </t>
  </si>
  <si>
    <t xml:space="preserve">Vustuk              </t>
  </si>
  <si>
    <t xml:space="preserve">Kestine             </t>
  </si>
  <si>
    <t xml:space="preserve">Zómguk              </t>
  </si>
  <si>
    <t xml:space="preserve">Leškíne             </t>
  </si>
  <si>
    <t xml:space="preserve">Guftápa             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</si>
  <si>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</si>
  <si>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</si>
  <si>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</si>
  <si>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</si>
  <si>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</si>
  <si>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</si>
  <si>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</si>
  <si>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</si>
  <si>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Unrelated items divided by 2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</si>
  <si>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</si>
  <si>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</si>
  <si>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</si>
  <si>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</si>
  <si>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</si>
  <si>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</si>
  <si>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</si>
  <si>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</si>
  <si>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</si>
  <si>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</si>
  <si>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</si>
  <si>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</si>
  <si>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</si>
  <si>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</si>
  <si>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A</t>
  </si>
  <si>
    <t>B</t>
  </si>
  <si>
    <t>C</t>
  </si>
  <si>
    <t>HebLike</t>
  </si>
  <si>
    <t>notHebLike</t>
  </si>
  <si>
    <t>Translation RT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</si>
  <si>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</si>
  <si>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</si>
  <si>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</si>
  <si>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</si>
  <si>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</si>
  <si>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</si>
  <si>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</si>
  <si>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</si>
  <si>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</si>
  <si>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</si>
  <si>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</si>
  <si>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</si>
  <si>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</si>
  <si>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Transiation RT</t>
  </si>
  <si>
    <t>.</t>
  </si>
  <si>
    <t>Base</t>
  </si>
  <si>
    <t>Suffix</t>
  </si>
  <si>
    <t>Untrained</t>
  </si>
  <si>
    <t>correct</t>
  </si>
  <si>
    <t>related</t>
  </si>
  <si>
    <t>unrelated</t>
  </si>
  <si>
    <t>accuracy</t>
  </si>
  <si>
    <t>S1T1</t>
  </si>
  <si>
    <t>S1T2</t>
  </si>
  <si>
    <t>S2T1</t>
  </si>
  <si>
    <t>S2T2</t>
  </si>
  <si>
    <t>S3T1</t>
  </si>
  <si>
    <t>S3T2</t>
  </si>
  <si>
    <t>S4T1</t>
  </si>
  <si>
    <t>S4T2</t>
  </si>
  <si>
    <t>Person</t>
  </si>
  <si>
    <t>A lot</t>
  </si>
  <si>
    <t>Place</t>
  </si>
  <si>
    <t>Thing</t>
  </si>
  <si>
    <t>Hebrew</t>
  </si>
  <si>
    <t>not Hebrew</t>
  </si>
  <si>
    <t>vot</t>
  </si>
  <si>
    <t>manual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</si>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</sst>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0" applyFo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49" fontId="7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right"/>
    </xf>
    <xf numFmtId="2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77"/>
  <sheetViews>
    <sheetView topLeftCell="AG25" zoomScale="96" zoomScaleNormal="96" workbookViewId="0">
      <selection activeCell="AQ37" sqref="AQ37"/>
    </sheetView>
  </sheetViews>
  <sheetFormatPr defaultRowHeight="15" x14ac:dyDescent="0.25"/>
  <cols>
    <col min="39" max="39" width="10.42578125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397</v>
      </c>
      <c r="AK1" t="s">
        <v>398</v>
      </c>
      <c r="AL1" t="s">
        <v>399</v>
      </c>
      <c r="AM1" t="s">
        <v>400</v>
      </c>
      <c r="AN1" t="s">
        <v>401</v>
      </c>
      <c r="AO1" t="s">
        <v>402</v>
      </c>
      <c r="AP1" s="26"/>
      <c r="AQ1" s="2"/>
      <c r="AR1" s="1"/>
      <c r="AS1" s="3"/>
      <c r="AT1" s="4"/>
      <c r="AU1" s="5"/>
      <c r="AW1" s="6"/>
    </row>
    <row r="2" spans="1:59" x14ac:dyDescent="0.25">
      <c r="A2">
        <v>259</v>
      </c>
      <c r="B2" t="s">
        <v>35</v>
      </c>
      <c r="C2">
        <v>3</v>
      </c>
      <c r="D2" t="s">
        <v>36</v>
      </c>
      <c r="E2">
        <v>1</v>
      </c>
      <c r="F2" t="s">
        <v>37</v>
      </c>
      <c r="G2">
        <v>1</v>
      </c>
      <c r="H2">
        <v>2</v>
      </c>
      <c r="I2">
        <v>1</v>
      </c>
      <c r="J2">
        <v>1</v>
      </c>
      <c r="K2">
        <v>2</v>
      </c>
      <c r="L2">
        <v>48</v>
      </c>
      <c r="M2">
        <v>2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>
        <v>5</v>
      </c>
      <c r="V2" t="s">
        <v>45</v>
      </c>
      <c r="W2" t="s">
        <v>46</v>
      </c>
      <c r="X2" t="s">
        <v>47</v>
      </c>
      <c r="Y2">
        <v>2</v>
      </c>
      <c r="Z2">
        <v>1</v>
      </c>
      <c r="AA2">
        <v>48</v>
      </c>
      <c r="AB2">
        <v>4.0000000000000001E-3</v>
      </c>
      <c r="AC2" t="s">
        <v>45</v>
      </c>
      <c r="AD2">
        <v>3</v>
      </c>
      <c r="AE2">
        <v>4</v>
      </c>
      <c r="AF2">
        <v>0</v>
      </c>
      <c r="AG2">
        <v>2.7690000000000001</v>
      </c>
      <c r="AH2">
        <v>1.85</v>
      </c>
      <c r="AI2">
        <v>0</v>
      </c>
      <c r="AJ2">
        <v>1.3649899999999999</v>
      </c>
      <c r="AK2">
        <v>1.365</v>
      </c>
      <c r="AL2">
        <f>IF(ISNUMBER(AK2), AK2, IF(AND(AK2="",AJ2=""),"",IF(AK2="",AJ2,"")))</f>
        <v>1.365</v>
      </c>
      <c r="AM2">
        <f>VLOOKUP(TRIM(N2),'[1]All - Durations'!$E$2:$H$109,4,FALSE)</f>
        <v>0.87</v>
      </c>
      <c r="AN2">
        <f>AL2-AM2</f>
        <v>0.495</v>
      </c>
      <c r="AO2">
        <f>IF(ISNUMBER(AN2), AN2, "")</f>
        <v>0.495</v>
      </c>
      <c r="AP2" s="1"/>
      <c r="AQ2" s="2"/>
      <c r="AR2" s="1"/>
      <c r="AU2" s="2"/>
      <c r="AW2" s="4" t="s">
        <v>332</v>
      </c>
      <c r="BC2" s="4" t="s">
        <v>333</v>
      </c>
    </row>
    <row r="3" spans="1:59" x14ac:dyDescent="0.25">
      <c r="A3">
        <v>259</v>
      </c>
      <c r="B3" t="s">
        <v>35</v>
      </c>
      <c r="C3">
        <v>3</v>
      </c>
      <c r="D3" t="s">
        <v>36</v>
      </c>
      <c r="E3">
        <v>1</v>
      </c>
      <c r="F3" t="s">
        <v>37</v>
      </c>
      <c r="G3">
        <v>1</v>
      </c>
      <c r="H3">
        <v>2</v>
      </c>
      <c r="I3">
        <v>1</v>
      </c>
      <c r="J3">
        <v>2</v>
      </c>
      <c r="K3">
        <v>6</v>
      </c>
      <c r="L3">
        <v>38</v>
      </c>
      <c r="M3">
        <v>2</v>
      </c>
      <c r="N3" t="s">
        <v>48</v>
      </c>
      <c r="O3" t="s">
        <v>39</v>
      </c>
      <c r="P3" t="s">
        <v>49</v>
      </c>
      <c r="Q3" t="s">
        <v>50</v>
      </c>
      <c r="R3" t="s">
        <v>51</v>
      </c>
      <c r="S3" t="s">
        <v>52</v>
      </c>
      <c r="T3" t="s">
        <v>53</v>
      </c>
      <c r="U3">
        <v>2</v>
      </c>
      <c r="V3" t="s">
        <v>54</v>
      </c>
      <c r="W3" t="s">
        <v>55</v>
      </c>
      <c r="X3" t="s">
        <v>56</v>
      </c>
      <c r="Y3">
        <v>1</v>
      </c>
      <c r="Z3">
        <v>1</v>
      </c>
      <c r="AA3">
        <v>48</v>
      </c>
      <c r="AB3">
        <v>4.0000000000000001E-3</v>
      </c>
      <c r="AC3" t="s">
        <v>53</v>
      </c>
      <c r="AD3">
        <v>1</v>
      </c>
      <c r="AE3">
        <v>2</v>
      </c>
      <c r="AF3">
        <v>1</v>
      </c>
      <c r="AG3">
        <v>3.1819999999999999</v>
      </c>
      <c r="AH3">
        <v>1.35</v>
      </c>
      <c r="AI3">
        <v>0</v>
      </c>
      <c r="AJ3">
        <v>1.3049900000000001</v>
      </c>
      <c r="AK3">
        <v>1.3049999999999999</v>
      </c>
      <c r="AL3">
        <f t="shared" ref="AL3:AL66" si="0">IF(ISNUMBER(AK3), AK3, IF(AND(AK3="",AJ3=""),"",IF(AK3="",AJ3,"")))</f>
        <v>1.3049999999999999</v>
      </c>
      <c r="AM3">
        <f>VLOOKUP(TRIM(N3),'[1]All - Durations'!$E$2:$H$109,4,FALSE)</f>
        <v>0.92200000000000004</v>
      </c>
      <c r="AN3">
        <f t="shared" ref="AN3:AN66" si="1">AL3-AM3</f>
        <v>0.3829999999999999</v>
      </c>
      <c r="AO3">
        <f t="shared" ref="AO3:AO66" si="2">IF(ISNUMBER(AN3), AN3, "")</f>
        <v>0.3829999999999999</v>
      </c>
      <c r="AP3" s="1"/>
      <c r="AQ3" s="3" t="s">
        <v>334</v>
      </c>
      <c r="AR3" s="1"/>
      <c r="AS3" s="5" t="s">
        <v>335</v>
      </c>
      <c r="AT3" s="5" t="s">
        <v>336</v>
      </c>
      <c r="AU3" s="5" t="s">
        <v>337</v>
      </c>
      <c r="AW3" s="7" t="s">
        <v>335</v>
      </c>
      <c r="AX3" t="s">
        <v>338</v>
      </c>
      <c r="AY3" t="s">
        <v>339</v>
      </c>
      <c r="AZ3" t="s">
        <v>340</v>
      </c>
      <c r="BA3" t="s">
        <v>341</v>
      </c>
      <c r="BC3" s="7" t="s">
        <v>335</v>
      </c>
      <c r="BD3" t="s">
        <v>342</v>
      </c>
      <c r="BE3" t="s">
        <v>343</v>
      </c>
      <c r="BF3" t="s">
        <v>340</v>
      </c>
      <c r="BG3" t="s">
        <v>344</v>
      </c>
    </row>
    <row r="4" spans="1:59" x14ac:dyDescent="0.25">
      <c r="A4">
        <v>259</v>
      </c>
      <c r="B4" t="s">
        <v>35</v>
      </c>
      <c r="C4">
        <v>3</v>
      </c>
      <c r="D4" t="s">
        <v>36</v>
      </c>
      <c r="E4">
        <v>1</v>
      </c>
      <c r="F4" t="s">
        <v>37</v>
      </c>
      <c r="G4">
        <v>1</v>
      </c>
      <c r="H4">
        <v>2</v>
      </c>
      <c r="I4">
        <v>1</v>
      </c>
      <c r="J4">
        <v>3</v>
      </c>
      <c r="K4">
        <v>1</v>
      </c>
      <c r="L4">
        <v>47</v>
      </c>
      <c r="M4">
        <v>2</v>
      </c>
      <c r="N4" t="s">
        <v>57</v>
      </c>
      <c r="O4" t="s">
        <v>39</v>
      </c>
      <c r="P4" t="s">
        <v>40</v>
      </c>
      <c r="Q4" t="s">
        <v>41</v>
      </c>
      <c r="R4" t="s">
        <v>58</v>
      </c>
      <c r="S4" t="s">
        <v>59</v>
      </c>
      <c r="T4" t="s">
        <v>60</v>
      </c>
      <c r="U4">
        <v>2</v>
      </c>
      <c r="V4" t="s">
        <v>44</v>
      </c>
      <c r="W4" t="s">
        <v>61</v>
      </c>
      <c r="X4" t="s">
        <v>62</v>
      </c>
      <c r="Y4">
        <v>1</v>
      </c>
      <c r="Z4">
        <v>1</v>
      </c>
      <c r="AA4">
        <v>48</v>
      </c>
      <c r="AB4">
        <v>4.0000000000000001E-3</v>
      </c>
      <c r="AC4" t="s">
        <v>61</v>
      </c>
      <c r="AD4">
        <v>4</v>
      </c>
      <c r="AE4">
        <v>5</v>
      </c>
      <c r="AF4">
        <v>0</v>
      </c>
      <c r="AG4">
        <v>2.456</v>
      </c>
      <c r="AH4">
        <v>0.93300000000000005</v>
      </c>
      <c r="AI4">
        <v>0</v>
      </c>
      <c r="AJ4">
        <v>1.50499</v>
      </c>
      <c r="AK4">
        <v>1.5049999999999999</v>
      </c>
      <c r="AL4">
        <f t="shared" si="0"/>
        <v>1.5049999999999999</v>
      </c>
      <c r="AM4">
        <f>VLOOKUP(TRIM(N4),'[1]All - Durations'!$E$2:$H$109,4,FALSE)</f>
        <v>0.93600000000000005</v>
      </c>
      <c r="AN4">
        <f t="shared" si="1"/>
        <v>0.56899999999999984</v>
      </c>
      <c r="AO4">
        <f t="shared" si="2"/>
        <v>0.56899999999999984</v>
      </c>
      <c r="AP4" s="8" t="s">
        <v>39</v>
      </c>
      <c r="AQ4" s="9"/>
      <c r="AR4" s="10" t="s">
        <v>345</v>
      </c>
      <c r="AS4" s="11">
        <f>SUMIFS($AF:$AF,$G:$G,1,$O:$O,$AP$4)/24</f>
        <v>0.20833333333333334</v>
      </c>
      <c r="AT4" s="11">
        <f>SUMIFS($AF:$AF,$G:$G,1,$O:$O,$AP$5)/24</f>
        <v>0.16666666666666666</v>
      </c>
      <c r="AU4" s="11">
        <f>SUMIFS($AF:$AF,$G:$G,1,$O:$O,$AP$6)/24</f>
        <v>0.20833333333333334</v>
      </c>
      <c r="AV4" s="9"/>
      <c r="AW4" s="10" t="s">
        <v>345</v>
      </c>
      <c r="AX4" s="11">
        <f>COUNTIFS($G:$G,1,$O:$O,$AP$4,$Y:$Y,1,$AF:$AF,1)/12</f>
        <v>0.16666666666666666</v>
      </c>
      <c r="AY4" s="11">
        <f>COUNTIFS($G:$G,1,$O:$O,$AP$4,$AD:$AD,2)/12</f>
        <v>0.33333333333333331</v>
      </c>
      <c r="AZ4" s="11">
        <f>(1-BA4)/2</f>
        <v>0.25</v>
      </c>
      <c r="BA4" s="11">
        <f t="shared" ref="BA4:BA11" si="3">SUM(AX4,AY4)</f>
        <v>0.5</v>
      </c>
      <c r="BB4" s="9"/>
      <c r="BC4" s="10" t="s">
        <v>345</v>
      </c>
      <c r="BD4" s="11">
        <f>COUNTIFS($G:$G,1,$O:$O,$AP$4,$Y:$Y,2,$AF:$AF,1)/12</f>
        <v>0.25</v>
      </c>
      <c r="BE4" s="11">
        <f>COUNTIFS($G:$G,1,$O:$O,$AP$4,$AD:$AD,3)/12</f>
        <v>0.16666666666666666</v>
      </c>
      <c r="BF4" s="11">
        <f>(1-BG4)/2</f>
        <v>0.29166666666666669</v>
      </c>
      <c r="BG4" s="11">
        <f t="shared" ref="BG4:BG11" si="4">SUM(BD4,BE4)</f>
        <v>0.41666666666666663</v>
      </c>
    </row>
    <row r="5" spans="1:59" x14ac:dyDescent="0.25">
      <c r="A5">
        <v>259</v>
      </c>
      <c r="B5" t="s">
        <v>35</v>
      </c>
      <c r="C5">
        <v>3</v>
      </c>
      <c r="D5" t="s">
        <v>36</v>
      </c>
      <c r="E5">
        <v>1</v>
      </c>
      <c r="F5" t="s">
        <v>37</v>
      </c>
      <c r="G5">
        <v>1</v>
      </c>
      <c r="H5">
        <v>2</v>
      </c>
      <c r="I5">
        <v>1</v>
      </c>
      <c r="J5">
        <v>4</v>
      </c>
      <c r="K5">
        <v>7</v>
      </c>
      <c r="L5">
        <v>39</v>
      </c>
      <c r="M5">
        <v>2</v>
      </c>
      <c r="N5" t="s">
        <v>63</v>
      </c>
      <c r="O5" t="s">
        <v>39</v>
      </c>
      <c r="P5" t="s">
        <v>64</v>
      </c>
      <c r="Q5" t="s">
        <v>65</v>
      </c>
      <c r="R5" t="s">
        <v>58</v>
      </c>
      <c r="S5" t="s">
        <v>59</v>
      </c>
      <c r="T5" t="s">
        <v>66</v>
      </c>
      <c r="U5">
        <v>5</v>
      </c>
      <c r="V5" t="s">
        <v>67</v>
      </c>
      <c r="W5" t="s">
        <v>68</v>
      </c>
      <c r="X5" t="s">
        <v>69</v>
      </c>
      <c r="Y5">
        <v>1</v>
      </c>
      <c r="Z5">
        <v>1</v>
      </c>
      <c r="AA5">
        <v>48</v>
      </c>
      <c r="AB5">
        <v>2E-3</v>
      </c>
      <c r="AC5" t="s">
        <v>68</v>
      </c>
      <c r="AD5">
        <v>4</v>
      </c>
      <c r="AE5">
        <v>4</v>
      </c>
      <c r="AF5">
        <v>0</v>
      </c>
      <c r="AG5">
        <v>3.2850000000000001</v>
      </c>
      <c r="AH5">
        <v>0.98299999999999998</v>
      </c>
      <c r="AI5">
        <v>0</v>
      </c>
      <c r="AJ5">
        <v>1.3449899999999999</v>
      </c>
      <c r="AK5">
        <v>1.345</v>
      </c>
      <c r="AL5">
        <f t="shared" si="0"/>
        <v>1.345</v>
      </c>
      <c r="AM5">
        <f>VLOOKUP(TRIM(N5),'[1]All - Durations'!$E$2:$H$109,4,FALSE)</f>
        <v>0.96399999999999997</v>
      </c>
      <c r="AN5">
        <f t="shared" si="1"/>
        <v>0.38100000000000001</v>
      </c>
      <c r="AO5">
        <f t="shared" si="2"/>
        <v>0.38100000000000001</v>
      </c>
      <c r="AP5" s="8" t="s">
        <v>151</v>
      </c>
      <c r="AQ5" s="9"/>
      <c r="AR5" s="10" t="s">
        <v>346</v>
      </c>
      <c r="AS5" s="11">
        <f>SUMIFS($AF:$AF,$G:$G,2,$O:$O,$AP$4)/24</f>
        <v>0.16666666666666666</v>
      </c>
      <c r="AT5" s="11">
        <f>SUMIFS($AF:$AF,$G:$G,2,$O:$O,$AP$5)/24</f>
        <v>0.33333333333333331</v>
      </c>
      <c r="AU5" s="11">
        <f>SUMIFS($AF:$AF,$G:$G,2,$O:$O,$AP$6)/24</f>
        <v>0.29166666666666669</v>
      </c>
      <c r="AV5" s="9"/>
      <c r="AW5" s="10" t="s">
        <v>346</v>
      </c>
      <c r="AX5" s="11">
        <f>COUNTIFS($G:$G,2,$O:$O,$AP$4,$Y:$Y,1,$AF:$AF,1)/12</f>
        <v>0.16666666666666666</v>
      </c>
      <c r="AY5" s="11">
        <f>COUNTIFS($G:$G,2,$O:$O,$AP$4,$AD:$AD,2)/12</f>
        <v>0.5</v>
      </c>
      <c r="AZ5" s="11">
        <f t="shared" ref="AZ5:AZ12" si="5">(1-BA5)/2</f>
        <v>0.16666666666666669</v>
      </c>
      <c r="BA5" s="11">
        <f t="shared" si="3"/>
        <v>0.66666666666666663</v>
      </c>
      <c r="BB5" s="9"/>
      <c r="BC5" s="10" t="s">
        <v>346</v>
      </c>
      <c r="BD5" s="11">
        <f>COUNTIFS($G:$G,2,$O:$O,$AP$4,$Y:$Y,2,$AF:$AF,1)/12</f>
        <v>0.16666666666666666</v>
      </c>
      <c r="BE5" s="11">
        <f>COUNTIFS($G:$G,2,$O:$O,$AP$4,$AD:$AD,3)/12</f>
        <v>0.41666666666666669</v>
      </c>
      <c r="BF5" s="11">
        <f t="shared" ref="BF5:BF12" si="6">(1-BG5)/2</f>
        <v>0.20833333333333331</v>
      </c>
      <c r="BG5" s="11">
        <f t="shared" si="4"/>
        <v>0.58333333333333337</v>
      </c>
    </row>
    <row r="6" spans="1:59" x14ac:dyDescent="0.25">
      <c r="A6">
        <v>259</v>
      </c>
      <c r="B6" t="s">
        <v>35</v>
      </c>
      <c r="C6">
        <v>3</v>
      </c>
      <c r="D6" t="s">
        <v>36</v>
      </c>
      <c r="E6">
        <v>1</v>
      </c>
      <c r="F6" t="s">
        <v>37</v>
      </c>
      <c r="G6">
        <v>1</v>
      </c>
      <c r="H6">
        <v>2</v>
      </c>
      <c r="I6">
        <v>1</v>
      </c>
      <c r="J6">
        <v>5</v>
      </c>
      <c r="K6">
        <v>3</v>
      </c>
      <c r="L6">
        <v>1</v>
      </c>
      <c r="M6">
        <v>1</v>
      </c>
      <c r="N6" t="s">
        <v>70</v>
      </c>
      <c r="O6" t="s">
        <v>39</v>
      </c>
      <c r="P6" t="s">
        <v>71</v>
      </c>
      <c r="Q6" t="s">
        <v>72</v>
      </c>
      <c r="R6" t="s">
        <v>58</v>
      </c>
      <c r="S6" t="s">
        <v>59</v>
      </c>
      <c r="T6" t="s">
        <v>73</v>
      </c>
      <c r="U6">
        <v>5</v>
      </c>
      <c r="V6" t="s">
        <v>60</v>
      </c>
      <c r="W6" t="s">
        <v>74</v>
      </c>
      <c r="X6" t="s">
        <v>75</v>
      </c>
      <c r="Y6">
        <v>2</v>
      </c>
      <c r="Z6">
        <v>1</v>
      </c>
      <c r="AA6">
        <v>48</v>
      </c>
      <c r="AB6">
        <v>4.0000000000000001E-3</v>
      </c>
      <c r="AC6" t="s">
        <v>75</v>
      </c>
      <c r="AD6">
        <v>4</v>
      </c>
      <c r="AE6">
        <v>2</v>
      </c>
      <c r="AF6">
        <v>0</v>
      </c>
      <c r="AG6">
        <v>3.2040000000000002</v>
      </c>
      <c r="AH6">
        <v>0.71699999999999997</v>
      </c>
      <c r="AI6">
        <v>0</v>
      </c>
      <c r="AJ6">
        <v>1.3249899999999999</v>
      </c>
      <c r="AK6">
        <v>1.325</v>
      </c>
      <c r="AL6">
        <f t="shared" si="0"/>
        <v>1.325</v>
      </c>
      <c r="AM6">
        <f>VLOOKUP(TRIM(N6),'[1]All - Durations'!$E$2:$H$109,4,FALSE)</f>
        <v>0.94799999999999995</v>
      </c>
      <c r="AN6">
        <f t="shared" si="1"/>
        <v>0.377</v>
      </c>
      <c r="AO6">
        <f t="shared" si="2"/>
        <v>0.377</v>
      </c>
      <c r="AP6" s="8" t="s">
        <v>113</v>
      </c>
      <c r="AQ6" s="9"/>
      <c r="AR6" s="2" t="s">
        <v>347</v>
      </c>
      <c r="AS6" s="11">
        <f>SUMIFS($AF:$AF,$G:$G,3,$O:$O,$AP$4)/24</f>
        <v>0.29166666666666669</v>
      </c>
      <c r="AT6" s="11">
        <f>SUMIFS($AF:$AF,$G:$G,3,$O:$O,$AP$5)/24</f>
        <v>0.45833333333333331</v>
      </c>
      <c r="AU6" s="11">
        <f>SUMIFS($AF:$AF,$G:$G,3,$O:$O,$AP$6)/24</f>
        <v>0.29166666666666669</v>
      </c>
      <c r="AV6" s="9"/>
      <c r="AW6" s="2" t="s">
        <v>347</v>
      </c>
      <c r="AX6" s="11">
        <f>COUNTIFS($G:$G,3,$O:$O,$AP$4,$Y:$Y,1,$AF:$AF,1)/12</f>
        <v>0.16666666666666666</v>
      </c>
      <c r="AY6" s="11">
        <f>COUNTIFS($G:$G,3,$O:$O,$AP$4,$AD:$AD,2)/12</f>
        <v>0.25</v>
      </c>
      <c r="AZ6" s="11">
        <f t="shared" si="5"/>
        <v>0.29166666666666669</v>
      </c>
      <c r="BA6" s="11">
        <f t="shared" si="3"/>
        <v>0.41666666666666663</v>
      </c>
      <c r="BB6" s="9"/>
      <c r="BC6" s="2" t="s">
        <v>347</v>
      </c>
      <c r="BD6" s="11">
        <f>COUNTIFS($G:$G,3,$O:$O,$AP$4,$Y:$Y,2,$AF:$AF,1)/12</f>
        <v>0.41666666666666669</v>
      </c>
      <c r="BE6" s="11">
        <f>COUNTIFS($G:$G,3,$O:$O,$AP$4,$AD:$AD,3)/12</f>
        <v>0.25</v>
      </c>
      <c r="BF6" s="11">
        <f t="shared" si="6"/>
        <v>0.16666666666666663</v>
      </c>
      <c r="BG6" s="11">
        <f t="shared" si="4"/>
        <v>0.66666666666666674</v>
      </c>
    </row>
    <row r="7" spans="1:59" x14ac:dyDescent="0.25">
      <c r="A7">
        <v>259</v>
      </c>
      <c r="B7" t="s">
        <v>35</v>
      </c>
      <c r="C7">
        <v>3</v>
      </c>
      <c r="D7" t="s">
        <v>36</v>
      </c>
      <c r="E7">
        <v>1</v>
      </c>
      <c r="F7" t="s">
        <v>37</v>
      </c>
      <c r="G7">
        <v>1</v>
      </c>
      <c r="H7">
        <v>2</v>
      </c>
      <c r="I7">
        <v>1</v>
      </c>
      <c r="J7">
        <v>6</v>
      </c>
      <c r="K7">
        <v>12</v>
      </c>
      <c r="L7">
        <v>44</v>
      </c>
      <c r="M7">
        <v>2</v>
      </c>
      <c r="N7" t="s">
        <v>76</v>
      </c>
      <c r="O7" t="s">
        <v>39</v>
      </c>
      <c r="P7" t="s">
        <v>77</v>
      </c>
      <c r="Q7" t="s">
        <v>78</v>
      </c>
      <c r="R7" t="s">
        <v>51</v>
      </c>
      <c r="S7" t="s">
        <v>52</v>
      </c>
      <c r="T7" t="s">
        <v>79</v>
      </c>
      <c r="U7">
        <v>5</v>
      </c>
      <c r="V7" t="s">
        <v>80</v>
      </c>
      <c r="W7" t="s">
        <v>81</v>
      </c>
      <c r="X7" t="s">
        <v>82</v>
      </c>
      <c r="Y7">
        <v>1</v>
      </c>
      <c r="Z7">
        <v>1</v>
      </c>
      <c r="AA7">
        <v>48</v>
      </c>
      <c r="AB7">
        <v>4.0000000000000001E-3</v>
      </c>
      <c r="AC7" t="s">
        <v>83</v>
      </c>
      <c r="AD7">
        <v>0</v>
      </c>
      <c r="AE7">
        <v>0</v>
      </c>
      <c r="AF7">
        <v>0</v>
      </c>
      <c r="AG7">
        <v>-1</v>
      </c>
      <c r="AH7">
        <v>0.6</v>
      </c>
      <c r="AI7">
        <v>0</v>
      </c>
      <c r="AJ7">
        <v>4.4990000000000002E-2</v>
      </c>
      <c r="AK7">
        <v>1.1539999999999999</v>
      </c>
      <c r="AL7">
        <f t="shared" si="0"/>
        <v>1.1539999999999999</v>
      </c>
      <c r="AM7">
        <f>VLOOKUP(TRIM(N7),'[1]All - Durations'!$E$2:$H$109,4,FALSE)</f>
        <v>0.999</v>
      </c>
      <c r="AN7">
        <f t="shared" si="1"/>
        <v>0.15499999999999992</v>
      </c>
      <c r="AO7">
        <f t="shared" si="2"/>
        <v>0.15499999999999992</v>
      </c>
      <c r="AP7" s="8"/>
      <c r="AQ7" s="9"/>
      <c r="AR7" s="2" t="s">
        <v>348</v>
      </c>
      <c r="AS7" s="11">
        <f>SUMIFS($AF:$AF,$G:$G,4,$O:$O,$AP$4)/24</f>
        <v>0.41666666666666669</v>
      </c>
      <c r="AT7" s="11">
        <f>SUMIFS($AF:$AF,$G:$G,4,$O:$O,$AP$5)/24</f>
        <v>0.625</v>
      </c>
      <c r="AU7" s="11">
        <f>SUMIFS($AF:$AF,$G:$G,4,$O:$O,$AP$6)/24</f>
        <v>0.5</v>
      </c>
      <c r="AV7" s="9"/>
      <c r="AW7" s="2" t="s">
        <v>348</v>
      </c>
      <c r="AX7" s="11">
        <f>COUNTIFS($G:$G,4,$O:$O,$AP$4,$Y:$Y,1,$AF:$AF,1)/12</f>
        <v>0.33333333333333331</v>
      </c>
      <c r="AY7" s="11">
        <f>COUNTIFS($G:$G,4,$O:$O,$AP$4,$AD:$AD,2)/12</f>
        <v>0.33333333333333331</v>
      </c>
      <c r="AZ7" s="11">
        <f t="shared" si="5"/>
        <v>0.16666666666666669</v>
      </c>
      <c r="BA7" s="11">
        <f t="shared" si="3"/>
        <v>0.66666666666666663</v>
      </c>
      <c r="BB7" s="9"/>
      <c r="BC7" s="2" t="s">
        <v>348</v>
      </c>
      <c r="BD7" s="11">
        <f>COUNTIFS($G:$G,4,$O:$O,$AP$4,$Y:$Y,2,$AF:$AF,1)/12</f>
        <v>0.5</v>
      </c>
      <c r="BE7" s="11">
        <f>COUNTIFS($G:$G,4,$O:$O,$AP$4,$AD:$AD,3)/12</f>
        <v>0.33333333333333331</v>
      </c>
      <c r="BF7" s="11">
        <f t="shared" si="6"/>
        <v>8.333333333333337E-2</v>
      </c>
      <c r="BG7" s="11">
        <f t="shared" si="4"/>
        <v>0.83333333333333326</v>
      </c>
    </row>
    <row r="8" spans="1:59" x14ac:dyDescent="0.25">
      <c r="A8">
        <v>259</v>
      </c>
      <c r="B8" t="s">
        <v>35</v>
      </c>
      <c r="C8">
        <v>3</v>
      </c>
      <c r="D8" t="s">
        <v>36</v>
      </c>
      <c r="E8">
        <v>1</v>
      </c>
      <c r="F8" t="s">
        <v>37</v>
      </c>
      <c r="G8">
        <v>1</v>
      </c>
      <c r="H8">
        <v>2</v>
      </c>
      <c r="I8">
        <v>1</v>
      </c>
      <c r="J8">
        <v>7</v>
      </c>
      <c r="K8">
        <v>8</v>
      </c>
      <c r="L8">
        <v>40</v>
      </c>
      <c r="M8">
        <v>2</v>
      </c>
      <c r="N8" t="s">
        <v>84</v>
      </c>
      <c r="O8" t="s">
        <v>39</v>
      </c>
      <c r="P8" t="s">
        <v>64</v>
      </c>
      <c r="Q8" t="s">
        <v>65</v>
      </c>
      <c r="R8" t="s">
        <v>42</v>
      </c>
      <c r="S8" t="s">
        <v>43</v>
      </c>
      <c r="T8" t="s">
        <v>67</v>
      </c>
      <c r="U8">
        <v>2</v>
      </c>
      <c r="V8" t="s">
        <v>85</v>
      </c>
      <c r="W8" t="s">
        <v>86</v>
      </c>
      <c r="X8" t="s">
        <v>87</v>
      </c>
      <c r="Y8">
        <v>2</v>
      </c>
      <c r="Z8">
        <v>1</v>
      </c>
      <c r="AA8">
        <v>48</v>
      </c>
      <c r="AB8">
        <v>3.0000000000000001E-3</v>
      </c>
      <c r="AC8" t="s">
        <v>86</v>
      </c>
      <c r="AD8">
        <v>4</v>
      </c>
      <c r="AE8">
        <v>1</v>
      </c>
      <c r="AF8">
        <v>0</v>
      </c>
      <c r="AG8">
        <v>2.3370000000000002</v>
      </c>
      <c r="AH8">
        <v>1.45</v>
      </c>
      <c r="AI8">
        <v>0</v>
      </c>
      <c r="AJ8">
        <v>3.499E-2</v>
      </c>
      <c r="AK8">
        <v>1.155</v>
      </c>
      <c r="AL8">
        <f t="shared" si="0"/>
        <v>1.155</v>
      </c>
      <c r="AM8">
        <f>VLOOKUP(TRIM(N8),'[1]All - Durations'!$E$2:$H$109,4,FALSE)</f>
        <v>1.1020000000000001</v>
      </c>
      <c r="AN8">
        <f t="shared" si="1"/>
        <v>5.2999999999999936E-2</v>
      </c>
      <c r="AO8">
        <f t="shared" si="2"/>
        <v>5.2999999999999936E-2</v>
      </c>
      <c r="AP8" s="8"/>
      <c r="AQ8" s="9"/>
      <c r="AR8" s="2" t="s">
        <v>349</v>
      </c>
      <c r="AS8" s="11">
        <f>SUMIFS($AF:$AF,$G:$G,5,$O:$O,$AP$4)/24</f>
        <v>0.29166666666666669</v>
      </c>
      <c r="AT8" s="11">
        <f>SUMIFS($AF:$AF,$G:$G,5,$O:$O,$AP$5)/24</f>
        <v>0.54166666666666663</v>
      </c>
      <c r="AU8" s="11">
        <f>SUMIFS($AF:$AF,$G:$G,5,$O:$O,$AP$6)/24</f>
        <v>0.54166666666666663</v>
      </c>
      <c r="AV8" s="9"/>
      <c r="AW8" s="2" t="s">
        <v>349</v>
      </c>
      <c r="AX8" s="11">
        <f>COUNTIFS($G:$G,5,$O:$O,$AP$4,$Y:$Y,1,$AF:$AF,1)/12</f>
        <v>0.25</v>
      </c>
      <c r="AY8" s="11">
        <f>COUNTIFS($G:$G,5,$O:$O,$AP$4,$AD:$AD,2)/12</f>
        <v>0.5</v>
      </c>
      <c r="AZ8" s="11">
        <f t="shared" si="5"/>
        <v>0.125</v>
      </c>
      <c r="BA8" s="11">
        <f t="shared" si="3"/>
        <v>0.75</v>
      </c>
      <c r="BB8" s="9"/>
      <c r="BC8" s="2" t="s">
        <v>349</v>
      </c>
      <c r="BD8" s="11">
        <f>COUNTIFS($G:$G,5,$O:$O,$AP$4,$Y:$Y,2,$AF:$AF,1)/12</f>
        <v>0.33333333333333331</v>
      </c>
      <c r="BE8" s="11">
        <f>COUNTIFS($G:$G,5,$O:$O,$AP$4,$AD:$AD,3)/12</f>
        <v>0.25</v>
      </c>
      <c r="BF8" s="11">
        <f t="shared" si="6"/>
        <v>0.20833333333333337</v>
      </c>
      <c r="BG8" s="11">
        <f t="shared" si="4"/>
        <v>0.58333333333333326</v>
      </c>
    </row>
    <row r="9" spans="1:59" x14ac:dyDescent="0.25">
      <c r="A9">
        <v>259</v>
      </c>
      <c r="B9" t="s">
        <v>35</v>
      </c>
      <c r="C9">
        <v>3</v>
      </c>
      <c r="D9" t="s">
        <v>36</v>
      </c>
      <c r="E9">
        <v>1</v>
      </c>
      <c r="F9" t="s">
        <v>37</v>
      </c>
      <c r="G9">
        <v>1</v>
      </c>
      <c r="H9">
        <v>2</v>
      </c>
      <c r="I9">
        <v>1</v>
      </c>
      <c r="J9">
        <v>8</v>
      </c>
      <c r="K9">
        <v>9</v>
      </c>
      <c r="L9">
        <v>3</v>
      </c>
      <c r="M9">
        <v>1</v>
      </c>
      <c r="N9" t="s">
        <v>88</v>
      </c>
      <c r="O9" t="s">
        <v>39</v>
      </c>
      <c r="P9" t="s">
        <v>89</v>
      </c>
      <c r="Q9" t="s">
        <v>90</v>
      </c>
      <c r="R9" t="s">
        <v>91</v>
      </c>
      <c r="S9" t="s">
        <v>92</v>
      </c>
      <c r="T9" t="s">
        <v>93</v>
      </c>
      <c r="U9">
        <v>2</v>
      </c>
      <c r="V9" t="s">
        <v>94</v>
      </c>
      <c r="W9" t="s">
        <v>95</v>
      </c>
      <c r="X9" t="s">
        <v>96</v>
      </c>
      <c r="Y9">
        <v>2</v>
      </c>
      <c r="Z9">
        <v>1</v>
      </c>
      <c r="AA9">
        <v>48</v>
      </c>
      <c r="AB9">
        <v>2E-3</v>
      </c>
      <c r="AC9" t="s">
        <v>93</v>
      </c>
      <c r="AD9">
        <v>1</v>
      </c>
      <c r="AE9">
        <v>2</v>
      </c>
      <c r="AF9">
        <v>1</v>
      </c>
      <c r="AG9">
        <v>2.34</v>
      </c>
      <c r="AH9">
        <v>0.91600000000000004</v>
      </c>
      <c r="AI9">
        <v>0</v>
      </c>
      <c r="AJ9">
        <v>1.3749899999999999</v>
      </c>
      <c r="AK9">
        <v>1.375</v>
      </c>
      <c r="AL9">
        <f t="shared" si="0"/>
        <v>1.375</v>
      </c>
      <c r="AM9">
        <f>VLOOKUP(TRIM(N9),'[1]All - Durations'!$E$2:$H$109,4,FALSE)</f>
        <v>0.89200000000000002</v>
      </c>
      <c r="AN9">
        <f t="shared" si="1"/>
        <v>0.48299999999999998</v>
      </c>
      <c r="AO9">
        <f t="shared" si="2"/>
        <v>0.48299999999999998</v>
      </c>
      <c r="AP9" s="8"/>
      <c r="AQ9" s="9"/>
      <c r="AR9" s="2" t="s">
        <v>350</v>
      </c>
      <c r="AS9" s="11">
        <f>SUMIFS($AF:$AF,$G:$G,6,$O:$O,$AP$4)/24</f>
        <v>0.54166666666666663</v>
      </c>
      <c r="AT9" s="11">
        <f>SUMIFS($AF:$AF,$G:$G,6,$O:$O,$AP$5)/24</f>
        <v>0.5</v>
      </c>
      <c r="AU9" s="11">
        <f>SUMIFS($AF:$AF,$G:$G,6,$O:$O,$AP$6)/24</f>
        <v>0.54166666666666663</v>
      </c>
      <c r="AV9" s="9"/>
      <c r="AW9" s="2" t="s">
        <v>350</v>
      </c>
      <c r="AX9" s="11">
        <f>COUNTIFS($G:$G,6,$O:$O,$AP$4,$Y:$Y,1,$AF:$AF,1)/12</f>
        <v>0.58333333333333337</v>
      </c>
      <c r="AY9" s="11">
        <f>COUNTIFS($G:$G,6,$O:$O,$AP$4,$AD:$AD,2)/12</f>
        <v>0.16666666666666666</v>
      </c>
      <c r="AZ9" s="11">
        <f t="shared" si="5"/>
        <v>0.125</v>
      </c>
      <c r="BA9" s="11">
        <f t="shared" si="3"/>
        <v>0.75</v>
      </c>
      <c r="BB9" s="9"/>
      <c r="BC9" s="2" t="s">
        <v>350</v>
      </c>
      <c r="BD9" s="11">
        <f>COUNTIFS($G:$G,6,$O:$O,$AP$4,$Y:$Y,2,$AF:$AF,1)/12</f>
        <v>0.5</v>
      </c>
      <c r="BE9" s="11">
        <f>COUNTIFS($G:$G,6,$O:$O,$AP$4,$AD:$AD,3)/12</f>
        <v>0.41666666666666669</v>
      </c>
      <c r="BF9" s="11">
        <f t="shared" si="6"/>
        <v>4.166666666666663E-2</v>
      </c>
      <c r="BG9" s="11">
        <f t="shared" si="4"/>
        <v>0.91666666666666674</v>
      </c>
    </row>
    <row r="10" spans="1:59" x14ac:dyDescent="0.25">
      <c r="A10">
        <v>259</v>
      </c>
      <c r="B10" t="s">
        <v>35</v>
      </c>
      <c r="C10">
        <v>3</v>
      </c>
      <c r="D10" t="s">
        <v>36</v>
      </c>
      <c r="E10">
        <v>1</v>
      </c>
      <c r="F10" t="s">
        <v>37</v>
      </c>
      <c r="G10">
        <v>1</v>
      </c>
      <c r="H10">
        <v>2</v>
      </c>
      <c r="I10">
        <v>1</v>
      </c>
      <c r="J10">
        <v>9</v>
      </c>
      <c r="K10">
        <v>5</v>
      </c>
      <c r="L10">
        <v>37</v>
      </c>
      <c r="M10">
        <v>2</v>
      </c>
      <c r="N10" t="s">
        <v>97</v>
      </c>
      <c r="O10" t="s">
        <v>39</v>
      </c>
      <c r="P10" t="s">
        <v>49</v>
      </c>
      <c r="Q10" t="s">
        <v>50</v>
      </c>
      <c r="R10" t="s">
        <v>91</v>
      </c>
      <c r="S10" t="s">
        <v>92</v>
      </c>
      <c r="T10" t="s">
        <v>54</v>
      </c>
      <c r="U10">
        <v>5</v>
      </c>
      <c r="V10" t="s">
        <v>98</v>
      </c>
      <c r="W10" t="s">
        <v>99</v>
      </c>
      <c r="X10" t="s">
        <v>100</v>
      </c>
      <c r="Y10">
        <v>2</v>
      </c>
      <c r="Z10">
        <v>1</v>
      </c>
      <c r="AA10">
        <v>48</v>
      </c>
      <c r="AB10">
        <v>4.0000000000000001E-3</v>
      </c>
      <c r="AC10" t="s">
        <v>100</v>
      </c>
      <c r="AD10">
        <v>4</v>
      </c>
      <c r="AE10">
        <v>4</v>
      </c>
      <c r="AF10">
        <v>0</v>
      </c>
      <c r="AG10">
        <v>2.3530000000000002</v>
      </c>
      <c r="AH10">
        <v>1.3160000000000001</v>
      </c>
      <c r="AI10">
        <v>0</v>
      </c>
      <c r="AJ10">
        <v>3.499E-2</v>
      </c>
      <c r="AK10">
        <v>1.2250000000000001</v>
      </c>
      <c r="AL10">
        <f t="shared" si="0"/>
        <v>1.2250000000000001</v>
      </c>
      <c r="AM10">
        <f>VLOOKUP(TRIM(N10),'[1]All - Durations'!$E$2:$H$109,4,FALSE)</f>
        <v>0.74</v>
      </c>
      <c r="AN10">
        <f t="shared" si="1"/>
        <v>0.4850000000000001</v>
      </c>
      <c r="AO10">
        <f t="shared" si="2"/>
        <v>0.4850000000000001</v>
      </c>
      <c r="AP10" s="8"/>
      <c r="AQ10" s="9"/>
      <c r="AR10" s="2" t="s">
        <v>351</v>
      </c>
      <c r="AS10" s="11">
        <f>SUMIFS($AF:$AF,$G:$G,7,$O:$O,$AP$4)/24</f>
        <v>0.45833333333333331</v>
      </c>
      <c r="AT10" s="11">
        <f>SUMIFS($AF:$AF,$G:$G,7,$O:$O,$AP$5)/24</f>
        <v>0.41666666666666669</v>
      </c>
      <c r="AU10" s="11">
        <f>SUMIFS($AF:$AF,$G:$G,7,$O:$O,$AP$6)/24</f>
        <v>0.41666666666666669</v>
      </c>
      <c r="AV10" s="9"/>
      <c r="AW10" s="2" t="s">
        <v>351</v>
      </c>
      <c r="AX10" s="11">
        <f>COUNTIFS($G:$G,7,$O:$O,$AP$4,$Y:$Y,1,$AF:$AF,1)/12</f>
        <v>0.33333333333333331</v>
      </c>
      <c r="AY10" s="11">
        <f>COUNTIFS($G:$G,7,$O:$O,$AP$4,$AD:$AD,2)/12</f>
        <v>0.16666666666666666</v>
      </c>
      <c r="AZ10" s="11">
        <f t="shared" si="5"/>
        <v>0.25</v>
      </c>
      <c r="BA10" s="11">
        <f t="shared" si="3"/>
        <v>0.5</v>
      </c>
      <c r="BB10" s="9"/>
      <c r="BC10" s="2" t="s">
        <v>351</v>
      </c>
      <c r="BD10" s="11">
        <f>COUNTIFS($G:$G,7,$O:$O,$AP$4,$Y:$Y,2,$AF:$AF,1)/12</f>
        <v>0.58333333333333337</v>
      </c>
      <c r="BE10" s="11">
        <f>COUNTIFS($G:$G,7,$O:$O,$AP$4,$AD:$AD,3)/12</f>
        <v>0.16666666666666666</v>
      </c>
      <c r="BF10" s="11">
        <f t="shared" si="6"/>
        <v>0.125</v>
      </c>
      <c r="BG10" s="11">
        <f t="shared" si="4"/>
        <v>0.75</v>
      </c>
    </row>
    <row r="11" spans="1:59" x14ac:dyDescent="0.25">
      <c r="A11">
        <v>259</v>
      </c>
      <c r="B11" t="s">
        <v>35</v>
      </c>
      <c r="C11">
        <v>3</v>
      </c>
      <c r="D11" t="s">
        <v>36</v>
      </c>
      <c r="E11">
        <v>1</v>
      </c>
      <c r="F11" t="s">
        <v>37</v>
      </c>
      <c r="G11">
        <v>1</v>
      </c>
      <c r="H11">
        <v>2</v>
      </c>
      <c r="I11">
        <v>1</v>
      </c>
      <c r="J11">
        <v>10</v>
      </c>
      <c r="K11">
        <v>10</v>
      </c>
      <c r="L11">
        <v>4</v>
      </c>
      <c r="M11">
        <v>1</v>
      </c>
      <c r="N11" t="s">
        <v>101</v>
      </c>
      <c r="O11" t="s">
        <v>39</v>
      </c>
      <c r="P11" t="s">
        <v>89</v>
      </c>
      <c r="Q11" t="s">
        <v>90</v>
      </c>
      <c r="R11" t="s">
        <v>51</v>
      </c>
      <c r="S11" t="s">
        <v>52</v>
      </c>
      <c r="T11" t="s">
        <v>102</v>
      </c>
      <c r="U11">
        <v>5</v>
      </c>
      <c r="V11" t="s">
        <v>93</v>
      </c>
      <c r="W11" t="s">
        <v>103</v>
      </c>
      <c r="X11" t="s">
        <v>104</v>
      </c>
      <c r="Y11">
        <v>1</v>
      </c>
      <c r="Z11">
        <v>1</v>
      </c>
      <c r="AA11">
        <v>48</v>
      </c>
      <c r="AB11">
        <v>3.0000000000000001E-3</v>
      </c>
      <c r="AC11" t="s">
        <v>103</v>
      </c>
      <c r="AD11">
        <v>4</v>
      </c>
      <c r="AE11">
        <v>2</v>
      </c>
      <c r="AF11">
        <v>0</v>
      </c>
      <c r="AG11">
        <v>1.591</v>
      </c>
      <c r="AH11">
        <v>0.46700000000000003</v>
      </c>
      <c r="AI11">
        <v>0</v>
      </c>
      <c r="AJ11">
        <v>1.2849900000000001</v>
      </c>
      <c r="AK11">
        <v>1.2849999999999999</v>
      </c>
      <c r="AL11">
        <f t="shared" si="0"/>
        <v>1.2849999999999999</v>
      </c>
      <c r="AM11">
        <f>VLOOKUP(TRIM(N11),'[1]All - Durations'!$E$2:$H$109,4,FALSE)</f>
        <v>0.93799999999999994</v>
      </c>
      <c r="AN11">
        <f t="shared" si="1"/>
        <v>0.34699999999999998</v>
      </c>
      <c r="AO11">
        <f t="shared" si="2"/>
        <v>0.34699999999999998</v>
      </c>
      <c r="AP11" s="8"/>
      <c r="AQ11" s="9"/>
      <c r="AR11" s="2" t="s">
        <v>352</v>
      </c>
      <c r="AS11" s="11">
        <f>SUMIFS($AF:$AF,$G:$G,8,$O:$O,$AP$4)/24</f>
        <v>0.5</v>
      </c>
      <c r="AT11" s="11">
        <f>SUMIFS($AF:$AF,$G:$G,8,$O:$O,$AP$5)/24</f>
        <v>0.54166666666666663</v>
      </c>
      <c r="AU11" s="11">
        <f>SUMIFS($AF:$AF,$G:$G,8,$O:$O,$AP$6)/24</f>
        <v>0.54166666666666663</v>
      </c>
      <c r="AV11" s="9"/>
      <c r="AW11" s="2" t="s">
        <v>352</v>
      </c>
      <c r="AX11" s="11">
        <f>COUNTIFS($G:$G,8,$O:$O,$AP$4,$Y:$Y,1,$AF:$AF,1)/12</f>
        <v>0.41666666666666669</v>
      </c>
      <c r="AY11" s="11">
        <f>COUNTIFS($G:$G,8,$O:$O,$AP$4,$AD:$AD,2)/12</f>
        <v>0.41666666666666669</v>
      </c>
      <c r="AZ11" s="11">
        <f t="shared" si="5"/>
        <v>8.3333333333333315E-2</v>
      </c>
      <c r="BA11" s="11">
        <f t="shared" si="3"/>
        <v>0.83333333333333337</v>
      </c>
      <c r="BB11" s="9"/>
      <c r="BC11" s="2" t="s">
        <v>352</v>
      </c>
      <c r="BD11" s="11">
        <f>COUNTIFS($G:$G,8,$O:$O,$AP$4,$Y:$Y,2,$AF:$AF,1)/12</f>
        <v>0.58333333333333337</v>
      </c>
      <c r="BE11" s="11">
        <f>COUNTIFS($G:$G,8,$O:$O,$AP$4,$AD:$AD,3)/12</f>
        <v>0.16666666666666666</v>
      </c>
      <c r="BF11" s="11">
        <f t="shared" si="6"/>
        <v>0.125</v>
      </c>
      <c r="BG11" s="11">
        <f t="shared" si="4"/>
        <v>0.75</v>
      </c>
    </row>
    <row r="12" spans="1:59" x14ac:dyDescent="0.25">
      <c r="A12">
        <v>259</v>
      </c>
      <c r="B12" t="s">
        <v>35</v>
      </c>
      <c r="C12">
        <v>3</v>
      </c>
      <c r="D12" t="s">
        <v>36</v>
      </c>
      <c r="E12">
        <v>1</v>
      </c>
      <c r="F12" t="s">
        <v>37</v>
      </c>
      <c r="G12">
        <v>1</v>
      </c>
      <c r="H12">
        <v>2</v>
      </c>
      <c r="I12">
        <v>1</v>
      </c>
      <c r="J12">
        <v>11</v>
      </c>
      <c r="K12">
        <v>11</v>
      </c>
      <c r="L12">
        <v>43</v>
      </c>
      <c r="M12">
        <v>2</v>
      </c>
      <c r="N12" t="s">
        <v>105</v>
      </c>
      <c r="O12" t="s">
        <v>39</v>
      </c>
      <c r="P12" t="s">
        <v>77</v>
      </c>
      <c r="Q12" t="s">
        <v>78</v>
      </c>
      <c r="R12" t="s">
        <v>91</v>
      </c>
      <c r="S12" t="s">
        <v>92</v>
      </c>
      <c r="T12" t="s">
        <v>80</v>
      </c>
      <c r="U12">
        <v>2</v>
      </c>
      <c r="V12" t="s">
        <v>106</v>
      </c>
      <c r="W12" t="s">
        <v>107</v>
      </c>
      <c r="X12" t="s">
        <v>108</v>
      </c>
      <c r="Y12">
        <v>2</v>
      </c>
      <c r="Z12">
        <v>1</v>
      </c>
      <c r="AA12">
        <v>48</v>
      </c>
      <c r="AB12">
        <v>4.0000000000000001E-3</v>
      </c>
      <c r="AC12" t="s">
        <v>83</v>
      </c>
      <c r="AD12">
        <v>0</v>
      </c>
      <c r="AE12">
        <v>0</v>
      </c>
      <c r="AF12">
        <v>0</v>
      </c>
      <c r="AG12">
        <v>-1</v>
      </c>
      <c r="AH12">
        <v>0.75</v>
      </c>
      <c r="AI12">
        <v>0</v>
      </c>
      <c r="AJ12">
        <v>1.3849899999999999</v>
      </c>
      <c r="AK12">
        <v>1.385</v>
      </c>
      <c r="AL12">
        <f t="shared" si="0"/>
        <v>1.385</v>
      </c>
      <c r="AM12">
        <f>VLOOKUP(TRIM(N12),'[1]All - Durations'!$E$2:$H$109,4,FALSE)</f>
        <v>1.002</v>
      </c>
      <c r="AN12">
        <f t="shared" si="1"/>
        <v>0.38300000000000001</v>
      </c>
      <c r="AO12">
        <f t="shared" si="2"/>
        <v>0.38300000000000001</v>
      </c>
      <c r="AP12" s="8"/>
      <c r="AQ12" s="2"/>
      <c r="AR12" s="1"/>
      <c r="AS12" s="12">
        <f>AVERAGE(AS4:AS11)</f>
        <v>0.35937500000000006</v>
      </c>
      <c r="AT12" s="12">
        <f t="shared" ref="AT12:AU12" si="7">AVERAGE(AT4:AT11)</f>
        <v>0.44791666666666663</v>
      </c>
      <c r="AU12" s="12">
        <f t="shared" si="7"/>
        <v>0.41666666666666663</v>
      </c>
      <c r="AW12" s="6"/>
      <c r="AX12" s="12">
        <f>AVERAGE(AX4:AX11)</f>
        <v>0.30208333333333331</v>
      </c>
      <c r="AY12" s="12">
        <f t="shared" ref="AY12:BA12" si="8">AVERAGE(AY4:AY11)</f>
        <v>0.33333333333333326</v>
      </c>
      <c r="AZ12" s="12">
        <f t="shared" si="5"/>
        <v>0.18229166666666669</v>
      </c>
      <c r="BA12" s="12">
        <f t="shared" si="8"/>
        <v>0.63541666666666663</v>
      </c>
      <c r="BD12" s="12">
        <f>AVERAGE(BD4:BD11)</f>
        <v>0.41666666666666669</v>
      </c>
      <c r="BE12" s="12">
        <f t="shared" ref="BE12:BG12" si="9">AVERAGE(BE4:BE11)</f>
        <v>0.27083333333333331</v>
      </c>
      <c r="BF12" s="12">
        <f t="shared" si="6"/>
        <v>0.15625</v>
      </c>
      <c r="BG12" s="12">
        <f t="shared" si="9"/>
        <v>0.6875</v>
      </c>
    </row>
    <row r="13" spans="1:59" x14ac:dyDescent="0.25">
      <c r="A13">
        <v>259</v>
      </c>
      <c r="B13" t="s">
        <v>35</v>
      </c>
      <c r="C13">
        <v>3</v>
      </c>
      <c r="D13" t="s">
        <v>36</v>
      </c>
      <c r="E13">
        <v>1</v>
      </c>
      <c r="F13" t="s">
        <v>37</v>
      </c>
      <c r="G13">
        <v>1</v>
      </c>
      <c r="H13">
        <v>2</v>
      </c>
      <c r="I13">
        <v>1</v>
      </c>
      <c r="J13">
        <v>12</v>
      </c>
      <c r="K13">
        <v>4</v>
      </c>
      <c r="L13">
        <v>2</v>
      </c>
      <c r="M13">
        <v>1</v>
      </c>
      <c r="N13" t="s">
        <v>109</v>
      </c>
      <c r="O13" t="s">
        <v>39</v>
      </c>
      <c r="P13" t="s">
        <v>71</v>
      </c>
      <c r="Q13" t="s">
        <v>72</v>
      </c>
      <c r="R13" t="s">
        <v>91</v>
      </c>
      <c r="S13" t="s">
        <v>92</v>
      </c>
      <c r="T13" t="s">
        <v>94</v>
      </c>
      <c r="U13">
        <v>5</v>
      </c>
      <c r="V13" t="s">
        <v>73</v>
      </c>
      <c r="W13" t="s">
        <v>110</v>
      </c>
      <c r="X13" t="s">
        <v>111</v>
      </c>
      <c r="Y13">
        <v>1</v>
      </c>
      <c r="Z13">
        <v>1</v>
      </c>
      <c r="AA13">
        <v>48</v>
      </c>
      <c r="AB13">
        <v>4.0000000000000001E-3</v>
      </c>
      <c r="AC13" t="s">
        <v>73</v>
      </c>
      <c r="AD13">
        <v>2</v>
      </c>
      <c r="AE13">
        <v>1</v>
      </c>
      <c r="AF13">
        <v>0</v>
      </c>
      <c r="AG13">
        <v>1.5209999999999999</v>
      </c>
      <c r="AH13">
        <v>1.3160000000000001</v>
      </c>
      <c r="AI13">
        <v>0</v>
      </c>
      <c r="AJ13">
        <v>1.00499</v>
      </c>
      <c r="AK13">
        <v>1.006</v>
      </c>
      <c r="AL13">
        <f t="shared" si="0"/>
        <v>1.006</v>
      </c>
      <c r="AM13">
        <f>VLOOKUP(TRIM(N13),'[1]All - Durations'!$E$2:$H$109,4,FALSE)</f>
        <v>0.872</v>
      </c>
      <c r="AN13">
        <f t="shared" si="1"/>
        <v>0.13400000000000001</v>
      </c>
      <c r="AO13">
        <f t="shared" si="2"/>
        <v>0.13400000000000001</v>
      </c>
      <c r="AP13" s="8"/>
      <c r="AQ13" s="5" t="s">
        <v>353</v>
      </c>
      <c r="AR13" s="1"/>
      <c r="AS13" s="5" t="s">
        <v>335</v>
      </c>
      <c r="AT13" s="5" t="s">
        <v>336</v>
      </c>
      <c r="AU13" s="5" t="s">
        <v>337</v>
      </c>
      <c r="AW13" s="7" t="s">
        <v>336</v>
      </c>
      <c r="AX13" t="s">
        <v>338</v>
      </c>
      <c r="AY13" t="s">
        <v>339</v>
      </c>
      <c r="AZ13" t="s">
        <v>340</v>
      </c>
      <c r="BA13" t="s">
        <v>341</v>
      </c>
      <c r="BC13" s="7" t="s">
        <v>336</v>
      </c>
      <c r="BD13" t="s">
        <v>342</v>
      </c>
      <c r="BE13" t="s">
        <v>343</v>
      </c>
      <c r="BF13" t="s">
        <v>340</v>
      </c>
      <c r="BG13" t="s">
        <v>344</v>
      </c>
    </row>
    <row r="14" spans="1:59" x14ac:dyDescent="0.25">
      <c r="A14">
        <v>259</v>
      </c>
      <c r="B14" t="s">
        <v>35</v>
      </c>
      <c r="C14">
        <v>3</v>
      </c>
      <c r="D14" t="s">
        <v>36</v>
      </c>
      <c r="E14">
        <v>1</v>
      </c>
      <c r="F14" t="s">
        <v>37</v>
      </c>
      <c r="G14">
        <v>1</v>
      </c>
      <c r="H14">
        <v>2</v>
      </c>
      <c r="I14">
        <v>1</v>
      </c>
      <c r="J14">
        <v>13</v>
      </c>
      <c r="K14">
        <v>14</v>
      </c>
      <c r="L14">
        <v>72</v>
      </c>
      <c r="M14">
        <v>2</v>
      </c>
      <c r="N14" t="s">
        <v>112</v>
      </c>
      <c r="O14" t="s">
        <v>113</v>
      </c>
      <c r="P14" t="s">
        <v>114</v>
      </c>
      <c r="Q14" t="s">
        <v>115</v>
      </c>
      <c r="R14" t="s">
        <v>114</v>
      </c>
      <c r="S14" t="s">
        <v>43</v>
      </c>
      <c r="T14" t="s">
        <v>104</v>
      </c>
      <c r="U14">
        <v>2</v>
      </c>
      <c r="V14" t="s">
        <v>116</v>
      </c>
      <c r="W14" t="s">
        <v>47</v>
      </c>
      <c r="X14" t="s">
        <v>106</v>
      </c>
      <c r="Y14">
        <v>2</v>
      </c>
      <c r="Z14">
        <v>1</v>
      </c>
      <c r="AA14">
        <v>48</v>
      </c>
      <c r="AB14">
        <v>2E-3</v>
      </c>
      <c r="AC14" t="s">
        <v>104</v>
      </c>
      <c r="AD14">
        <v>1</v>
      </c>
      <c r="AE14">
        <v>2</v>
      </c>
      <c r="AF14">
        <v>1</v>
      </c>
      <c r="AG14">
        <v>1.0900000000000001</v>
      </c>
      <c r="AH14">
        <v>0.75</v>
      </c>
      <c r="AI14">
        <v>0</v>
      </c>
      <c r="AJ14">
        <v>1.6049899999999999</v>
      </c>
      <c r="AK14">
        <v>1.605</v>
      </c>
      <c r="AL14">
        <f t="shared" si="0"/>
        <v>1.605</v>
      </c>
      <c r="AM14">
        <f>VLOOKUP(TRIM(N14),'[1]All - Durations'!$E$2:$H$109,4,FALSE)</f>
        <v>0.94499999999999995</v>
      </c>
      <c r="AN14">
        <f t="shared" si="1"/>
        <v>0.66</v>
      </c>
      <c r="AO14">
        <f t="shared" si="2"/>
        <v>0.66</v>
      </c>
      <c r="AP14" s="8"/>
      <c r="AQ14" s="9"/>
      <c r="AR14" s="10" t="s">
        <v>345</v>
      </c>
      <c r="AS14" s="11">
        <f>AVERAGEIFS($AG:$AG,$AF:$AF,1,$G:$G,1,$O:$O,$AP$4)</f>
        <v>2.4428000000000001</v>
      </c>
      <c r="AT14" s="11">
        <f>AVERAGEIFS($AG:$AG,$AF:$AF,1,$G:$G,1,$O:$O,$AP$5)</f>
        <v>1.3560000000000001</v>
      </c>
      <c r="AU14" s="11">
        <f>AVERAGEIFS($AG:$AG,$AF:$AF,1,$G:$G,1,$O:$O,$AP$6)</f>
        <v>1.1620000000000001</v>
      </c>
      <c r="AV14" s="9"/>
      <c r="AW14" s="10" t="s">
        <v>345</v>
      </c>
      <c r="AX14" s="11">
        <f>COUNTIFS($G:$G,1,$O:$O,$AP$5,$Y:$Y,1,$AF:$AF,1)/12</f>
        <v>0.16666666666666666</v>
      </c>
      <c r="AY14" s="11">
        <f>COUNTIFS($G:$G,1,$O:$O,$AP$5,$AD:$AD,2)/12</f>
        <v>8.3333333333333329E-2</v>
      </c>
      <c r="AZ14" s="11">
        <f>(1-BA14)/2</f>
        <v>0.375</v>
      </c>
      <c r="BA14" s="11">
        <f t="shared" ref="BA14:BA21" si="10">SUM(AX14,AY14)</f>
        <v>0.25</v>
      </c>
      <c r="BB14" s="9"/>
      <c r="BC14" s="10" t="s">
        <v>345</v>
      </c>
      <c r="BD14" s="11">
        <f>COUNTIFS($G:$G,1,$O:$O,$AP$5,$Y:$Y,2,$AF:$AF,1)/12</f>
        <v>0.16666666666666666</v>
      </c>
      <c r="BE14" s="11">
        <f>COUNTIFS($G:$G,1,$O:$O,$AP$5,$AD:$AD,3)/12</f>
        <v>8.3333333333333329E-2</v>
      </c>
      <c r="BF14" s="11">
        <f>(1-BG14)/2</f>
        <v>0.375</v>
      </c>
      <c r="BG14" s="11">
        <f t="shared" ref="BG14:BG21" si="11">SUM(BD14,BE14)</f>
        <v>0.25</v>
      </c>
    </row>
    <row r="15" spans="1:59" x14ac:dyDescent="0.25">
      <c r="A15">
        <v>259</v>
      </c>
      <c r="B15" t="s">
        <v>35</v>
      </c>
      <c r="C15">
        <v>3</v>
      </c>
      <c r="D15" t="s">
        <v>36</v>
      </c>
      <c r="E15">
        <v>1</v>
      </c>
      <c r="F15" t="s">
        <v>37</v>
      </c>
      <c r="G15">
        <v>1</v>
      </c>
      <c r="H15">
        <v>2</v>
      </c>
      <c r="I15">
        <v>1</v>
      </c>
      <c r="J15">
        <v>14</v>
      </c>
      <c r="K15">
        <v>22</v>
      </c>
      <c r="L15">
        <v>28</v>
      </c>
      <c r="M15">
        <v>1</v>
      </c>
      <c r="N15" t="s">
        <v>117</v>
      </c>
      <c r="O15" t="s">
        <v>113</v>
      </c>
      <c r="P15" t="s">
        <v>114</v>
      </c>
      <c r="Q15" t="s">
        <v>118</v>
      </c>
      <c r="R15" t="s">
        <v>114</v>
      </c>
      <c r="S15" t="s">
        <v>52</v>
      </c>
      <c r="T15" t="s">
        <v>119</v>
      </c>
      <c r="U15">
        <v>5</v>
      </c>
      <c r="V15" t="s">
        <v>120</v>
      </c>
      <c r="W15" t="s">
        <v>73</v>
      </c>
      <c r="X15" t="s">
        <v>121</v>
      </c>
      <c r="Y15">
        <v>1</v>
      </c>
      <c r="Z15">
        <v>1</v>
      </c>
      <c r="AA15">
        <v>48</v>
      </c>
      <c r="AB15">
        <v>2E-3</v>
      </c>
      <c r="AC15" t="s">
        <v>119</v>
      </c>
      <c r="AD15">
        <v>1</v>
      </c>
      <c r="AE15">
        <v>5</v>
      </c>
      <c r="AF15">
        <v>1</v>
      </c>
      <c r="AG15">
        <v>0.67600000000000005</v>
      </c>
      <c r="AH15">
        <v>1.5660000000000001</v>
      </c>
      <c r="AI15">
        <v>0</v>
      </c>
      <c r="AJ15">
        <v>1.1349899999999999</v>
      </c>
      <c r="AK15">
        <v>1.135</v>
      </c>
      <c r="AL15">
        <f t="shared" si="0"/>
        <v>1.135</v>
      </c>
      <c r="AM15">
        <f>VLOOKUP(TRIM(N15),'[1]All - Durations'!$E$2:$H$109,4,FALSE)</f>
        <v>0.97</v>
      </c>
      <c r="AN15">
        <f t="shared" si="1"/>
        <v>0.16500000000000004</v>
      </c>
      <c r="AO15">
        <f t="shared" si="2"/>
        <v>0.16500000000000004</v>
      </c>
      <c r="AP15" s="8"/>
      <c r="AQ15" s="9"/>
      <c r="AR15" s="10" t="s">
        <v>346</v>
      </c>
      <c r="AS15" s="11">
        <f>AVERAGEIFS($AG:$AG,$AF:$AF,1,$G:$G,2,$O:$O,$AP$4)</f>
        <v>1.7877499999999997</v>
      </c>
      <c r="AT15" s="11">
        <f>AVERAGEIFS($AG:$AG,$AF:$AF,1,$G:$G,2,$O:$O,$AP$5)</f>
        <v>2.203125</v>
      </c>
      <c r="AU15" s="11">
        <f>AVERAGEIFS($AG:$AG,$AF:$AF,1,$G:$G,2,$O:$O,$AP$6)</f>
        <v>2.4849999999999999</v>
      </c>
      <c r="AV15" s="9"/>
      <c r="AW15" s="10" t="s">
        <v>346</v>
      </c>
      <c r="AX15" s="11">
        <f>COUNTIFS($G:$G,2,$O:$O,$AP$5,$Y:$Y,1,$AF:$AF,1)/12</f>
        <v>0.5</v>
      </c>
      <c r="AY15" s="11">
        <f>COUNTIFS($G:$G,2,$O:$O,$AP$5,$AD:$AD,2)/12</f>
        <v>0.16666666666666666</v>
      </c>
      <c r="AZ15" s="11">
        <f t="shared" ref="AZ15:AZ22" si="12">(1-BA15)/2</f>
        <v>0.16666666666666669</v>
      </c>
      <c r="BA15" s="11">
        <f t="shared" si="10"/>
        <v>0.66666666666666663</v>
      </c>
      <c r="BB15" s="9"/>
      <c r="BC15" s="10" t="s">
        <v>346</v>
      </c>
      <c r="BD15" s="11">
        <f>COUNTIFS($G:$G,2,$O:$O,$AP$5,$Y:$Y,2,$AF:$AF,1)/12</f>
        <v>0.16666666666666666</v>
      </c>
      <c r="BE15" s="11">
        <f>COUNTIFS($G:$G,2,$O:$O,$AP$5,$AD:$AD,3)/12</f>
        <v>0.25</v>
      </c>
      <c r="BF15" s="11">
        <f t="shared" ref="BF15:BF22" si="13">(1-BG15)/2</f>
        <v>0.29166666666666669</v>
      </c>
      <c r="BG15" s="11">
        <f t="shared" si="11"/>
        <v>0.41666666666666663</v>
      </c>
    </row>
    <row r="16" spans="1:59" x14ac:dyDescent="0.25">
      <c r="A16">
        <v>259</v>
      </c>
      <c r="B16" t="s">
        <v>35</v>
      </c>
      <c r="C16">
        <v>3</v>
      </c>
      <c r="D16" t="s">
        <v>36</v>
      </c>
      <c r="E16">
        <v>1</v>
      </c>
      <c r="F16" t="s">
        <v>37</v>
      </c>
      <c r="G16">
        <v>1</v>
      </c>
      <c r="H16">
        <v>2</v>
      </c>
      <c r="I16">
        <v>1</v>
      </c>
      <c r="J16">
        <v>15</v>
      </c>
      <c r="K16">
        <v>15</v>
      </c>
      <c r="L16">
        <v>25</v>
      </c>
      <c r="M16">
        <v>1</v>
      </c>
      <c r="N16" t="s">
        <v>122</v>
      </c>
      <c r="O16" t="s">
        <v>113</v>
      </c>
      <c r="P16" t="s">
        <v>114</v>
      </c>
      <c r="Q16" t="s">
        <v>123</v>
      </c>
      <c r="R16" t="s">
        <v>114</v>
      </c>
      <c r="S16" t="s">
        <v>59</v>
      </c>
      <c r="T16" t="s">
        <v>124</v>
      </c>
      <c r="U16">
        <v>2</v>
      </c>
      <c r="V16" t="s">
        <v>46</v>
      </c>
      <c r="W16" t="s">
        <v>108</v>
      </c>
      <c r="X16" t="s">
        <v>45</v>
      </c>
      <c r="Y16">
        <v>2</v>
      </c>
      <c r="Z16">
        <v>1</v>
      </c>
      <c r="AA16">
        <v>48</v>
      </c>
      <c r="AB16">
        <v>3.0000000000000001E-3</v>
      </c>
      <c r="AC16" t="s">
        <v>124</v>
      </c>
      <c r="AD16">
        <v>1</v>
      </c>
      <c r="AE16">
        <v>2</v>
      </c>
      <c r="AF16">
        <v>1</v>
      </c>
      <c r="AG16">
        <v>1.405</v>
      </c>
      <c r="AH16">
        <v>0.81699999999999995</v>
      </c>
      <c r="AI16">
        <v>0</v>
      </c>
      <c r="AJ16">
        <v>1.3649899999999999</v>
      </c>
      <c r="AK16">
        <v>1.3660000000000001</v>
      </c>
      <c r="AL16">
        <f t="shared" si="0"/>
        <v>1.3660000000000001</v>
      </c>
      <c r="AM16">
        <f>VLOOKUP(TRIM(N16),'[1]All - Durations'!$E$2:$H$109,4,FALSE)</f>
        <v>0.83899999999999997</v>
      </c>
      <c r="AN16">
        <f t="shared" si="1"/>
        <v>0.52700000000000014</v>
      </c>
      <c r="AO16">
        <f t="shared" si="2"/>
        <v>0.52700000000000014</v>
      </c>
      <c r="AP16" s="8"/>
      <c r="AQ16" s="9"/>
      <c r="AR16" s="2" t="s">
        <v>347</v>
      </c>
      <c r="AS16" s="11">
        <f>AVERAGEIFS($AG:$AG,$AF:$AF,1,$G:$G,3,$O:$O,$AP$4)</f>
        <v>1.9584285714285714</v>
      </c>
      <c r="AT16" s="11">
        <f>AVERAGEIFS($AG:$AG,$AF:$AF,1,$G:$G,3,$O:$O,$AP$5)</f>
        <v>1.8266363636363641</v>
      </c>
      <c r="AU16" s="11">
        <f>AVERAGEIFS($AG:$AG,$AF:$AF,1,$G:$G,3,$O:$O,$AP$6)</f>
        <v>2.3067142857142855</v>
      </c>
      <c r="AV16" s="9"/>
      <c r="AW16" s="2" t="s">
        <v>347</v>
      </c>
      <c r="AX16" s="11">
        <f>COUNTIFS($G:$G,3,$O:$O,$AP$5,$Y:$Y,1,$AF:$AF,1)/12</f>
        <v>0.41666666666666669</v>
      </c>
      <c r="AY16" s="11">
        <f>COUNTIFS($G:$G,3,$O:$O,$AP$5,$AD:$AD,2)/12</f>
        <v>0.16666666666666666</v>
      </c>
      <c r="AZ16" s="11">
        <f t="shared" si="12"/>
        <v>0.20833333333333331</v>
      </c>
      <c r="BA16" s="11">
        <f t="shared" si="10"/>
        <v>0.58333333333333337</v>
      </c>
      <c r="BB16" s="9"/>
      <c r="BC16" s="2" t="s">
        <v>347</v>
      </c>
      <c r="BD16" s="11">
        <f>COUNTIFS($G:$G,3,$O:$O,$AP$5,$Y:$Y,2,$AF:$AF,1)/12</f>
        <v>0.5</v>
      </c>
      <c r="BE16" s="11">
        <f>COUNTIFS($G:$G,3,$O:$O,$AP$5,$AD:$AD,3)/12</f>
        <v>0.33333333333333331</v>
      </c>
      <c r="BF16" s="11">
        <f t="shared" si="13"/>
        <v>8.333333333333337E-2</v>
      </c>
      <c r="BG16" s="11">
        <f t="shared" si="11"/>
        <v>0.83333333333333326</v>
      </c>
    </row>
    <row r="17" spans="1:59" x14ac:dyDescent="0.25">
      <c r="A17">
        <v>259</v>
      </c>
      <c r="B17" t="s">
        <v>35</v>
      </c>
      <c r="C17">
        <v>3</v>
      </c>
      <c r="D17" t="s">
        <v>36</v>
      </c>
      <c r="E17">
        <v>1</v>
      </c>
      <c r="F17" t="s">
        <v>37</v>
      </c>
      <c r="G17">
        <v>1</v>
      </c>
      <c r="H17">
        <v>2</v>
      </c>
      <c r="I17">
        <v>1</v>
      </c>
      <c r="J17">
        <v>16</v>
      </c>
      <c r="K17">
        <v>17</v>
      </c>
      <c r="L17">
        <v>61</v>
      </c>
      <c r="M17">
        <v>2</v>
      </c>
      <c r="N17" t="s">
        <v>125</v>
      </c>
      <c r="O17" t="s">
        <v>113</v>
      </c>
      <c r="P17" t="s">
        <v>114</v>
      </c>
      <c r="Q17" t="s">
        <v>126</v>
      </c>
      <c r="R17" t="s">
        <v>114</v>
      </c>
      <c r="S17" t="s">
        <v>92</v>
      </c>
      <c r="T17" t="s">
        <v>127</v>
      </c>
      <c r="U17">
        <v>1</v>
      </c>
      <c r="V17" t="s">
        <v>128</v>
      </c>
      <c r="W17" t="s">
        <v>96</v>
      </c>
      <c r="X17" t="s">
        <v>66</v>
      </c>
      <c r="Y17">
        <v>1</v>
      </c>
      <c r="Z17">
        <v>1</v>
      </c>
      <c r="AA17">
        <v>48</v>
      </c>
      <c r="AB17">
        <v>2E-3</v>
      </c>
      <c r="AC17" t="s">
        <v>127</v>
      </c>
      <c r="AD17">
        <v>1</v>
      </c>
      <c r="AE17">
        <v>1</v>
      </c>
      <c r="AF17">
        <v>1</v>
      </c>
      <c r="AG17">
        <v>0.93400000000000005</v>
      </c>
      <c r="AH17">
        <v>0.51700000000000002</v>
      </c>
      <c r="AI17">
        <v>0</v>
      </c>
      <c r="AJ17">
        <v>4.4990000000000002E-2</v>
      </c>
      <c r="AK17">
        <v>1.216</v>
      </c>
      <c r="AL17">
        <f t="shared" si="0"/>
        <v>1.216</v>
      </c>
      <c r="AM17">
        <f>VLOOKUP(TRIM(N17),'[1]All - Durations'!$E$2:$H$109,4,FALSE)</f>
        <v>0.94899999999999995</v>
      </c>
      <c r="AN17">
        <f t="shared" si="1"/>
        <v>0.26700000000000002</v>
      </c>
      <c r="AO17">
        <f t="shared" si="2"/>
        <v>0.26700000000000002</v>
      </c>
      <c r="AP17" s="8"/>
      <c r="AQ17" s="9"/>
      <c r="AR17" s="2" t="s">
        <v>348</v>
      </c>
      <c r="AS17" s="11">
        <f>AVERAGEIFS($AG:$AG,$AF:$AF,1,$G:$G,4,$O:$O,$AP$4)</f>
        <v>1.9052</v>
      </c>
      <c r="AT17" s="11">
        <f>AVERAGEIFS($AG:$AG,$AF:$AF,1,$G:$G,4,$O:$O,$AP$5)</f>
        <v>1.6969999999999998</v>
      </c>
      <c r="AU17" s="11">
        <f>AVERAGEIFS($AG:$AG,$AF:$AF,1,$G:$G,4,$O:$O,$AP$6)</f>
        <v>1.8758333333333328</v>
      </c>
      <c r="AV17" s="9"/>
      <c r="AW17" s="2" t="s">
        <v>348</v>
      </c>
      <c r="AX17" s="11">
        <f>COUNTIFS($G:$G,4,$O:$O,$AP$5,$Y:$Y,1,$AF:$AF,1)/12</f>
        <v>0.66666666666666663</v>
      </c>
      <c r="AY17" s="11">
        <f>COUNTIFS($G:$G,4,$O:$O,$AP$5,$AD:$AD,2)/12</f>
        <v>0.16666666666666666</v>
      </c>
      <c r="AZ17" s="11">
        <f t="shared" si="12"/>
        <v>8.333333333333337E-2</v>
      </c>
      <c r="BA17" s="11">
        <f t="shared" si="10"/>
        <v>0.83333333333333326</v>
      </c>
      <c r="BB17" s="9"/>
      <c r="BC17" s="2" t="s">
        <v>348</v>
      </c>
      <c r="BD17" s="11">
        <f>COUNTIFS($G:$G,4,$O:$O,$AP$5,$Y:$Y,2,$AF:$AF,1)/12</f>
        <v>0.58333333333333337</v>
      </c>
      <c r="BE17" s="11">
        <f>COUNTIFS($G:$G,4,$O:$O,$AP$5,$AD:$AD,3)/12</f>
        <v>8.3333333333333329E-2</v>
      </c>
      <c r="BF17" s="11">
        <f t="shared" si="13"/>
        <v>0.16666666666666663</v>
      </c>
      <c r="BG17" s="11">
        <f t="shared" si="11"/>
        <v>0.66666666666666674</v>
      </c>
    </row>
    <row r="18" spans="1:59" x14ac:dyDescent="0.25">
      <c r="A18">
        <v>259</v>
      </c>
      <c r="B18" t="s">
        <v>35</v>
      </c>
      <c r="C18">
        <v>3</v>
      </c>
      <c r="D18" t="s">
        <v>36</v>
      </c>
      <c r="E18">
        <v>1</v>
      </c>
      <c r="F18" t="s">
        <v>37</v>
      </c>
      <c r="G18">
        <v>1</v>
      </c>
      <c r="H18">
        <v>2</v>
      </c>
      <c r="I18">
        <v>1</v>
      </c>
      <c r="J18">
        <v>17</v>
      </c>
      <c r="K18">
        <v>21</v>
      </c>
      <c r="L18">
        <v>27</v>
      </c>
      <c r="M18">
        <v>1</v>
      </c>
      <c r="N18" t="s">
        <v>129</v>
      </c>
      <c r="O18" t="s">
        <v>113</v>
      </c>
      <c r="P18" t="s">
        <v>114</v>
      </c>
      <c r="Q18" t="s">
        <v>118</v>
      </c>
      <c r="R18" t="s">
        <v>114</v>
      </c>
      <c r="S18" t="s">
        <v>92</v>
      </c>
      <c r="T18" t="s">
        <v>120</v>
      </c>
      <c r="U18">
        <v>5</v>
      </c>
      <c r="V18" t="s">
        <v>130</v>
      </c>
      <c r="W18" t="s">
        <v>131</v>
      </c>
      <c r="X18" t="s">
        <v>132</v>
      </c>
      <c r="Y18">
        <v>2</v>
      </c>
      <c r="Z18">
        <v>1</v>
      </c>
      <c r="AA18">
        <v>48</v>
      </c>
      <c r="AB18">
        <v>3.0000000000000001E-3</v>
      </c>
      <c r="AC18" t="s">
        <v>130</v>
      </c>
      <c r="AD18">
        <v>3</v>
      </c>
      <c r="AE18">
        <v>2</v>
      </c>
      <c r="AF18">
        <v>0</v>
      </c>
      <c r="AG18">
        <v>0.87</v>
      </c>
      <c r="AH18">
        <v>0.71599999999999997</v>
      </c>
      <c r="AI18">
        <v>0</v>
      </c>
      <c r="AJ18">
        <v>3.499E-2</v>
      </c>
      <c r="AK18">
        <v>1.6180000000000001</v>
      </c>
      <c r="AL18">
        <f t="shared" si="0"/>
        <v>1.6180000000000001</v>
      </c>
      <c r="AM18">
        <f>VLOOKUP(TRIM(N18),'[1]All - Durations'!$E$2:$H$109,4,FALSE)</f>
        <v>0.92900000000000005</v>
      </c>
      <c r="AN18">
        <f t="shared" si="1"/>
        <v>0.68900000000000006</v>
      </c>
      <c r="AO18">
        <f t="shared" si="2"/>
        <v>0.68900000000000006</v>
      </c>
      <c r="AP18" s="8"/>
      <c r="AQ18" s="9"/>
      <c r="AR18" s="2" t="s">
        <v>349</v>
      </c>
      <c r="AS18" s="11">
        <f>AVERAGEIFS($AG:$AG,$AF:$AF,1,$G:$G,5,$O:$O,$AP$4)</f>
        <v>1.8411428571428574</v>
      </c>
      <c r="AT18" s="11">
        <f>AVERAGEIFS($AG:$AG,$AF:$AF,1,$G:$G,5,$O:$O,$AP$5)</f>
        <v>1.9223846153846154</v>
      </c>
      <c r="AU18" s="11">
        <f>AVERAGEIFS($AG:$AG,$AF:$AF,1,$G:$G,5,$O:$O,$AP$6)</f>
        <v>2.4458461538461536</v>
      </c>
      <c r="AV18" s="9"/>
      <c r="AW18" s="2" t="s">
        <v>349</v>
      </c>
      <c r="AX18" s="11">
        <f>COUNTIFS($G:$G,5,$O:$O,$AP$5,$Y:$Y,1,$AF:$AF,1)/12</f>
        <v>0.58333333333333337</v>
      </c>
      <c r="AY18" s="11">
        <f>COUNTIFS($G:$G,5,$O:$O,$AP$5,$AD:$AD,2)/12</f>
        <v>8.3333333333333329E-2</v>
      </c>
      <c r="AZ18" s="11">
        <f t="shared" si="12"/>
        <v>0.16666666666666663</v>
      </c>
      <c r="BA18" s="11">
        <f t="shared" si="10"/>
        <v>0.66666666666666674</v>
      </c>
      <c r="BB18" s="9"/>
      <c r="BC18" s="2" t="s">
        <v>349</v>
      </c>
      <c r="BD18" s="11">
        <f>COUNTIFS($G:$G,5,$O:$O,$AP$5,$Y:$Y,2,$AF:$AF,1)/12</f>
        <v>0.5</v>
      </c>
      <c r="BE18" s="11">
        <f>COUNTIFS($G:$G,5,$O:$O,$AP$5,$AD:$AD,3)/12</f>
        <v>0.16666666666666666</v>
      </c>
      <c r="BF18" s="11">
        <f t="shared" si="13"/>
        <v>0.16666666666666669</v>
      </c>
      <c r="BG18" s="11">
        <f t="shared" si="11"/>
        <v>0.66666666666666663</v>
      </c>
    </row>
    <row r="19" spans="1:59" x14ac:dyDescent="0.25">
      <c r="A19">
        <v>259</v>
      </c>
      <c r="B19" t="s">
        <v>35</v>
      </c>
      <c r="C19">
        <v>3</v>
      </c>
      <c r="D19" t="s">
        <v>36</v>
      </c>
      <c r="E19">
        <v>1</v>
      </c>
      <c r="F19" t="s">
        <v>37</v>
      </c>
      <c r="G19">
        <v>1</v>
      </c>
      <c r="H19">
        <v>2</v>
      </c>
      <c r="I19">
        <v>1</v>
      </c>
      <c r="J19">
        <v>18</v>
      </c>
      <c r="K19">
        <v>20</v>
      </c>
      <c r="L19">
        <v>64</v>
      </c>
      <c r="M19">
        <v>2</v>
      </c>
      <c r="N19" t="s">
        <v>133</v>
      </c>
      <c r="O19" t="s">
        <v>113</v>
      </c>
      <c r="P19" t="s">
        <v>114</v>
      </c>
      <c r="Q19" t="s">
        <v>134</v>
      </c>
      <c r="R19" t="s">
        <v>114</v>
      </c>
      <c r="S19" t="s">
        <v>43</v>
      </c>
      <c r="T19" t="s">
        <v>100</v>
      </c>
      <c r="U19">
        <v>5</v>
      </c>
      <c r="V19" t="s">
        <v>107</v>
      </c>
      <c r="W19" t="s">
        <v>75</v>
      </c>
      <c r="X19" t="s">
        <v>53</v>
      </c>
      <c r="Y19">
        <v>2</v>
      </c>
      <c r="Z19">
        <v>1</v>
      </c>
      <c r="AA19">
        <v>48</v>
      </c>
      <c r="AB19">
        <v>2E-3</v>
      </c>
      <c r="AC19" t="s">
        <v>53</v>
      </c>
      <c r="AD19">
        <v>4</v>
      </c>
      <c r="AE19">
        <v>4</v>
      </c>
      <c r="AF19">
        <v>0</v>
      </c>
      <c r="AG19">
        <v>0.58199999999999996</v>
      </c>
      <c r="AH19">
        <v>0.71599999999999997</v>
      </c>
      <c r="AI19">
        <v>0</v>
      </c>
      <c r="AJ19">
        <v>1.3349899999999999</v>
      </c>
      <c r="AK19">
        <v>1.335</v>
      </c>
      <c r="AL19">
        <f t="shared" si="0"/>
        <v>1.335</v>
      </c>
      <c r="AM19">
        <f>VLOOKUP(TRIM(N19),'[1]All - Durations'!$E$2:$H$109,4,FALSE)</f>
        <v>0.80200000000000005</v>
      </c>
      <c r="AN19">
        <f t="shared" si="1"/>
        <v>0.53299999999999992</v>
      </c>
      <c r="AO19">
        <f t="shared" si="2"/>
        <v>0.53299999999999992</v>
      </c>
      <c r="AP19" s="1"/>
      <c r="AQ19" s="9"/>
      <c r="AR19" s="2" t="s">
        <v>350</v>
      </c>
      <c r="AS19" s="11">
        <f>AVERAGEIFS($AG:$AG,$AF:$AF,1,$G:$G,6,$O:$O,$AP$4)</f>
        <v>1.6285384615384615</v>
      </c>
      <c r="AT19" s="11">
        <f>AVERAGEIFS($AG:$AG,$AF:$AF,1,$G:$G,6,$O:$O,$AP$5)</f>
        <v>1.7737499999999997</v>
      </c>
      <c r="AU19" s="11">
        <f>AVERAGEIFS($AG:$AG,$AF:$AF,1,$G:$G,6,$O:$O,$AP$6)</f>
        <v>1.8176923076923079</v>
      </c>
      <c r="AV19" s="9"/>
      <c r="AW19" s="2" t="s">
        <v>350</v>
      </c>
      <c r="AX19" s="11">
        <f>COUNTIFS($G:$G,6,$O:$O,$AP$5,$Y:$Y,1,$AF:$AF,1)/12</f>
        <v>0.33333333333333331</v>
      </c>
      <c r="AY19" s="11">
        <f>COUNTIFS($G:$G,6,$O:$O,$AP$5,$AD:$AD,2)/12</f>
        <v>0.5</v>
      </c>
      <c r="AZ19" s="11">
        <f t="shared" si="12"/>
        <v>8.333333333333337E-2</v>
      </c>
      <c r="BA19" s="11">
        <f t="shared" si="10"/>
        <v>0.83333333333333326</v>
      </c>
      <c r="BB19" s="9"/>
      <c r="BC19" s="2" t="s">
        <v>350</v>
      </c>
      <c r="BD19" s="11">
        <f>COUNTIFS($G:$G,6,$O:$O,$AP$5,$Y:$Y,2,$AF:$AF,1)/12</f>
        <v>0.66666666666666663</v>
      </c>
      <c r="BE19" s="11">
        <f>COUNTIFS($G:$G,6,$O:$O,$AP$5,$AD:$AD,3)/12</f>
        <v>8.3333333333333329E-2</v>
      </c>
      <c r="BF19" s="11">
        <f t="shared" si="13"/>
        <v>0.125</v>
      </c>
      <c r="BG19" s="11">
        <f t="shared" si="11"/>
        <v>0.75</v>
      </c>
    </row>
    <row r="20" spans="1:59" x14ac:dyDescent="0.25">
      <c r="A20">
        <v>259</v>
      </c>
      <c r="B20" t="s">
        <v>35</v>
      </c>
      <c r="C20">
        <v>3</v>
      </c>
      <c r="D20" t="s">
        <v>36</v>
      </c>
      <c r="E20">
        <v>1</v>
      </c>
      <c r="F20" t="s">
        <v>37</v>
      </c>
      <c r="G20">
        <v>1</v>
      </c>
      <c r="H20">
        <v>2</v>
      </c>
      <c r="I20">
        <v>1</v>
      </c>
      <c r="J20">
        <v>19</v>
      </c>
      <c r="K20">
        <v>24</v>
      </c>
      <c r="L20">
        <v>68</v>
      </c>
      <c r="M20">
        <v>2</v>
      </c>
      <c r="N20" t="s">
        <v>135</v>
      </c>
      <c r="O20" t="s">
        <v>113</v>
      </c>
      <c r="P20" t="s">
        <v>114</v>
      </c>
      <c r="Q20" t="s">
        <v>136</v>
      </c>
      <c r="R20" t="s">
        <v>114</v>
      </c>
      <c r="S20" t="s">
        <v>52</v>
      </c>
      <c r="T20" t="s">
        <v>74</v>
      </c>
      <c r="U20">
        <v>4</v>
      </c>
      <c r="V20" t="s">
        <v>137</v>
      </c>
      <c r="W20" t="s">
        <v>138</v>
      </c>
      <c r="X20" t="s">
        <v>139</v>
      </c>
      <c r="Y20">
        <v>1</v>
      </c>
      <c r="Z20">
        <v>1</v>
      </c>
      <c r="AA20">
        <v>48</v>
      </c>
      <c r="AB20">
        <v>3.0000000000000001E-3</v>
      </c>
      <c r="AC20" t="s">
        <v>137</v>
      </c>
      <c r="AD20">
        <v>2</v>
      </c>
      <c r="AE20">
        <v>2</v>
      </c>
      <c r="AF20">
        <v>0</v>
      </c>
      <c r="AG20">
        <v>1.5660000000000001</v>
      </c>
      <c r="AH20">
        <v>0.66600000000000004</v>
      </c>
      <c r="AI20">
        <v>0</v>
      </c>
      <c r="AJ20">
        <v>3.499E-2</v>
      </c>
      <c r="AK20">
        <v>1.3260000000000001</v>
      </c>
      <c r="AL20">
        <f t="shared" si="0"/>
        <v>1.3260000000000001</v>
      </c>
      <c r="AM20">
        <f>VLOOKUP(TRIM(N20),'[1]All - Durations'!$E$2:$H$109,4,FALSE)</f>
        <v>1.0209999999999999</v>
      </c>
      <c r="AN20">
        <f t="shared" si="1"/>
        <v>0.30500000000000016</v>
      </c>
      <c r="AO20">
        <f t="shared" si="2"/>
        <v>0.30500000000000016</v>
      </c>
      <c r="AP20" s="1"/>
      <c r="AQ20" s="9"/>
      <c r="AR20" s="2" t="s">
        <v>351</v>
      </c>
      <c r="AS20" s="11">
        <f>AVERAGEIFS($AG:$AG,$AF:$AF,1,$G:$G,7,$O:$O,$AP$4)</f>
        <v>1.9633636363636364</v>
      </c>
      <c r="AT20" s="11">
        <f>AVERAGEIFS($AG:$AG,$AF:$AF,1,$G:$G,7,$O:$O,$AP$5)</f>
        <v>1.5439000000000001</v>
      </c>
      <c r="AU20" s="11">
        <f>AVERAGEIFS($AG:$AG,$AF:$AF,1,$G:$G,7,$O:$O,$AP$6)</f>
        <v>1.9169</v>
      </c>
      <c r="AV20" s="9"/>
      <c r="AW20" s="2" t="s">
        <v>351</v>
      </c>
      <c r="AX20" s="11">
        <f>COUNTIFS($G:$G,7,$O:$O,$AP$5,$Y:$Y,1,$AF:$AF,1)/12</f>
        <v>0.33333333333333331</v>
      </c>
      <c r="AY20" s="11">
        <f>COUNTIFS($G:$G,7,$O:$O,$AP$5,$AD:$AD,2)/12</f>
        <v>0.58333333333333337</v>
      </c>
      <c r="AZ20" s="11">
        <f t="shared" si="12"/>
        <v>4.166666666666663E-2</v>
      </c>
      <c r="BA20" s="11">
        <f t="shared" si="10"/>
        <v>0.91666666666666674</v>
      </c>
      <c r="BB20" s="9"/>
      <c r="BC20" s="2" t="s">
        <v>351</v>
      </c>
      <c r="BD20" s="11">
        <f>COUNTIFS($G:$G,7,$O:$O,$AP$5,$Y:$Y,2,$AF:$AF,1)/12</f>
        <v>0.5</v>
      </c>
      <c r="BE20" s="11">
        <f>COUNTIFS($G:$G,7,$O:$O,$AP$5,$AD:$AD,3)/12</f>
        <v>8.3333333333333329E-2</v>
      </c>
      <c r="BF20" s="11">
        <f t="shared" si="13"/>
        <v>0.20833333333333331</v>
      </c>
      <c r="BG20" s="11">
        <f t="shared" si="11"/>
        <v>0.58333333333333337</v>
      </c>
    </row>
    <row r="21" spans="1:59" x14ac:dyDescent="0.25">
      <c r="A21">
        <v>259</v>
      </c>
      <c r="B21" t="s">
        <v>35</v>
      </c>
      <c r="C21">
        <v>3</v>
      </c>
      <c r="D21" t="s">
        <v>36</v>
      </c>
      <c r="E21">
        <v>1</v>
      </c>
      <c r="F21" t="s">
        <v>37</v>
      </c>
      <c r="G21">
        <v>1</v>
      </c>
      <c r="H21">
        <v>2</v>
      </c>
      <c r="I21">
        <v>1</v>
      </c>
      <c r="J21">
        <v>20</v>
      </c>
      <c r="K21">
        <v>19</v>
      </c>
      <c r="L21">
        <v>63</v>
      </c>
      <c r="M21">
        <v>2</v>
      </c>
      <c r="N21" t="s">
        <v>140</v>
      </c>
      <c r="O21" t="s">
        <v>113</v>
      </c>
      <c r="P21" t="s">
        <v>114</v>
      </c>
      <c r="Q21" t="s">
        <v>134</v>
      </c>
      <c r="R21" t="s">
        <v>114</v>
      </c>
      <c r="S21" t="s">
        <v>59</v>
      </c>
      <c r="T21" t="s">
        <v>95</v>
      </c>
      <c r="U21">
        <v>4</v>
      </c>
      <c r="V21" t="s">
        <v>100</v>
      </c>
      <c r="W21" t="s">
        <v>54</v>
      </c>
      <c r="X21" t="s">
        <v>141</v>
      </c>
      <c r="Y21">
        <v>1</v>
      </c>
      <c r="Z21">
        <v>1</v>
      </c>
      <c r="AA21">
        <v>48</v>
      </c>
      <c r="AB21">
        <v>3.0000000000000001E-3</v>
      </c>
      <c r="AC21" t="s">
        <v>95</v>
      </c>
      <c r="AD21">
        <v>1</v>
      </c>
      <c r="AE21">
        <v>4</v>
      </c>
      <c r="AF21">
        <v>1</v>
      </c>
      <c r="AG21">
        <v>1.7050000000000001</v>
      </c>
      <c r="AH21">
        <v>2.1160000000000001</v>
      </c>
      <c r="AI21">
        <v>0</v>
      </c>
      <c r="AJ21">
        <v>1.21499</v>
      </c>
      <c r="AK21">
        <v>1.2150000000000001</v>
      </c>
      <c r="AL21">
        <f t="shared" si="0"/>
        <v>1.2150000000000001</v>
      </c>
      <c r="AM21">
        <f>VLOOKUP(TRIM(N21),'[1]All - Durations'!$E$2:$H$109,4,FALSE)</f>
        <v>0.86099999999999999</v>
      </c>
      <c r="AN21">
        <f t="shared" si="1"/>
        <v>0.35400000000000009</v>
      </c>
      <c r="AO21">
        <f t="shared" si="2"/>
        <v>0.35400000000000009</v>
      </c>
      <c r="AP21" s="1"/>
      <c r="AQ21" s="9"/>
      <c r="AR21" s="2" t="s">
        <v>352</v>
      </c>
      <c r="AS21" s="11">
        <f>AVERAGEIFS($AG:$AG,$AF:$AF,1,$G:$G,8,$O:$O,$AP$4)</f>
        <v>1.5416666666666667</v>
      </c>
      <c r="AT21" s="11">
        <f>AVERAGEIFS($AG:$AG,$AF:$AF,1,$G:$G,8,$O:$O,$AP$5)</f>
        <v>2.0182307692307697</v>
      </c>
      <c r="AU21" s="11">
        <f>AVERAGEIFS($AG:$AG,$AF:$AF,1,$G:$G,8,$O:$O,$AP$6)</f>
        <v>1.7623076923076921</v>
      </c>
      <c r="AV21" s="9"/>
      <c r="AW21" s="2" t="s">
        <v>352</v>
      </c>
      <c r="AX21" s="11">
        <f>COUNTIFS($G:$G,8,$O:$O,$AP$5,$Y:$Y,1,$AF:$AF,1)/12</f>
        <v>0.33333333333333331</v>
      </c>
      <c r="AY21" s="11">
        <f>COUNTIFS($G:$G,8,$O:$O,$AP$5,$AD:$AD,2)/12</f>
        <v>0.41666666666666669</v>
      </c>
      <c r="AZ21" s="11">
        <f t="shared" si="12"/>
        <v>0.125</v>
      </c>
      <c r="BA21" s="11">
        <f t="shared" si="10"/>
        <v>0.75</v>
      </c>
      <c r="BB21" s="9"/>
      <c r="BC21" s="2" t="s">
        <v>352</v>
      </c>
      <c r="BD21" s="11">
        <f>COUNTIFS($G:$G,8,$O:$O,$AP$5,$Y:$Y,2,$AF:$AF,1)/12</f>
        <v>0.75</v>
      </c>
      <c r="BE21" s="11">
        <f>COUNTIFS($G:$G,8,$O:$O,$AP$5,$AD:$AD,3)/12</f>
        <v>0</v>
      </c>
      <c r="BF21" s="11">
        <f t="shared" si="13"/>
        <v>0.125</v>
      </c>
      <c r="BG21" s="11">
        <f t="shared" si="11"/>
        <v>0.75</v>
      </c>
    </row>
    <row r="22" spans="1:59" x14ac:dyDescent="0.25">
      <c r="A22">
        <v>259</v>
      </c>
      <c r="B22" t="s">
        <v>35</v>
      </c>
      <c r="C22">
        <v>3</v>
      </c>
      <c r="D22" t="s">
        <v>36</v>
      </c>
      <c r="E22">
        <v>1</v>
      </c>
      <c r="F22" t="s">
        <v>37</v>
      </c>
      <c r="G22">
        <v>1</v>
      </c>
      <c r="H22">
        <v>2</v>
      </c>
      <c r="I22">
        <v>1</v>
      </c>
      <c r="J22">
        <v>21</v>
      </c>
      <c r="K22">
        <v>18</v>
      </c>
      <c r="L22">
        <v>62</v>
      </c>
      <c r="M22">
        <v>2</v>
      </c>
      <c r="N22" t="s">
        <v>142</v>
      </c>
      <c r="O22" t="s">
        <v>113</v>
      </c>
      <c r="P22" t="s">
        <v>114</v>
      </c>
      <c r="Q22" t="s">
        <v>126</v>
      </c>
      <c r="R22" t="s">
        <v>114</v>
      </c>
      <c r="S22" t="s">
        <v>52</v>
      </c>
      <c r="T22" t="s">
        <v>128</v>
      </c>
      <c r="U22">
        <v>4</v>
      </c>
      <c r="V22" t="s">
        <v>61</v>
      </c>
      <c r="W22" t="s">
        <v>82</v>
      </c>
      <c r="X22" t="s">
        <v>85</v>
      </c>
      <c r="Y22">
        <v>2</v>
      </c>
      <c r="Z22">
        <v>1</v>
      </c>
      <c r="AA22">
        <v>48</v>
      </c>
      <c r="AB22">
        <v>3.0000000000000001E-3</v>
      </c>
      <c r="AC22" t="s">
        <v>61</v>
      </c>
      <c r="AD22">
        <v>3</v>
      </c>
      <c r="AE22">
        <v>1</v>
      </c>
      <c r="AF22">
        <v>0</v>
      </c>
      <c r="AG22">
        <v>1.3109999999999999</v>
      </c>
      <c r="AH22">
        <v>1.1000000000000001</v>
      </c>
      <c r="AI22">
        <v>0</v>
      </c>
      <c r="AJ22">
        <v>1.40499</v>
      </c>
      <c r="AK22">
        <v>1.405</v>
      </c>
      <c r="AL22">
        <f t="shared" si="0"/>
        <v>1.405</v>
      </c>
      <c r="AM22">
        <f>VLOOKUP(TRIM(N22),'[1]All - Durations'!$E$2:$H$109,4,FALSE)</f>
        <v>1.1259999999999999</v>
      </c>
      <c r="AN22">
        <f t="shared" si="1"/>
        <v>0.27900000000000014</v>
      </c>
      <c r="AO22">
        <f t="shared" si="2"/>
        <v>0.27900000000000014</v>
      </c>
      <c r="AP22" s="1"/>
      <c r="AQ22" s="2"/>
      <c r="AR22" s="1"/>
      <c r="AS22" s="12">
        <f>AVERAGE(AS14:AS21)</f>
        <v>1.8836112741425242</v>
      </c>
      <c r="AT22" s="12">
        <f t="shared" ref="AT22:AU22" si="14">AVERAGE(AT14:AT21)</f>
        <v>1.7926283435314687</v>
      </c>
      <c r="AU22" s="12">
        <f t="shared" si="14"/>
        <v>1.9715367216117214</v>
      </c>
      <c r="AW22" s="6"/>
      <c r="AX22" s="12">
        <f>AVERAGE(AX14:AX21)</f>
        <v>0.41666666666666674</v>
      </c>
      <c r="AY22" s="12">
        <f t="shared" ref="AY22:BA22" si="15">AVERAGE(AY14:AY21)</f>
        <v>0.27083333333333331</v>
      </c>
      <c r="AZ22" s="12">
        <f t="shared" si="12"/>
        <v>0.15625</v>
      </c>
      <c r="BA22" s="12">
        <f t="shared" si="15"/>
        <v>0.6875</v>
      </c>
      <c r="BD22" s="12">
        <f>AVERAGE(BD14:BD21)</f>
        <v>0.47916666666666663</v>
      </c>
      <c r="BE22" s="12">
        <f t="shared" ref="BE22:BG22" si="16">AVERAGE(BE14:BE21)</f>
        <v>0.13541666666666666</v>
      </c>
      <c r="BF22" s="12">
        <f t="shared" si="13"/>
        <v>0.19270833333333331</v>
      </c>
      <c r="BG22" s="12">
        <f t="shared" si="16"/>
        <v>0.61458333333333337</v>
      </c>
    </row>
    <row r="23" spans="1:59" x14ac:dyDescent="0.25">
      <c r="A23">
        <v>259</v>
      </c>
      <c r="B23" t="s">
        <v>35</v>
      </c>
      <c r="C23">
        <v>3</v>
      </c>
      <c r="D23" t="s">
        <v>36</v>
      </c>
      <c r="E23">
        <v>1</v>
      </c>
      <c r="F23" t="s">
        <v>37</v>
      </c>
      <c r="G23">
        <v>1</v>
      </c>
      <c r="H23">
        <v>2</v>
      </c>
      <c r="I23">
        <v>1</v>
      </c>
      <c r="J23">
        <v>22</v>
      </c>
      <c r="K23">
        <v>13</v>
      </c>
      <c r="L23">
        <v>71</v>
      </c>
      <c r="M23">
        <v>2</v>
      </c>
      <c r="N23" t="s">
        <v>143</v>
      </c>
      <c r="O23" t="s">
        <v>113</v>
      </c>
      <c r="P23" t="s">
        <v>114</v>
      </c>
      <c r="Q23" t="s">
        <v>115</v>
      </c>
      <c r="R23" t="s">
        <v>114</v>
      </c>
      <c r="S23" t="s">
        <v>59</v>
      </c>
      <c r="T23" t="s">
        <v>46</v>
      </c>
      <c r="U23">
        <v>5</v>
      </c>
      <c r="V23" t="s">
        <v>104</v>
      </c>
      <c r="W23" t="s">
        <v>144</v>
      </c>
      <c r="X23" t="s">
        <v>86</v>
      </c>
      <c r="Y23">
        <v>1</v>
      </c>
      <c r="Z23">
        <v>1</v>
      </c>
      <c r="AA23">
        <v>48</v>
      </c>
      <c r="AB23">
        <v>3.0000000000000001E-3</v>
      </c>
      <c r="AC23" t="s">
        <v>144</v>
      </c>
      <c r="AD23">
        <v>4</v>
      </c>
      <c r="AE23">
        <v>4</v>
      </c>
      <c r="AF23">
        <v>0</v>
      </c>
      <c r="AG23">
        <v>1.401</v>
      </c>
      <c r="AH23">
        <v>0.98299999999999998</v>
      </c>
      <c r="AI23">
        <v>0</v>
      </c>
      <c r="AJ23">
        <v>1.43499</v>
      </c>
      <c r="AK23">
        <v>1.4350000000000001</v>
      </c>
      <c r="AL23">
        <f t="shared" si="0"/>
        <v>1.4350000000000001</v>
      </c>
      <c r="AM23">
        <f>VLOOKUP(TRIM(N23),'[1]All - Durations'!$E$2:$H$109,4,FALSE)</f>
        <v>0.82799999999999996</v>
      </c>
      <c r="AN23">
        <f t="shared" si="1"/>
        <v>0.6070000000000001</v>
      </c>
      <c r="AO23">
        <f t="shared" si="2"/>
        <v>0.6070000000000001</v>
      </c>
      <c r="AP23" s="8"/>
      <c r="AQ23" s="3" t="s">
        <v>354</v>
      </c>
      <c r="AR23" s="1"/>
      <c r="AS23" s="5" t="s">
        <v>335</v>
      </c>
      <c r="AT23" s="5" t="s">
        <v>336</v>
      </c>
      <c r="AU23" s="5" t="s">
        <v>337</v>
      </c>
      <c r="AW23" s="7" t="s">
        <v>337</v>
      </c>
      <c r="AX23" t="s">
        <v>338</v>
      </c>
      <c r="AY23" t="s">
        <v>339</v>
      </c>
      <c r="AZ23" t="s">
        <v>340</v>
      </c>
      <c r="BA23" t="s">
        <v>341</v>
      </c>
      <c r="BC23" s="7" t="s">
        <v>337</v>
      </c>
      <c r="BD23" t="s">
        <v>342</v>
      </c>
      <c r="BE23" t="s">
        <v>343</v>
      </c>
      <c r="BF23" t="s">
        <v>340</v>
      </c>
      <c r="BG23" t="s">
        <v>344</v>
      </c>
    </row>
    <row r="24" spans="1:59" x14ac:dyDescent="0.25">
      <c r="A24">
        <v>259</v>
      </c>
      <c r="B24" t="s">
        <v>35</v>
      </c>
      <c r="C24">
        <v>3</v>
      </c>
      <c r="D24" t="s">
        <v>36</v>
      </c>
      <c r="E24">
        <v>1</v>
      </c>
      <c r="F24" t="s">
        <v>37</v>
      </c>
      <c r="G24">
        <v>1</v>
      </c>
      <c r="H24">
        <v>2</v>
      </c>
      <c r="I24">
        <v>1</v>
      </c>
      <c r="J24">
        <v>23</v>
      </c>
      <c r="K24">
        <v>23</v>
      </c>
      <c r="L24">
        <v>67</v>
      </c>
      <c r="M24">
        <v>2</v>
      </c>
      <c r="N24" t="s">
        <v>145</v>
      </c>
      <c r="O24" t="s">
        <v>113</v>
      </c>
      <c r="P24" t="s">
        <v>114</v>
      </c>
      <c r="Q24" t="s">
        <v>136</v>
      </c>
      <c r="R24" t="s">
        <v>114</v>
      </c>
      <c r="S24" t="s">
        <v>92</v>
      </c>
      <c r="T24" t="s">
        <v>137</v>
      </c>
      <c r="U24">
        <v>5</v>
      </c>
      <c r="V24" t="s">
        <v>127</v>
      </c>
      <c r="W24" t="s">
        <v>146</v>
      </c>
      <c r="X24" t="s">
        <v>147</v>
      </c>
      <c r="Y24">
        <v>2</v>
      </c>
      <c r="Z24">
        <v>1</v>
      </c>
      <c r="AA24">
        <v>48</v>
      </c>
      <c r="AB24">
        <v>4.0000000000000001E-3</v>
      </c>
      <c r="AC24" t="s">
        <v>146</v>
      </c>
      <c r="AD24">
        <v>4</v>
      </c>
      <c r="AE24">
        <v>2</v>
      </c>
      <c r="AF24">
        <v>0</v>
      </c>
      <c r="AG24">
        <v>0.82899999999999996</v>
      </c>
      <c r="AH24">
        <v>0.93300000000000005</v>
      </c>
      <c r="AI24">
        <v>0</v>
      </c>
      <c r="AJ24">
        <v>1.44499</v>
      </c>
      <c r="AK24">
        <v>1.444</v>
      </c>
      <c r="AL24">
        <f t="shared" si="0"/>
        <v>1.444</v>
      </c>
      <c r="AM24">
        <f>VLOOKUP(TRIM(N24),'[1]All - Durations'!$E$2:$H$109,4,FALSE)</f>
        <v>0.96199999999999997</v>
      </c>
      <c r="AN24">
        <f t="shared" si="1"/>
        <v>0.48199999999999998</v>
      </c>
      <c r="AO24">
        <f t="shared" si="2"/>
        <v>0.48199999999999998</v>
      </c>
      <c r="AP24" s="8"/>
      <c r="AQ24" s="9"/>
      <c r="AR24" s="10" t="s">
        <v>345</v>
      </c>
      <c r="AS24" s="11">
        <f>AVERAGEIFS($AB:$AB,$G:$G,1,$O:$O,$AP$4)</f>
        <v>3.2916666666666684E-3</v>
      </c>
      <c r="AT24" s="11">
        <f>AVERAGEIFS($AB:$AB,$G:$G,1,$O:$O,$AP$5)</f>
        <v>3.3750000000000013E-3</v>
      </c>
      <c r="AU24" s="11">
        <f>AVERAGEIFS($AB:$AB,$G:$G,1,$O:$O,$AP$6)</f>
        <v>2.7500000000000011E-3</v>
      </c>
      <c r="AV24" s="9"/>
      <c r="AW24" s="10" t="s">
        <v>345</v>
      </c>
      <c r="AX24" s="11">
        <f>COUNTIFS($G:$G,1,$O:$O,$AP$6,$Y:$Y,1,$AF:$AF,1)/12</f>
        <v>0.25</v>
      </c>
      <c r="AY24" s="11">
        <f>COUNTIFS($G:$G,1,$O:$O,$AP$6,$AD:$AD,2)/12</f>
        <v>0.33333333333333331</v>
      </c>
      <c r="AZ24" s="11">
        <f>(1-BA24)/2</f>
        <v>0.20833333333333337</v>
      </c>
      <c r="BA24" s="11">
        <f t="shared" ref="BA24:BA31" si="17">SUM(AX24,AY24)</f>
        <v>0.58333333333333326</v>
      </c>
      <c r="BB24" s="9"/>
      <c r="BC24" s="10" t="s">
        <v>345</v>
      </c>
      <c r="BD24" s="11">
        <f>COUNTIFS($G:$G,1,$O:$O,$AP$6,$Y:$Y,2,$AF:$AF,1)/12</f>
        <v>0.16666666666666666</v>
      </c>
      <c r="BE24" s="11">
        <f>COUNTIFS($G:$G,1,$O:$O,$AP$6,$AD:$AD,3)/12</f>
        <v>0.25</v>
      </c>
      <c r="BF24" s="11">
        <f>(1-BG24)/2</f>
        <v>0.29166666666666669</v>
      </c>
      <c r="BG24" s="11">
        <f t="shared" ref="BG24:BG31" si="18">SUM(BD24,BE24)</f>
        <v>0.41666666666666663</v>
      </c>
    </row>
    <row r="25" spans="1:59" x14ac:dyDescent="0.25">
      <c r="A25">
        <v>259</v>
      </c>
      <c r="B25" t="s">
        <v>35</v>
      </c>
      <c r="C25">
        <v>3</v>
      </c>
      <c r="D25" t="s">
        <v>36</v>
      </c>
      <c r="E25">
        <v>1</v>
      </c>
      <c r="F25" t="s">
        <v>37</v>
      </c>
      <c r="G25">
        <v>1</v>
      </c>
      <c r="H25">
        <v>2</v>
      </c>
      <c r="I25">
        <v>1</v>
      </c>
      <c r="J25">
        <v>24</v>
      </c>
      <c r="K25">
        <v>16</v>
      </c>
      <c r="L25">
        <v>26</v>
      </c>
      <c r="M25">
        <v>1</v>
      </c>
      <c r="N25" t="s">
        <v>148</v>
      </c>
      <c r="O25" t="s">
        <v>113</v>
      </c>
      <c r="P25" t="s">
        <v>114</v>
      </c>
      <c r="Q25" t="s">
        <v>123</v>
      </c>
      <c r="R25" t="s">
        <v>114</v>
      </c>
      <c r="S25" t="s">
        <v>92</v>
      </c>
      <c r="T25" t="s">
        <v>130</v>
      </c>
      <c r="U25">
        <v>2</v>
      </c>
      <c r="V25" t="s">
        <v>124</v>
      </c>
      <c r="W25" t="s">
        <v>149</v>
      </c>
      <c r="X25" t="s">
        <v>99</v>
      </c>
      <c r="Y25">
        <v>1</v>
      </c>
      <c r="Z25">
        <v>1</v>
      </c>
      <c r="AA25">
        <v>48</v>
      </c>
      <c r="AB25">
        <v>4.0000000000000001E-3</v>
      </c>
      <c r="AC25" t="s">
        <v>99</v>
      </c>
      <c r="AD25">
        <v>4</v>
      </c>
      <c r="AE25">
        <v>5</v>
      </c>
      <c r="AF25">
        <v>0</v>
      </c>
      <c r="AG25">
        <v>0.85</v>
      </c>
      <c r="AH25">
        <v>0.81599999999999995</v>
      </c>
      <c r="AI25">
        <v>0</v>
      </c>
      <c r="AJ25">
        <v>4.4990000000000002E-2</v>
      </c>
      <c r="AK25">
        <v>1.1379999999999999</v>
      </c>
      <c r="AL25">
        <f t="shared" si="0"/>
        <v>1.1379999999999999</v>
      </c>
      <c r="AM25">
        <f>VLOOKUP(TRIM(N25),'[1]All - Durations'!$E$2:$H$109,4,FALSE)</f>
        <v>0.90400000000000003</v>
      </c>
      <c r="AN25">
        <f t="shared" si="1"/>
        <v>0.23399999999999987</v>
      </c>
      <c r="AO25">
        <f t="shared" si="2"/>
        <v>0.23399999999999987</v>
      </c>
      <c r="AP25" s="26"/>
      <c r="AQ25" s="9"/>
      <c r="AR25" s="10" t="s">
        <v>346</v>
      </c>
      <c r="AS25" s="13">
        <f>AVERAGEIFS($AB:$AB,$G:$G,2,$O:$O,$AP$4)</f>
        <v>3.833333333333334E-3</v>
      </c>
      <c r="AT25" s="13">
        <f>AVERAGEIFS($AB:$AB,$G:$G,2,$O:$O,$AP$5)</f>
        <v>3.5000000000000014E-3</v>
      </c>
      <c r="AU25" s="13">
        <f>AVERAGEIFS($AB:$AB,$G:$G,2,$O:$O,$AP$6)</f>
        <v>3.291666666666668E-3</v>
      </c>
      <c r="AV25" s="9"/>
      <c r="AW25" s="10" t="s">
        <v>346</v>
      </c>
      <c r="AX25" s="11">
        <f>COUNTIFS($G:$G,2,$O:$O,$AP$6,$Y:$Y,1,$AF:$AF,1)/12</f>
        <v>0.41666666666666669</v>
      </c>
      <c r="AY25" s="11">
        <f>COUNTIFS($G:$G,2,$O:$O,$AP$6,$AD:$AD,2)/12</f>
        <v>8.3333333333333329E-2</v>
      </c>
      <c r="AZ25" s="11">
        <f t="shared" ref="AZ25:AZ32" si="19">(1-BA25)/2</f>
        <v>0.25</v>
      </c>
      <c r="BA25" s="11">
        <f t="shared" si="17"/>
        <v>0.5</v>
      </c>
      <c r="BB25" s="9"/>
      <c r="BC25" s="10" t="s">
        <v>346</v>
      </c>
      <c r="BD25" s="11">
        <f>COUNTIFS($G:$G,2,$O:$O,$AP$6,$Y:$Y,2,$AF:$AF,1)/12</f>
        <v>0.16666666666666666</v>
      </c>
      <c r="BE25" s="11">
        <f>COUNTIFS($G:$G,2,$O:$O,$AP$6,$AD:$AD,3)/12</f>
        <v>0.25</v>
      </c>
      <c r="BF25" s="11">
        <f t="shared" ref="BF25:BF32" si="20">(1-BG25)/2</f>
        <v>0.29166666666666669</v>
      </c>
      <c r="BG25" s="11">
        <f t="shared" si="18"/>
        <v>0.41666666666666663</v>
      </c>
    </row>
    <row r="26" spans="1:59" x14ac:dyDescent="0.25">
      <c r="A26">
        <v>259</v>
      </c>
      <c r="B26" t="s">
        <v>35</v>
      </c>
      <c r="C26">
        <v>3</v>
      </c>
      <c r="D26" t="s">
        <v>36</v>
      </c>
      <c r="E26">
        <v>1</v>
      </c>
      <c r="F26" t="s">
        <v>37</v>
      </c>
      <c r="G26">
        <v>1</v>
      </c>
      <c r="H26">
        <v>2</v>
      </c>
      <c r="I26">
        <v>1</v>
      </c>
      <c r="J26">
        <v>25</v>
      </c>
      <c r="K26">
        <v>33</v>
      </c>
      <c r="L26">
        <v>15</v>
      </c>
      <c r="M26">
        <v>1</v>
      </c>
      <c r="N26" t="s">
        <v>150</v>
      </c>
      <c r="O26" t="s">
        <v>151</v>
      </c>
      <c r="P26" t="s">
        <v>152</v>
      </c>
      <c r="Q26" t="s">
        <v>153</v>
      </c>
      <c r="R26" t="s">
        <v>154</v>
      </c>
      <c r="S26" t="s">
        <v>92</v>
      </c>
      <c r="T26" t="s">
        <v>155</v>
      </c>
      <c r="U26">
        <v>2</v>
      </c>
      <c r="V26" t="s">
        <v>141</v>
      </c>
      <c r="W26" t="s">
        <v>124</v>
      </c>
      <c r="X26" t="s">
        <v>156</v>
      </c>
      <c r="Y26">
        <v>2</v>
      </c>
      <c r="Z26">
        <v>1</v>
      </c>
      <c r="AA26">
        <v>48</v>
      </c>
      <c r="AB26">
        <v>4.0000000000000001E-3</v>
      </c>
      <c r="AC26" t="s">
        <v>155</v>
      </c>
      <c r="AD26">
        <v>1</v>
      </c>
      <c r="AE26">
        <v>2</v>
      </c>
      <c r="AF26">
        <v>1</v>
      </c>
      <c r="AG26">
        <v>1.4450000000000001</v>
      </c>
      <c r="AH26">
        <v>1.1499999999999999</v>
      </c>
      <c r="AI26">
        <v>0</v>
      </c>
      <c r="AJ26">
        <v>3.499E-2</v>
      </c>
      <c r="AK26">
        <v>1.161</v>
      </c>
      <c r="AL26">
        <f t="shared" si="0"/>
        <v>1.161</v>
      </c>
      <c r="AM26">
        <f>VLOOKUP(TRIM(N26),'[1]All - Durations'!$E$2:$H$109,4,FALSE)</f>
        <v>0.94299999999999995</v>
      </c>
      <c r="AN26">
        <f t="shared" si="1"/>
        <v>0.21800000000000008</v>
      </c>
      <c r="AO26">
        <f t="shared" si="2"/>
        <v>0.21800000000000008</v>
      </c>
      <c r="AP26" s="8"/>
      <c r="AQ26" s="9"/>
      <c r="AR26" s="2" t="s">
        <v>347</v>
      </c>
      <c r="AS26" s="11">
        <f>AVERAGEIFS($AB:$AB,$G:$G,3,$O:$O,$AP$4)</f>
        <v>0.61837500000000001</v>
      </c>
      <c r="AT26" s="11">
        <f>AVERAGEIFS($AB:$AB,$G:$G,3,$O:$O,$AP$5)</f>
        <v>0.45779166666666676</v>
      </c>
      <c r="AU26" s="11">
        <f>AVERAGEIFS($AB:$AB,$G:$G,3,$O:$O,$AP$6)</f>
        <v>0.44587500000000002</v>
      </c>
      <c r="AV26" s="9"/>
      <c r="AW26" s="2" t="s">
        <v>347</v>
      </c>
      <c r="AX26" s="11">
        <f>COUNTIFS($G:$G,3,$O:$O,$AP$6,$Y:$Y,1,$AF:$AF,1)/12</f>
        <v>0.25</v>
      </c>
      <c r="AY26" s="11">
        <f>COUNTIFS($G:$G,3,$O:$O,$AP$6,$AD:$AD,2)/12</f>
        <v>0.25</v>
      </c>
      <c r="AZ26" s="11">
        <f t="shared" si="19"/>
        <v>0.25</v>
      </c>
      <c r="BA26" s="11">
        <f t="shared" si="17"/>
        <v>0.5</v>
      </c>
      <c r="BB26" s="9"/>
      <c r="BC26" s="2" t="s">
        <v>347</v>
      </c>
      <c r="BD26" s="11">
        <f>COUNTIFS($G:$G,3,$O:$O,$AP$6,$Y:$Y,2,$AF:$AF,1)/12</f>
        <v>0.33333333333333331</v>
      </c>
      <c r="BE26" s="11">
        <f>COUNTIFS($G:$G,3,$O:$O,$AP$6,$AD:$AD,3)/12</f>
        <v>0.33333333333333331</v>
      </c>
      <c r="BF26" s="11">
        <f t="shared" si="20"/>
        <v>0.16666666666666669</v>
      </c>
      <c r="BG26" s="11">
        <f t="shared" si="18"/>
        <v>0.66666666666666663</v>
      </c>
    </row>
    <row r="27" spans="1:59" x14ac:dyDescent="0.25">
      <c r="A27">
        <v>259</v>
      </c>
      <c r="B27" t="s">
        <v>35</v>
      </c>
      <c r="C27">
        <v>3</v>
      </c>
      <c r="D27" t="s">
        <v>36</v>
      </c>
      <c r="E27">
        <v>1</v>
      </c>
      <c r="F27" t="s">
        <v>37</v>
      </c>
      <c r="G27">
        <v>1</v>
      </c>
      <c r="H27">
        <v>2</v>
      </c>
      <c r="I27">
        <v>1</v>
      </c>
      <c r="J27">
        <v>26</v>
      </c>
      <c r="K27">
        <v>26</v>
      </c>
      <c r="L27">
        <v>60</v>
      </c>
      <c r="M27">
        <v>2</v>
      </c>
      <c r="N27" t="s">
        <v>157</v>
      </c>
      <c r="O27" t="s">
        <v>151</v>
      </c>
      <c r="P27" t="s">
        <v>158</v>
      </c>
      <c r="Q27" t="s">
        <v>159</v>
      </c>
      <c r="R27" t="s">
        <v>160</v>
      </c>
      <c r="S27" t="s">
        <v>43</v>
      </c>
      <c r="T27" t="s">
        <v>161</v>
      </c>
      <c r="U27">
        <v>2</v>
      </c>
      <c r="V27" t="s">
        <v>121</v>
      </c>
      <c r="W27" t="s">
        <v>94</v>
      </c>
      <c r="X27" t="s">
        <v>162</v>
      </c>
      <c r="Y27">
        <v>2</v>
      </c>
      <c r="Z27">
        <v>1</v>
      </c>
      <c r="AA27">
        <v>48</v>
      </c>
      <c r="AB27">
        <v>4.0000000000000001E-3</v>
      </c>
      <c r="AC27" t="s">
        <v>94</v>
      </c>
      <c r="AD27">
        <v>4</v>
      </c>
      <c r="AE27">
        <v>1</v>
      </c>
      <c r="AF27">
        <v>0</v>
      </c>
      <c r="AG27">
        <v>0.78600000000000003</v>
      </c>
      <c r="AH27">
        <v>1.05</v>
      </c>
      <c r="AI27">
        <v>0</v>
      </c>
      <c r="AJ27">
        <v>0.26499</v>
      </c>
      <c r="AK27">
        <v>1.1970000000000001</v>
      </c>
      <c r="AL27">
        <f t="shared" si="0"/>
        <v>1.1970000000000001</v>
      </c>
      <c r="AM27">
        <f>VLOOKUP(TRIM(N27),'[1]All - Durations'!$E$2:$H$109,4,FALSE)</f>
        <v>1.0549999999999999</v>
      </c>
      <c r="AN27">
        <f t="shared" si="1"/>
        <v>0.14200000000000013</v>
      </c>
      <c r="AO27">
        <f t="shared" si="2"/>
        <v>0.14200000000000013</v>
      </c>
      <c r="AP27" s="8"/>
      <c r="AQ27" s="9"/>
      <c r="AR27" s="2" t="s">
        <v>348</v>
      </c>
      <c r="AS27" s="11">
        <f>AVERAGEIFS($AB:$AB,$G:$G,4,$O:$O,$AP$4)</f>
        <v>0.38170833333333337</v>
      </c>
      <c r="AT27" s="11">
        <f>AVERAGEIFS($AB:$AB,$G:$G,4,$O:$O,$AP$5)</f>
        <v>0.61229166666666679</v>
      </c>
      <c r="AU27" s="11">
        <f>AVERAGEIFS($AB:$AB,$G:$G,4,$O:$O,$AP$6)</f>
        <v>0.73233333333333339</v>
      </c>
      <c r="AV27" s="9"/>
      <c r="AW27" s="2" t="s">
        <v>348</v>
      </c>
      <c r="AX27" s="11">
        <f>COUNTIFS($G:$G,4,$O:$O,$AP$6,$Y:$Y,1,$AF:$AF,1)/12</f>
        <v>0.41666666666666669</v>
      </c>
      <c r="AY27" s="11">
        <f>COUNTIFS($G:$G,4,$O:$O,$AP$6,$AD:$AD,2)/12</f>
        <v>0.33333333333333331</v>
      </c>
      <c r="AZ27" s="11">
        <f t="shared" si="19"/>
        <v>0.125</v>
      </c>
      <c r="BA27" s="11">
        <f t="shared" si="17"/>
        <v>0.75</v>
      </c>
      <c r="BB27" s="9"/>
      <c r="BC27" s="2" t="s">
        <v>348</v>
      </c>
      <c r="BD27" s="11">
        <f>COUNTIFS($G:$G,4,$O:$O,$AP$6,$Y:$Y,2,$AF:$AF,1)/12</f>
        <v>0.58333333333333337</v>
      </c>
      <c r="BE27" s="11">
        <f>COUNTIFS($G:$G,4,$O:$O,$AP$6,$AD:$AD,3)/12</f>
        <v>0.25</v>
      </c>
      <c r="BF27" s="11">
        <f t="shared" si="20"/>
        <v>8.3333333333333315E-2</v>
      </c>
      <c r="BG27" s="11">
        <f t="shared" si="18"/>
        <v>0.83333333333333337</v>
      </c>
    </row>
    <row r="28" spans="1:59" x14ac:dyDescent="0.25">
      <c r="A28">
        <v>259</v>
      </c>
      <c r="B28" t="s">
        <v>35</v>
      </c>
      <c r="C28">
        <v>3</v>
      </c>
      <c r="D28" t="s">
        <v>36</v>
      </c>
      <c r="E28">
        <v>1</v>
      </c>
      <c r="F28" t="s">
        <v>37</v>
      </c>
      <c r="G28">
        <v>1</v>
      </c>
      <c r="H28">
        <v>2</v>
      </c>
      <c r="I28">
        <v>1</v>
      </c>
      <c r="J28">
        <v>27</v>
      </c>
      <c r="K28">
        <v>35</v>
      </c>
      <c r="L28">
        <v>55</v>
      </c>
      <c r="M28">
        <v>2</v>
      </c>
      <c r="N28" t="s">
        <v>163</v>
      </c>
      <c r="O28" t="s">
        <v>151</v>
      </c>
      <c r="P28" t="s">
        <v>164</v>
      </c>
      <c r="Q28" t="s">
        <v>165</v>
      </c>
      <c r="R28" t="s">
        <v>154</v>
      </c>
      <c r="S28" t="s">
        <v>92</v>
      </c>
      <c r="T28" t="s">
        <v>86</v>
      </c>
      <c r="U28">
        <v>4</v>
      </c>
      <c r="V28" t="s">
        <v>166</v>
      </c>
      <c r="W28" t="s">
        <v>85</v>
      </c>
      <c r="X28" t="s">
        <v>95</v>
      </c>
      <c r="Y28">
        <v>1</v>
      </c>
      <c r="Z28">
        <v>1</v>
      </c>
      <c r="AA28">
        <v>48</v>
      </c>
      <c r="AB28">
        <v>2E-3</v>
      </c>
      <c r="AC28" t="s">
        <v>86</v>
      </c>
      <c r="AD28">
        <v>1</v>
      </c>
      <c r="AE28">
        <v>4</v>
      </c>
      <c r="AF28">
        <v>1</v>
      </c>
      <c r="AG28">
        <v>0.71599999999999997</v>
      </c>
      <c r="AH28">
        <v>0.93300000000000005</v>
      </c>
      <c r="AI28">
        <v>0</v>
      </c>
      <c r="AJ28">
        <v>1.1149899999999999</v>
      </c>
      <c r="AK28">
        <v>1.115</v>
      </c>
      <c r="AL28">
        <f t="shared" si="0"/>
        <v>1.115</v>
      </c>
      <c r="AM28">
        <f>VLOOKUP(TRIM(N28),'[1]All - Durations'!$E$2:$H$109,4,FALSE)</f>
        <v>0.877</v>
      </c>
      <c r="AN28">
        <f t="shared" si="1"/>
        <v>0.23799999999999999</v>
      </c>
      <c r="AO28">
        <f t="shared" si="2"/>
        <v>0.23799999999999999</v>
      </c>
      <c r="AP28" s="8"/>
      <c r="AQ28" s="9"/>
      <c r="AR28" s="2" t="s">
        <v>349</v>
      </c>
      <c r="AS28" s="11">
        <f>AVERAGEIFS($AB:$AB,$G:$G,5,$O:$O,$AP$4)</f>
        <v>-0.640625</v>
      </c>
      <c r="AT28" s="11">
        <f>AVERAGEIFS($AB:$AB,$G:$G,5,$O:$O,$AP$5)</f>
        <v>-0.61770833333333341</v>
      </c>
      <c r="AU28" s="11">
        <f>AVERAGEIFS($AB:$AB,$G:$G,5,$O:$O,$AP$6)</f>
        <v>-0.78012499999999996</v>
      </c>
      <c r="AV28" s="9"/>
      <c r="AW28" s="2" t="s">
        <v>349</v>
      </c>
      <c r="AX28" s="11">
        <f>COUNTIFS($G:$G,5,$O:$O,$AP$6,$Y:$Y,1,$AF:$AF,1)/12</f>
        <v>0.58333333333333337</v>
      </c>
      <c r="AY28" s="11">
        <f>COUNTIFS($G:$G,5,$O:$O,$AP$6,$AD:$AD,2)/12</f>
        <v>0</v>
      </c>
      <c r="AZ28" s="11">
        <f t="shared" si="19"/>
        <v>0.20833333333333331</v>
      </c>
      <c r="BA28" s="11">
        <f t="shared" si="17"/>
        <v>0.58333333333333337</v>
      </c>
      <c r="BB28" s="9"/>
      <c r="BC28" s="2" t="s">
        <v>349</v>
      </c>
      <c r="BD28" s="11">
        <f>COUNTIFS($G:$G,5,$O:$O,$AP$6,$Y:$Y,2,$AF:$AF,1)/12</f>
        <v>0.5</v>
      </c>
      <c r="BE28" s="11">
        <f>COUNTIFS($G:$G,5,$O:$O,$AP$6,$AD:$AD,3)/12</f>
        <v>0.25</v>
      </c>
      <c r="BF28" s="11">
        <f t="shared" si="20"/>
        <v>0.125</v>
      </c>
      <c r="BG28" s="11">
        <f t="shared" si="18"/>
        <v>0.75</v>
      </c>
    </row>
    <row r="29" spans="1:59" x14ac:dyDescent="0.25">
      <c r="A29">
        <v>259</v>
      </c>
      <c r="B29" t="s">
        <v>35</v>
      </c>
      <c r="C29">
        <v>3</v>
      </c>
      <c r="D29" t="s">
        <v>36</v>
      </c>
      <c r="E29">
        <v>1</v>
      </c>
      <c r="F29" t="s">
        <v>37</v>
      </c>
      <c r="G29">
        <v>1</v>
      </c>
      <c r="H29">
        <v>2</v>
      </c>
      <c r="I29">
        <v>1</v>
      </c>
      <c r="J29">
        <v>28</v>
      </c>
      <c r="K29">
        <v>27</v>
      </c>
      <c r="L29">
        <v>13</v>
      </c>
      <c r="M29">
        <v>1</v>
      </c>
      <c r="N29" t="s">
        <v>167</v>
      </c>
      <c r="O29" t="s">
        <v>151</v>
      </c>
      <c r="P29" t="s">
        <v>168</v>
      </c>
      <c r="Q29" t="s">
        <v>169</v>
      </c>
      <c r="R29" t="s">
        <v>170</v>
      </c>
      <c r="S29" t="s">
        <v>59</v>
      </c>
      <c r="T29" t="s">
        <v>96</v>
      </c>
      <c r="U29">
        <v>1</v>
      </c>
      <c r="V29" t="s">
        <v>103</v>
      </c>
      <c r="W29" t="s">
        <v>128</v>
      </c>
      <c r="X29" t="s">
        <v>93</v>
      </c>
      <c r="Y29">
        <v>2</v>
      </c>
      <c r="Z29">
        <v>1</v>
      </c>
      <c r="AA29">
        <v>48</v>
      </c>
      <c r="AB29">
        <v>4.0000000000000001E-3</v>
      </c>
      <c r="AC29" t="s">
        <v>128</v>
      </c>
      <c r="AD29">
        <v>4</v>
      </c>
      <c r="AE29">
        <v>5</v>
      </c>
      <c r="AF29">
        <v>0</v>
      </c>
      <c r="AG29">
        <v>1.9530000000000001</v>
      </c>
      <c r="AH29">
        <v>0.51700000000000002</v>
      </c>
      <c r="AI29">
        <v>0</v>
      </c>
      <c r="AJ29">
        <v>1.3349899999999999</v>
      </c>
      <c r="AK29">
        <v>1.335</v>
      </c>
      <c r="AL29">
        <f t="shared" si="0"/>
        <v>1.335</v>
      </c>
      <c r="AM29">
        <f>VLOOKUP(TRIM(N29),'[1]All - Durations'!$E$2:$H$109,4,FALSE)</f>
        <v>0.97399999999999998</v>
      </c>
      <c r="AN29">
        <f t="shared" si="1"/>
        <v>0.36099999999999999</v>
      </c>
      <c r="AO29">
        <f t="shared" si="2"/>
        <v>0.36099999999999999</v>
      </c>
      <c r="AP29" s="8"/>
      <c r="AQ29" s="9"/>
      <c r="AR29" s="2" t="s">
        <v>350</v>
      </c>
      <c r="AS29" s="11">
        <f>AVERAGEIFS($AB:$AB,$G:$G,6,$O:$O,$AP$4)</f>
        <v>-1</v>
      </c>
      <c r="AT29" s="11">
        <f>AVERAGEIFS($AB:$AB,$G:$G,6,$O:$O,$AP$5)</f>
        <v>-1</v>
      </c>
      <c r="AU29" s="11">
        <f>AVERAGEIFS($AB:$AB,$G:$G,6,$O:$O,$AP$6)</f>
        <v>-1</v>
      </c>
      <c r="AV29" s="9"/>
      <c r="AW29" s="2" t="s">
        <v>350</v>
      </c>
      <c r="AX29" s="11">
        <f>COUNTIFS($G:$G,6,$O:$O,$AP$6,$Y:$Y,1,$AF:$AF,1)/12</f>
        <v>0.58333333333333337</v>
      </c>
      <c r="AY29" s="11">
        <f>COUNTIFS($G:$G,6,$O:$O,$AP$6,$AD:$AD,2)/12</f>
        <v>0.16666666666666666</v>
      </c>
      <c r="AZ29" s="11">
        <f t="shared" si="19"/>
        <v>0.125</v>
      </c>
      <c r="BA29" s="11">
        <f t="shared" si="17"/>
        <v>0.75</v>
      </c>
      <c r="BB29" s="9"/>
      <c r="BC29" s="2" t="s">
        <v>350</v>
      </c>
      <c r="BD29" s="11">
        <f>COUNTIFS($G:$G,6,$O:$O,$AP$6,$Y:$Y,2,$AF:$AF,1)/12</f>
        <v>0.5</v>
      </c>
      <c r="BE29" s="11">
        <f>COUNTIFS($G:$G,6,$O:$O,$AP$6,$AD:$AD,3)/12</f>
        <v>0.16666666666666666</v>
      </c>
      <c r="BF29" s="11">
        <f t="shared" si="20"/>
        <v>0.16666666666666669</v>
      </c>
      <c r="BG29" s="11">
        <f t="shared" si="18"/>
        <v>0.66666666666666663</v>
      </c>
    </row>
    <row r="30" spans="1:59" x14ac:dyDescent="0.25">
      <c r="A30">
        <v>259</v>
      </c>
      <c r="B30" t="s">
        <v>35</v>
      </c>
      <c r="C30">
        <v>3</v>
      </c>
      <c r="D30" t="s">
        <v>36</v>
      </c>
      <c r="E30">
        <v>1</v>
      </c>
      <c r="F30" t="s">
        <v>37</v>
      </c>
      <c r="G30">
        <v>1</v>
      </c>
      <c r="H30">
        <v>2</v>
      </c>
      <c r="I30">
        <v>1</v>
      </c>
      <c r="J30">
        <v>29</v>
      </c>
      <c r="K30">
        <v>25</v>
      </c>
      <c r="L30">
        <v>59</v>
      </c>
      <c r="M30">
        <v>2</v>
      </c>
      <c r="N30" t="s">
        <v>171</v>
      </c>
      <c r="O30" t="s">
        <v>151</v>
      </c>
      <c r="P30" t="s">
        <v>158</v>
      </c>
      <c r="Q30" t="s">
        <v>159</v>
      </c>
      <c r="R30" t="s">
        <v>170</v>
      </c>
      <c r="S30" t="s">
        <v>59</v>
      </c>
      <c r="T30" t="s">
        <v>103</v>
      </c>
      <c r="U30">
        <v>2</v>
      </c>
      <c r="V30" t="s">
        <v>161</v>
      </c>
      <c r="W30" t="s">
        <v>69</v>
      </c>
      <c r="X30" t="s">
        <v>172</v>
      </c>
      <c r="Y30">
        <v>1</v>
      </c>
      <c r="Z30">
        <v>1</v>
      </c>
      <c r="AA30">
        <v>48</v>
      </c>
      <c r="AB30">
        <v>4.0000000000000001E-3</v>
      </c>
      <c r="AC30" t="s">
        <v>172</v>
      </c>
      <c r="AD30">
        <v>4</v>
      </c>
      <c r="AE30">
        <v>5</v>
      </c>
      <c r="AF30">
        <v>0</v>
      </c>
      <c r="AG30">
        <v>1.8180000000000001</v>
      </c>
      <c r="AH30">
        <v>0.51700000000000002</v>
      </c>
      <c r="AI30">
        <v>0</v>
      </c>
      <c r="AJ30">
        <v>1.17499</v>
      </c>
      <c r="AK30">
        <v>1.175</v>
      </c>
      <c r="AL30">
        <f t="shared" si="0"/>
        <v>1.175</v>
      </c>
      <c r="AM30">
        <f>VLOOKUP(TRIM(N30),'[1]All - Durations'!$E$2:$H$109,4,FALSE)</f>
        <v>0.92300000000000004</v>
      </c>
      <c r="AN30">
        <f t="shared" si="1"/>
        <v>0.252</v>
      </c>
      <c r="AO30">
        <f t="shared" si="2"/>
        <v>0.252</v>
      </c>
      <c r="AP30" s="8"/>
      <c r="AQ30" s="9"/>
      <c r="AR30" s="2" t="s">
        <v>351</v>
      </c>
      <c r="AS30" s="11">
        <f>AVERAGEIFS($AB:$AB,$G:$G,7,$O:$O,$AP$4)</f>
        <v>-1</v>
      </c>
      <c r="AT30" s="11">
        <f>AVERAGEIFS($AB:$AB,$G:$G,7,$O:$O,$AP$5)</f>
        <v>-1</v>
      </c>
      <c r="AU30" s="11">
        <f>AVERAGEIFS($AB:$AB,$G:$G,7,$O:$O,$AP$6)</f>
        <v>-1</v>
      </c>
      <c r="AV30" s="9"/>
      <c r="AW30" s="2" t="s">
        <v>351</v>
      </c>
      <c r="AX30" s="11">
        <f>COUNTIFS($G:$G,7,$O:$O,$AP$6,$Y:$Y,1,$AF:$AF,1)/12</f>
        <v>0.33333333333333331</v>
      </c>
      <c r="AY30" s="11">
        <f>COUNTIFS($G:$G,7,$O:$O,$AP$6,$AD:$AD,2)/12</f>
        <v>0.25</v>
      </c>
      <c r="AZ30" s="11">
        <f t="shared" si="19"/>
        <v>0.20833333333333337</v>
      </c>
      <c r="BA30" s="11">
        <f t="shared" si="17"/>
        <v>0.58333333333333326</v>
      </c>
      <c r="BB30" s="9"/>
      <c r="BC30" s="2" t="s">
        <v>351</v>
      </c>
      <c r="BD30" s="11">
        <f>COUNTIFS($G:$G,7,$O:$O,$AP$6,$Y:$Y,2,$AF:$AF,1)/12</f>
        <v>0.5</v>
      </c>
      <c r="BE30" s="11">
        <f>COUNTIFS($G:$G,7,$O:$O,$AP$6,$AD:$AD,3)/12</f>
        <v>8.3333333333333329E-2</v>
      </c>
      <c r="BF30" s="11">
        <f t="shared" si="20"/>
        <v>0.20833333333333331</v>
      </c>
      <c r="BG30" s="11">
        <f t="shared" si="18"/>
        <v>0.58333333333333337</v>
      </c>
    </row>
    <row r="31" spans="1:59" x14ac:dyDescent="0.25">
      <c r="A31">
        <v>259</v>
      </c>
      <c r="B31" t="s">
        <v>35</v>
      </c>
      <c r="C31">
        <v>3</v>
      </c>
      <c r="D31" t="s">
        <v>36</v>
      </c>
      <c r="E31">
        <v>1</v>
      </c>
      <c r="F31" t="s">
        <v>37</v>
      </c>
      <c r="G31">
        <v>1</v>
      </c>
      <c r="H31">
        <v>2</v>
      </c>
      <c r="I31">
        <v>1</v>
      </c>
      <c r="J31">
        <v>30</v>
      </c>
      <c r="K31">
        <v>34</v>
      </c>
      <c r="L31">
        <v>16</v>
      </c>
      <c r="M31">
        <v>1</v>
      </c>
      <c r="N31" t="s">
        <v>173</v>
      </c>
      <c r="O31" t="s">
        <v>151</v>
      </c>
      <c r="P31" t="s">
        <v>152</v>
      </c>
      <c r="Q31" t="s">
        <v>153</v>
      </c>
      <c r="R31" t="s">
        <v>174</v>
      </c>
      <c r="S31" t="s">
        <v>52</v>
      </c>
      <c r="T31" t="s">
        <v>99</v>
      </c>
      <c r="U31">
        <v>2</v>
      </c>
      <c r="V31" t="s">
        <v>155</v>
      </c>
      <c r="W31" t="s">
        <v>66</v>
      </c>
      <c r="X31" t="s">
        <v>81</v>
      </c>
      <c r="Y31">
        <v>1</v>
      </c>
      <c r="Z31">
        <v>1</v>
      </c>
      <c r="AA31">
        <v>48</v>
      </c>
      <c r="AB31">
        <v>4.0000000000000001E-3</v>
      </c>
      <c r="AC31" t="s">
        <v>66</v>
      </c>
      <c r="AD31">
        <v>4</v>
      </c>
      <c r="AE31">
        <v>4</v>
      </c>
      <c r="AF31">
        <v>0</v>
      </c>
      <c r="AG31">
        <v>1.1950000000000001</v>
      </c>
      <c r="AH31">
        <v>0.48299999999999998</v>
      </c>
      <c r="AI31">
        <v>0</v>
      </c>
      <c r="AJ31">
        <v>3.499E-2</v>
      </c>
      <c r="AK31">
        <v>1.3089999999999999</v>
      </c>
      <c r="AL31">
        <f t="shared" si="0"/>
        <v>1.3089999999999999</v>
      </c>
      <c r="AM31">
        <f>VLOOKUP(TRIM(N31),'[1]All - Durations'!$E$2:$H$109,4,FALSE)</f>
        <v>0.996</v>
      </c>
      <c r="AN31">
        <f t="shared" si="1"/>
        <v>0.31299999999999994</v>
      </c>
      <c r="AO31">
        <f t="shared" si="2"/>
        <v>0.31299999999999994</v>
      </c>
      <c r="AP31" s="8"/>
      <c r="AQ31" s="9"/>
      <c r="AR31" s="2" t="s">
        <v>352</v>
      </c>
      <c r="AS31" s="11">
        <f>AVERAGEIFS($AB:$AB,$G:$G,8,$O:$O,$AP$4)</f>
        <v>-1</v>
      </c>
      <c r="AT31" s="11">
        <f>AVERAGEIFS($AB:$AB,$G:$G,8,$O:$O,$AP$5)</f>
        <v>-0.486375</v>
      </c>
      <c r="AU31" s="11">
        <f>AVERAGEIFS($AB:$AB,$G:$G,8,$O:$O,$AP$6)</f>
        <v>-1</v>
      </c>
      <c r="AV31" s="9"/>
      <c r="AW31" s="2" t="s">
        <v>352</v>
      </c>
      <c r="AX31" s="11">
        <f>COUNTIFS($G:$G,8,$O:$O,$AP$6,$Y:$Y,1,$AF:$AF,1)/12</f>
        <v>0.66666666666666663</v>
      </c>
      <c r="AY31" s="11">
        <f>COUNTIFS($G:$G,8,$O:$O,$AP$6,$AD:$AD,2)/12</f>
        <v>0.16666666666666666</v>
      </c>
      <c r="AZ31" s="11">
        <f t="shared" si="19"/>
        <v>8.333333333333337E-2</v>
      </c>
      <c r="BA31" s="11">
        <f t="shared" si="17"/>
        <v>0.83333333333333326</v>
      </c>
      <c r="BB31" s="9"/>
      <c r="BC31" s="2" t="s">
        <v>352</v>
      </c>
      <c r="BD31" s="11">
        <f>COUNTIFS($G:$G,8,$O:$O,$AP$6,$Y:$Y,2,$AF:$AF,1)/12</f>
        <v>0.41666666666666669</v>
      </c>
      <c r="BE31" s="11">
        <f>COUNTIFS($G:$G,8,$O:$O,$AP$6,$AD:$AD,3)/12</f>
        <v>0.16666666666666666</v>
      </c>
      <c r="BF31" s="11">
        <f t="shared" si="20"/>
        <v>0.20833333333333331</v>
      </c>
      <c r="BG31" s="11">
        <f t="shared" si="18"/>
        <v>0.58333333333333337</v>
      </c>
    </row>
    <row r="32" spans="1:59" x14ac:dyDescent="0.25">
      <c r="A32">
        <v>259</v>
      </c>
      <c r="B32" t="s">
        <v>35</v>
      </c>
      <c r="C32">
        <v>3</v>
      </c>
      <c r="D32" t="s">
        <v>36</v>
      </c>
      <c r="E32">
        <v>1</v>
      </c>
      <c r="F32" t="s">
        <v>37</v>
      </c>
      <c r="G32">
        <v>1</v>
      </c>
      <c r="H32">
        <v>2</v>
      </c>
      <c r="I32">
        <v>1</v>
      </c>
      <c r="J32">
        <v>31</v>
      </c>
      <c r="K32">
        <v>36</v>
      </c>
      <c r="L32">
        <v>56</v>
      </c>
      <c r="M32">
        <v>2</v>
      </c>
      <c r="N32" t="s">
        <v>175</v>
      </c>
      <c r="O32" t="s">
        <v>151</v>
      </c>
      <c r="P32" t="s">
        <v>164</v>
      </c>
      <c r="Q32" t="s">
        <v>165</v>
      </c>
      <c r="R32" t="s">
        <v>174</v>
      </c>
      <c r="S32" t="s">
        <v>52</v>
      </c>
      <c r="T32" t="s">
        <v>166</v>
      </c>
      <c r="U32">
        <v>4</v>
      </c>
      <c r="V32" t="s">
        <v>132</v>
      </c>
      <c r="W32" t="s">
        <v>100</v>
      </c>
      <c r="X32" t="s">
        <v>80</v>
      </c>
      <c r="Y32">
        <v>2</v>
      </c>
      <c r="Z32">
        <v>1</v>
      </c>
      <c r="AA32">
        <v>48</v>
      </c>
      <c r="AB32">
        <v>2E-3</v>
      </c>
      <c r="AC32" t="s">
        <v>100</v>
      </c>
      <c r="AD32">
        <v>4</v>
      </c>
      <c r="AE32">
        <v>5</v>
      </c>
      <c r="AF32">
        <v>0</v>
      </c>
      <c r="AG32">
        <v>1.5149999999999999</v>
      </c>
      <c r="AH32">
        <v>0.58299999999999996</v>
      </c>
      <c r="AI32">
        <v>0</v>
      </c>
      <c r="AJ32">
        <v>7.4990000000000001E-2</v>
      </c>
      <c r="AK32">
        <v>1.2330000000000001</v>
      </c>
      <c r="AL32">
        <f t="shared" si="0"/>
        <v>1.2330000000000001</v>
      </c>
      <c r="AM32">
        <f>VLOOKUP(TRIM(N32),'[1]All - Durations'!$E$2:$H$109,4,FALSE)</f>
        <v>0.97099999999999997</v>
      </c>
      <c r="AN32">
        <f t="shared" si="1"/>
        <v>0.26200000000000012</v>
      </c>
      <c r="AO32">
        <f t="shared" si="2"/>
        <v>0.26200000000000012</v>
      </c>
      <c r="AP32" s="8"/>
      <c r="AQ32" s="2"/>
      <c r="AR32" s="1"/>
      <c r="AS32" s="12">
        <f>AVERAGE(AS24:AS31)</f>
        <v>-0.32917708333333329</v>
      </c>
      <c r="AT32" s="12">
        <f t="shared" ref="AT32:AU32" si="21">AVERAGE(AT24:AT31)</f>
        <v>-0.25339062499999998</v>
      </c>
      <c r="AU32" s="12">
        <f t="shared" si="21"/>
        <v>-0.32448437499999999</v>
      </c>
      <c r="AW32" s="6"/>
      <c r="AX32" s="12">
        <f>AVERAGE(AX24:AX31)</f>
        <v>0.43750000000000006</v>
      </c>
      <c r="AY32" s="12">
        <f t="shared" ref="AY32:BA32" si="22">AVERAGE(AY24:AY31)</f>
        <v>0.19791666666666669</v>
      </c>
      <c r="AZ32" s="12">
        <f t="shared" si="19"/>
        <v>0.18229166666666669</v>
      </c>
      <c r="BA32" s="12">
        <f t="shared" si="22"/>
        <v>0.63541666666666663</v>
      </c>
      <c r="BD32" s="12">
        <f>AVERAGE(BD24:BD31)</f>
        <v>0.39583333333333331</v>
      </c>
      <c r="BE32" s="12">
        <f t="shared" ref="BE32:BG32" si="23">AVERAGE(BE24:BE31)</f>
        <v>0.21875</v>
      </c>
      <c r="BF32" s="11">
        <f t="shared" si="20"/>
        <v>0.19270833333333337</v>
      </c>
      <c r="BG32" s="12">
        <f t="shared" si="23"/>
        <v>0.61458333333333326</v>
      </c>
    </row>
    <row r="33" spans="1:47" x14ac:dyDescent="0.25">
      <c r="A33">
        <v>259</v>
      </c>
      <c r="B33" t="s">
        <v>35</v>
      </c>
      <c r="C33">
        <v>3</v>
      </c>
      <c r="D33" t="s">
        <v>36</v>
      </c>
      <c r="E33">
        <v>1</v>
      </c>
      <c r="F33" t="s">
        <v>37</v>
      </c>
      <c r="G33">
        <v>1</v>
      </c>
      <c r="H33">
        <v>2</v>
      </c>
      <c r="I33">
        <v>1</v>
      </c>
      <c r="J33">
        <v>32</v>
      </c>
      <c r="K33">
        <v>31</v>
      </c>
      <c r="L33">
        <v>51</v>
      </c>
      <c r="M33">
        <v>2</v>
      </c>
      <c r="N33" t="s">
        <v>176</v>
      </c>
      <c r="O33" t="s">
        <v>151</v>
      </c>
      <c r="P33" t="s">
        <v>177</v>
      </c>
      <c r="Q33" t="s">
        <v>178</v>
      </c>
      <c r="R33" t="s">
        <v>170</v>
      </c>
      <c r="S33" t="s">
        <v>59</v>
      </c>
      <c r="T33" t="s">
        <v>139</v>
      </c>
      <c r="U33">
        <v>4</v>
      </c>
      <c r="V33" t="s">
        <v>108</v>
      </c>
      <c r="W33" t="s">
        <v>179</v>
      </c>
      <c r="X33" t="s">
        <v>144</v>
      </c>
      <c r="Y33">
        <v>1</v>
      </c>
      <c r="Z33">
        <v>1</v>
      </c>
      <c r="AA33">
        <v>48</v>
      </c>
      <c r="AB33">
        <v>3.0000000000000001E-3</v>
      </c>
      <c r="AC33" t="s">
        <v>179</v>
      </c>
      <c r="AD33">
        <v>4</v>
      </c>
      <c r="AE33">
        <v>5</v>
      </c>
      <c r="AF33">
        <v>0</v>
      </c>
      <c r="AG33">
        <v>2.0009999999999999</v>
      </c>
      <c r="AH33">
        <v>0.5</v>
      </c>
      <c r="AI33">
        <v>0</v>
      </c>
      <c r="AJ33">
        <v>1.3549899999999999</v>
      </c>
      <c r="AK33">
        <v>1.355</v>
      </c>
      <c r="AL33">
        <f t="shared" si="0"/>
        <v>1.355</v>
      </c>
      <c r="AM33">
        <f>VLOOKUP(TRIM(N33),'[1]All - Durations'!$E$2:$H$109,4,FALSE)</f>
        <v>0.879</v>
      </c>
      <c r="AN33">
        <f t="shared" si="1"/>
        <v>0.47599999999999998</v>
      </c>
      <c r="AO33">
        <f t="shared" si="2"/>
        <v>0.47599999999999998</v>
      </c>
    </row>
    <row r="34" spans="1:47" x14ac:dyDescent="0.25">
      <c r="A34">
        <v>259</v>
      </c>
      <c r="B34" t="s">
        <v>35</v>
      </c>
      <c r="C34">
        <v>3</v>
      </c>
      <c r="D34" t="s">
        <v>36</v>
      </c>
      <c r="E34">
        <v>1</v>
      </c>
      <c r="F34" t="s">
        <v>37</v>
      </c>
      <c r="G34">
        <v>1</v>
      </c>
      <c r="H34">
        <v>2</v>
      </c>
      <c r="I34">
        <v>1</v>
      </c>
      <c r="J34">
        <v>33</v>
      </c>
      <c r="K34">
        <v>29</v>
      </c>
      <c r="L34">
        <v>49</v>
      </c>
      <c r="M34">
        <v>2</v>
      </c>
      <c r="N34" t="s">
        <v>180</v>
      </c>
      <c r="O34" t="s">
        <v>151</v>
      </c>
      <c r="P34" t="s">
        <v>181</v>
      </c>
      <c r="Q34" t="s">
        <v>182</v>
      </c>
      <c r="R34" t="s">
        <v>154</v>
      </c>
      <c r="S34" t="s">
        <v>92</v>
      </c>
      <c r="T34" t="s">
        <v>183</v>
      </c>
      <c r="U34">
        <v>1</v>
      </c>
      <c r="V34" t="s">
        <v>86</v>
      </c>
      <c r="W34" t="s">
        <v>60</v>
      </c>
      <c r="X34" t="s">
        <v>61</v>
      </c>
      <c r="Y34">
        <v>2</v>
      </c>
      <c r="Z34">
        <v>1</v>
      </c>
      <c r="AA34">
        <v>48</v>
      </c>
      <c r="AB34">
        <v>2E-3</v>
      </c>
      <c r="AC34" t="s">
        <v>61</v>
      </c>
      <c r="AD34">
        <v>4</v>
      </c>
      <c r="AE34">
        <v>2</v>
      </c>
      <c r="AF34">
        <v>0</v>
      </c>
      <c r="AG34">
        <v>1.8129999999999999</v>
      </c>
      <c r="AH34">
        <v>0.71699999999999997</v>
      </c>
      <c r="AI34">
        <v>0</v>
      </c>
      <c r="AJ34">
        <v>1.22499</v>
      </c>
      <c r="AK34">
        <v>1.2250000000000001</v>
      </c>
      <c r="AL34">
        <f t="shared" si="0"/>
        <v>1.2250000000000001</v>
      </c>
      <c r="AM34">
        <f>VLOOKUP(TRIM(N34),'[1]All - Durations'!$E$2:$H$109,4,FALSE)</f>
        <v>0.81799999999999995</v>
      </c>
      <c r="AN34">
        <f t="shared" si="1"/>
        <v>0.40700000000000014</v>
      </c>
      <c r="AO34">
        <f t="shared" si="2"/>
        <v>0.40700000000000014</v>
      </c>
    </row>
    <row r="35" spans="1:47" x14ac:dyDescent="0.25">
      <c r="A35">
        <v>259</v>
      </c>
      <c r="B35" t="s">
        <v>35</v>
      </c>
      <c r="C35">
        <v>3</v>
      </c>
      <c r="D35" t="s">
        <v>36</v>
      </c>
      <c r="E35">
        <v>1</v>
      </c>
      <c r="F35" t="s">
        <v>37</v>
      </c>
      <c r="G35">
        <v>1</v>
      </c>
      <c r="H35">
        <v>2</v>
      </c>
      <c r="I35">
        <v>1</v>
      </c>
      <c r="J35">
        <v>34</v>
      </c>
      <c r="K35">
        <v>28</v>
      </c>
      <c r="L35">
        <v>14</v>
      </c>
      <c r="M35">
        <v>1</v>
      </c>
      <c r="N35" t="s">
        <v>184</v>
      </c>
      <c r="O35" t="s">
        <v>151</v>
      </c>
      <c r="P35" t="s">
        <v>168</v>
      </c>
      <c r="Q35" t="s">
        <v>169</v>
      </c>
      <c r="R35" t="s">
        <v>154</v>
      </c>
      <c r="S35" t="s">
        <v>92</v>
      </c>
      <c r="T35" t="s">
        <v>141</v>
      </c>
      <c r="U35">
        <v>2</v>
      </c>
      <c r="V35" t="s">
        <v>96</v>
      </c>
      <c r="W35" t="s">
        <v>185</v>
      </c>
      <c r="X35" t="s">
        <v>107</v>
      </c>
      <c r="Y35">
        <v>1</v>
      </c>
      <c r="Z35">
        <v>1</v>
      </c>
      <c r="AA35">
        <v>48</v>
      </c>
      <c r="AB35">
        <v>4.0000000000000001E-3</v>
      </c>
      <c r="AC35" t="s">
        <v>185</v>
      </c>
      <c r="AD35">
        <v>4</v>
      </c>
      <c r="AE35">
        <v>5</v>
      </c>
      <c r="AF35">
        <v>0</v>
      </c>
      <c r="AG35">
        <v>1.847</v>
      </c>
      <c r="AH35">
        <v>0.46700000000000003</v>
      </c>
      <c r="AI35">
        <v>0</v>
      </c>
      <c r="AJ35">
        <v>3.499E-2</v>
      </c>
      <c r="AK35">
        <v>1.171</v>
      </c>
      <c r="AL35">
        <f t="shared" si="0"/>
        <v>1.171</v>
      </c>
      <c r="AM35">
        <f>VLOOKUP(TRIM(N35),'[1]All - Durations'!$E$2:$H$109,4,FALSE)</f>
        <v>0.91</v>
      </c>
      <c r="AN35">
        <f t="shared" si="1"/>
        <v>0.26100000000000001</v>
      </c>
      <c r="AO35">
        <f t="shared" si="2"/>
        <v>0.26100000000000001</v>
      </c>
    </row>
    <row r="36" spans="1:47" x14ac:dyDescent="0.25">
      <c r="A36">
        <v>259</v>
      </c>
      <c r="B36" t="s">
        <v>35</v>
      </c>
      <c r="C36">
        <v>3</v>
      </c>
      <c r="D36" t="s">
        <v>36</v>
      </c>
      <c r="E36">
        <v>1</v>
      </c>
      <c r="F36" t="s">
        <v>37</v>
      </c>
      <c r="G36">
        <v>1</v>
      </c>
      <c r="H36">
        <v>2</v>
      </c>
      <c r="I36">
        <v>1</v>
      </c>
      <c r="J36">
        <v>35</v>
      </c>
      <c r="K36">
        <v>30</v>
      </c>
      <c r="L36">
        <v>50</v>
      </c>
      <c r="M36">
        <v>2</v>
      </c>
      <c r="N36" t="s">
        <v>186</v>
      </c>
      <c r="O36" t="s">
        <v>151</v>
      </c>
      <c r="P36" t="s">
        <v>181</v>
      </c>
      <c r="Q36" t="s">
        <v>182</v>
      </c>
      <c r="R36" t="s">
        <v>174</v>
      </c>
      <c r="S36" t="s">
        <v>52</v>
      </c>
      <c r="T36" t="s">
        <v>187</v>
      </c>
      <c r="U36">
        <v>4</v>
      </c>
      <c r="V36" t="s">
        <v>183</v>
      </c>
      <c r="W36" t="s">
        <v>45</v>
      </c>
      <c r="X36" t="s">
        <v>116</v>
      </c>
      <c r="Y36">
        <v>1</v>
      </c>
      <c r="Z36">
        <v>1</v>
      </c>
      <c r="AA36">
        <v>48</v>
      </c>
      <c r="AB36">
        <v>2E-3</v>
      </c>
      <c r="AC36" t="s">
        <v>116</v>
      </c>
      <c r="AD36">
        <v>4</v>
      </c>
      <c r="AE36">
        <v>1</v>
      </c>
      <c r="AF36">
        <v>0</v>
      </c>
      <c r="AG36">
        <v>1.137</v>
      </c>
      <c r="AH36">
        <v>1.35</v>
      </c>
      <c r="AI36">
        <v>0</v>
      </c>
      <c r="AJ36">
        <v>3.499E-2</v>
      </c>
      <c r="AK36">
        <v>1.2090000000000001</v>
      </c>
      <c r="AL36">
        <f t="shared" si="0"/>
        <v>1.2090000000000001</v>
      </c>
      <c r="AM36">
        <f>VLOOKUP(TRIM(N36),'[1]All - Durations'!$E$2:$H$109,4,FALSE)</f>
        <v>0.89100000000000001</v>
      </c>
      <c r="AN36">
        <f t="shared" si="1"/>
        <v>0.31800000000000006</v>
      </c>
      <c r="AO36">
        <f t="shared" si="2"/>
        <v>0.31800000000000006</v>
      </c>
    </row>
    <row r="37" spans="1:47" x14ac:dyDescent="0.25">
      <c r="A37">
        <v>259</v>
      </c>
      <c r="B37" t="s">
        <v>35</v>
      </c>
      <c r="C37">
        <v>3</v>
      </c>
      <c r="D37" t="s">
        <v>36</v>
      </c>
      <c r="E37">
        <v>1</v>
      </c>
      <c r="F37" t="s">
        <v>37</v>
      </c>
      <c r="G37">
        <v>1</v>
      </c>
      <c r="H37">
        <v>2</v>
      </c>
      <c r="I37">
        <v>1</v>
      </c>
      <c r="J37">
        <v>36</v>
      </c>
      <c r="K37">
        <v>32</v>
      </c>
      <c r="L37">
        <v>52</v>
      </c>
      <c r="M37">
        <v>2</v>
      </c>
      <c r="N37" t="s">
        <v>188</v>
      </c>
      <c r="O37" t="s">
        <v>151</v>
      </c>
      <c r="P37" t="s">
        <v>177</v>
      </c>
      <c r="Q37" t="s">
        <v>178</v>
      </c>
      <c r="R37" t="s">
        <v>160</v>
      </c>
      <c r="S37" t="s">
        <v>43</v>
      </c>
      <c r="T37" t="s">
        <v>108</v>
      </c>
      <c r="U37">
        <v>4</v>
      </c>
      <c r="V37" t="s">
        <v>55</v>
      </c>
      <c r="W37" t="s">
        <v>56</v>
      </c>
      <c r="X37" t="s">
        <v>138</v>
      </c>
      <c r="Y37">
        <v>2</v>
      </c>
      <c r="Z37">
        <v>1</v>
      </c>
      <c r="AA37">
        <v>48</v>
      </c>
      <c r="AB37">
        <v>2E-3</v>
      </c>
      <c r="AC37" t="s">
        <v>108</v>
      </c>
      <c r="AD37">
        <v>1</v>
      </c>
      <c r="AE37">
        <v>4</v>
      </c>
      <c r="AF37">
        <v>1</v>
      </c>
      <c r="AG37">
        <v>1.0389999999999999</v>
      </c>
      <c r="AH37">
        <v>0.61699999999999999</v>
      </c>
      <c r="AI37">
        <v>0</v>
      </c>
      <c r="AJ37">
        <v>3.499E-2</v>
      </c>
      <c r="AK37">
        <v>1.1479999999999999</v>
      </c>
      <c r="AL37">
        <f t="shared" si="0"/>
        <v>1.1479999999999999</v>
      </c>
      <c r="AM37">
        <f>VLOOKUP(TRIM(N37),'[1]All - Durations'!$E$2:$H$109,4,FALSE)</f>
        <v>0.90400000000000003</v>
      </c>
      <c r="AN37">
        <f t="shared" si="1"/>
        <v>0.24399999999999988</v>
      </c>
      <c r="AO37">
        <f t="shared" si="2"/>
        <v>0.24399999999999988</v>
      </c>
      <c r="AQ37" s="27" t="s">
        <v>403</v>
      </c>
      <c r="AR37" s="1"/>
      <c r="AS37" s="28" t="s">
        <v>335</v>
      </c>
      <c r="AT37" s="28" t="s">
        <v>336</v>
      </c>
      <c r="AU37" s="28" t="s">
        <v>337</v>
      </c>
    </row>
    <row r="38" spans="1:47" x14ac:dyDescent="0.25">
      <c r="A38">
        <v>259</v>
      </c>
      <c r="B38" t="s">
        <v>35</v>
      </c>
      <c r="C38">
        <v>3</v>
      </c>
      <c r="D38" t="s">
        <v>36</v>
      </c>
      <c r="E38">
        <v>1</v>
      </c>
      <c r="F38" t="s">
        <v>37</v>
      </c>
      <c r="G38">
        <v>1</v>
      </c>
      <c r="H38">
        <v>2</v>
      </c>
      <c r="I38">
        <v>1</v>
      </c>
      <c r="J38">
        <v>37</v>
      </c>
      <c r="K38">
        <v>46</v>
      </c>
      <c r="L38">
        <v>46</v>
      </c>
      <c r="M38">
        <v>2</v>
      </c>
      <c r="N38" t="s">
        <v>189</v>
      </c>
      <c r="O38" t="s">
        <v>39</v>
      </c>
      <c r="P38" t="s">
        <v>190</v>
      </c>
      <c r="Q38" t="s">
        <v>191</v>
      </c>
      <c r="R38" t="s">
        <v>42</v>
      </c>
      <c r="S38" t="s">
        <v>43</v>
      </c>
      <c r="T38" t="s">
        <v>45</v>
      </c>
      <c r="U38">
        <v>1</v>
      </c>
      <c r="V38" t="s">
        <v>149</v>
      </c>
      <c r="W38" t="s">
        <v>139</v>
      </c>
      <c r="X38" t="s">
        <v>124</v>
      </c>
      <c r="Y38">
        <v>1</v>
      </c>
      <c r="Z38">
        <v>1</v>
      </c>
      <c r="AA38">
        <v>48</v>
      </c>
      <c r="AB38">
        <v>4.0000000000000001E-3</v>
      </c>
      <c r="AC38" t="s">
        <v>149</v>
      </c>
      <c r="AD38">
        <v>2</v>
      </c>
      <c r="AE38">
        <v>2</v>
      </c>
      <c r="AF38">
        <v>0</v>
      </c>
      <c r="AG38">
        <v>1.4550000000000001</v>
      </c>
      <c r="AH38">
        <v>0.5</v>
      </c>
      <c r="AI38">
        <v>0</v>
      </c>
      <c r="AJ38">
        <v>3.499E-2</v>
      </c>
      <c r="AK38">
        <v>1.2490000000000001</v>
      </c>
      <c r="AL38">
        <f t="shared" si="0"/>
        <v>1.2490000000000001</v>
      </c>
      <c r="AM38">
        <f>VLOOKUP(TRIM(N38),'[1]All - Durations'!$E$2:$H$109,4,FALSE)</f>
        <v>1.091</v>
      </c>
      <c r="AN38">
        <f t="shared" si="1"/>
        <v>0.15800000000000014</v>
      </c>
      <c r="AO38">
        <f t="shared" si="2"/>
        <v>0.15800000000000014</v>
      </c>
      <c r="AQ38" s="27"/>
      <c r="AR38" s="29" t="s">
        <v>345</v>
      </c>
      <c r="AS38" s="11">
        <f>AVERAGEIFS($AO:$AO,$G:$G,1,$O:$O,$AP$4)</f>
        <v>0.30524999999999997</v>
      </c>
      <c r="AT38" s="11">
        <f>AVERAGEIFS($AO:$AO,$G:$G,1,$O:$O,$AP$5)</f>
        <v>0.29216666666666663</v>
      </c>
      <c r="AU38" s="11">
        <f>AVERAGEIFS($AO:$AO,$G:$G,1,$O:$O,$AP$6)</f>
        <v>0.3611666666666668</v>
      </c>
    </row>
    <row r="39" spans="1:47" x14ac:dyDescent="0.25">
      <c r="A39">
        <v>259</v>
      </c>
      <c r="B39" t="s">
        <v>35</v>
      </c>
      <c r="C39">
        <v>3</v>
      </c>
      <c r="D39" t="s">
        <v>36</v>
      </c>
      <c r="E39">
        <v>1</v>
      </c>
      <c r="F39" t="s">
        <v>37</v>
      </c>
      <c r="G39">
        <v>1</v>
      </c>
      <c r="H39">
        <v>2</v>
      </c>
      <c r="I39">
        <v>1</v>
      </c>
      <c r="J39">
        <v>38</v>
      </c>
      <c r="K39">
        <v>43</v>
      </c>
      <c r="L39">
        <v>5</v>
      </c>
      <c r="M39">
        <v>1</v>
      </c>
      <c r="N39" t="s">
        <v>192</v>
      </c>
      <c r="O39" t="s">
        <v>39</v>
      </c>
      <c r="P39" t="s">
        <v>193</v>
      </c>
      <c r="Q39" t="s">
        <v>194</v>
      </c>
      <c r="R39" t="s">
        <v>51</v>
      </c>
      <c r="S39" t="s">
        <v>52</v>
      </c>
      <c r="T39" t="s">
        <v>144</v>
      </c>
      <c r="U39">
        <v>4</v>
      </c>
      <c r="V39" t="s">
        <v>53</v>
      </c>
      <c r="W39" t="s">
        <v>116</v>
      </c>
      <c r="X39" t="s">
        <v>161</v>
      </c>
      <c r="Y39">
        <v>2</v>
      </c>
      <c r="Z39">
        <v>1</v>
      </c>
      <c r="AA39">
        <v>48</v>
      </c>
      <c r="AB39">
        <v>3.0000000000000001E-3</v>
      </c>
      <c r="AC39" t="s">
        <v>144</v>
      </c>
      <c r="AD39">
        <v>1</v>
      </c>
      <c r="AE39">
        <v>4</v>
      </c>
      <c r="AF39">
        <v>1</v>
      </c>
      <c r="AG39">
        <v>2.5609999999999999</v>
      </c>
      <c r="AH39">
        <v>0.81599999999999995</v>
      </c>
      <c r="AI39">
        <v>0</v>
      </c>
      <c r="AJ39">
        <v>9.4990000000000005E-2</v>
      </c>
      <c r="AK39">
        <v>1.2490000000000001</v>
      </c>
      <c r="AL39">
        <f t="shared" si="0"/>
        <v>1.2490000000000001</v>
      </c>
      <c r="AM39">
        <f>VLOOKUP(TRIM(N39),'[1]All - Durations'!$E$2:$H$109,4,FALSE)</f>
        <v>1.0669999999999999</v>
      </c>
      <c r="AN39">
        <f t="shared" si="1"/>
        <v>0.18200000000000016</v>
      </c>
      <c r="AO39">
        <f t="shared" si="2"/>
        <v>0.18200000000000016</v>
      </c>
      <c r="AQ39" s="27"/>
      <c r="AR39" s="29" t="s">
        <v>346</v>
      </c>
      <c r="AS39" s="11">
        <f>AVERAGEIFS($AO:$AO,$G:$G,2,$O:$O,$AP$4)</f>
        <v>0.13799999999999998</v>
      </c>
      <c r="AT39" s="11">
        <f>AVERAGEIFS($AO:$AO,$G:$G,2,$O:$O,$AP$5)</f>
        <v>0.13716666666666669</v>
      </c>
      <c r="AU39" s="11">
        <f>AVERAGEIFS($AO:$AO,$G:$G,2,$O:$O,$AP$6)</f>
        <v>0.17595833333333333</v>
      </c>
    </row>
    <row r="40" spans="1:47" x14ac:dyDescent="0.25">
      <c r="A40">
        <v>259</v>
      </c>
      <c r="B40" t="s">
        <v>35</v>
      </c>
      <c r="C40">
        <v>3</v>
      </c>
      <c r="D40" t="s">
        <v>36</v>
      </c>
      <c r="E40">
        <v>1</v>
      </c>
      <c r="F40" t="s">
        <v>37</v>
      </c>
      <c r="G40">
        <v>1</v>
      </c>
      <c r="H40">
        <v>2</v>
      </c>
      <c r="I40">
        <v>1</v>
      </c>
      <c r="J40">
        <v>39</v>
      </c>
      <c r="K40">
        <v>40</v>
      </c>
      <c r="L40">
        <v>8</v>
      </c>
      <c r="M40">
        <v>1</v>
      </c>
      <c r="N40" t="s">
        <v>195</v>
      </c>
      <c r="O40" t="s">
        <v>39</v>
      </c>
      <c r="P40" t="s">
        <v>196</v>
      </c>
      <c r="Q40" t="s">
        <v>197</v>
      </c>
      <c r="R40" t="s">
        <v>42</v>
      </c>
      <c r="S40" t="s">
        <v>43</v>
      </c>
      <c r="T40" t="s">
        <v>85</v>
      </c>
      <c r="U40">
        <v>1</v>
      </c>
      <c r="V40" t="s">
        <v>156</v>
      </c>
      <c r="W40" t="s">
        <v>119</v>
      </c>
      <c r="X40" t="s">
        <v>155</v>
      </c>
      <c r="Y40">
        <v>1</v>
      </c>
      <c r="Z40">
        <v>1</v>
      </c>
      <c r="AA40">
        <v>48</v>
      </c>
      <c r="AB40">
        <v>3.0000000000000001E-3</v>
      </c>
      <c r="AC40" t="s">
        <v>119</v>
      </c>
      <c r="AD40">
        <v>4</v>
      </c>
      <c r="AE40">
        <v>2</v>
      </c>
      <c r="AF40">
        <v>0</v>
      </c>
      <c r="AG40">
        <v>1.5489999999999999</v>
      </c>
      <c r="AH40">
        <v>0.45</v>
      </c>
      <c r="AI40">
        <v>0</v>
      </c>
      <c r="AJ40">
        <v>3.499E-2</v>
      </c>
      <c r="AK40">
        <v>1.169</v>
      </c>
      <c r="AL40">
        <f t="shared" si="0"/>
        <v>1.169</v>
      </c>
      <c r="AM40">
        <f>VLOOKUP(TRIM(N40),'[1]All - Durations'!$E$2:$H$109,4,FALSE)</f>
        <v>0.92600000000000005</v>
      </c>
      <c r="AN40">
        <f t="shared" si="1"/>
        <v>0.24299999999999999</v>
      </c>
      <c r="AO40">
        <f t="shared" si="2"/>
        <v>0.24299999999999999</v>
      </c>
      <c r="AQ40" s="27"/>
      <c r="AR40" s="30" t="s">
        <v>347</v>
      </c>
      <c r="AS40" s="11">
        <f>AVERAGEIFS($AO:$AO,$G:$G,3,$O:$O,$AP$4)</f>
        <v>0.27807233333333331</v>
      </c>
      <c r="AT40" s="11">
        <f>AVERAGEIFS($AO:$AO,$G:$G,3,$O:$O,$AP$5)</f>
        <v>0.23186400000000004</v>
      </c>
      <c r="AU40" s="11">
        <f>AVERAGEIFS($AO:$AO,$G:$G,3,$O:$O,$AP$6)</f>
        <v>0.29378066666666663</v>
      </c>
    </row>
    <row r="41" spans="1:47" x14ac:dyDescent="0.25">
      <c r="A41">
        <v>259</v>
      </c>
      <c r="B41" t="s">
        <v>35</v>
      </c>
      <c r="C41">
        <v>3</v>
      </c>
      <c r="D41" t="s">
        <v>36</v>
      </c>
      <c r="E41">
        <v>1</v>
      </c>
      <c r="F41" t="s">
        <v>37</v>
      </c>
      <c r="G41">
        <v>1</v>
      </c>
      <c r="H41">
        <v>2</v>
      </c>
      <c r="I41">
        <v>1</v>
      </c>
      <c r="J41">
        <v>40</v>
      </c>
      <c r="K41">
        <v>41</v>
      </c>
      <c r="L41">
        <v>41</v>
      </c>
      <c r="M41">
        <v>2</v>
      </c>
      <c r="N41" t="s">
        <v>198</v>
      </c>
      <c r="O41" t="s">
        <v>39</v>
      </c>
      <c r="P41" t="s">
        <v>199</v>
      </c>
      <c r="Q41" t="s">
        <v>200</v>
      </c>
      <c r="R41" t="s">
        <v>58</v>
      </c>
      <c r="S41" t="s">
        <v>59</v>
      </c>
      <c r="T41" t="s">
        <v>138</v>
      </c>
      <c r="U41">
        <v>5</v>
      </c>
      <c r="V41" t="s">
        <v>66</v>
      </c>
      <c r="W41" t="s">
        <v>121</v>
      </c>
      <c r="X41" t="s">
        <v>137</v>
      </c>
      <c r="Y41">
        <v>2</v>
      </c>
      <c r="Z41">
        <v>1</v>
      </c>
      <c r="AA41">
        <v>48</v>
      </c>
      <c r="AB41">
        <v>2E-3</v>
      </c>
      <c r="AC41" t="s">
        <v>121</v>
      </c>
      <c r="AD41">
        <v>4</v>
      </c>
      <c r="AE41">
        <v>2</v>
      </c>
      <c r="AF41">
        <v>0</v>
      </c>
      <c r="AG41">
        <v>1.9890000000000001</v>
      </c>
      <c r="AH41">
        <v>0.433</v>
      </c>
      <c r="AI41">
        <v>0</v>
      </c>
      <c r="AJ41">
        <v>1.20499</v>
      </c>
      <c r="AK41">
        <v>1.2050000000000001</v>
      </c>
      <c r="AL41">
        <f t="shared" si="0"/>
        <v>1.2050000000000001</v>
      </c>
      <c r="AM41">
        <f>VLOOKUP(TRIM(N41),'[1]All - Durations'!$E$2:$H$109,4,FALSE)</f>
        <v>0.97199999999999998</v>
      </c>
      <c r="AN41">
        <f t="shared" si="1"/>
        <v>0.2330000000000001</v>
      </c>
      <c r="AO41">
        <f t="shared" si="2"/>
        <v>0.2330000000000001</v>
      </c>
      <c r="AQ41" s="27"/>
      <c r="AR41" s="30" t="s">
        <v>348</v>
      </c>
      <c r="AS41" s="11">
        <f>AVERAGEIFS($AO:$AO,$G:$G,4,$O:$O,$AP$4)</f>
        <v>0.18640566666666669</v>
      </c>
      <c r="AT41" s="11">
        <f>AVERAGEIFS($AO:$AO,$G:$G,4,$O:$O,$AP$5)</f>
        <v>0.20686400000000002</v>
      </c>
      <c r="AU41" s="11">
        <f>AVERAGEIFS($AO:$AO,$G:$G,4,$O:$O,$AP$6)</f>
        <v>0.19586400000000001</v>
      </c>
    </row>
    <row r="42" spans="1:47" x14ac:dyDescent="0.25">
      <c r="A42">
        <v>259</v>
      </c>
      <c r="B42" t="s">
        <v>35</v>
      </c>
      <c r="C42">
        <v>3</v>
      </c>
      <c r="D42" t="s">
        <v>36</v>
      </c>
      <c r="E42">
        <v>1</v>
      </c>
      <c r="F42" t="s">
        <v>37</v>
      </c>
      <c r="G42">
        <v>1</v>
      </c>
      <c r="H42">
        <v>2</v>
      </c>
      <c r="I42">
        <v>1</v>
      </c>
      <c r="J42">
        <v>41</v>
      </c>
      <c r="K42">
        <v>48</v>
      </c>
      <c r="L42">
        <v>10</v>
      </c>
      <c r="M42">
        <v>1</v>
      </c>
      <c r="N42" t="s">
        <v>201</v>
      </c>
      <c r="O42" t="s">
        <v>39</v>
      </c>
      <c r="P42" t="s">
        <v>202</v>
      </c>
      <c r="Q42" t="s">
        <v>203</v>
      </c>
      <c r="R42" t="s">
        <v>51</v>
      </c>
      <c r="S42" t="s">
        <v>52</v>
      </c>
      <c r="T42" t="s">
        <v>172</v>
      </c>
      <c r="U42">
        <v>4</v>
      </c>
      <c r="V42" t="s">
        <v>102</v>
      </c>
      <c r="W42" t="s">
        <v>162</v>
      </c>
      <c r="X42" t="s">
        <v>204</v>
      </c>
      <c r="Y42">
        <v>2</v>
      </c>
      <c r="Z42">
        <v>1</v>
      </c>
      <c r="AA42">
        <v>48</v>
      </c>
      <c r="AB42">
        <v>4.0000000000000001E-3</v>
      </c>
      <c r="AC42" t="s">
        <v>102</v>
      </c>
      <c r="AD42">
        <v>3</v>
      </c>
      <c r="AE42">
        <v>5</v>
      </c>
      <c r="AF42">
        <v>0</v>
      </c>
      <c r="AG42">
        <v>0.81899999999999995</v>
      </c>
      <c r="AH42">
        <v>0.41699999999999998</v>
      </c>
      <c r="AI42">
        <v>0</v>
      </c>
      <c r="AJ42">
        <v>3.499E-2</v>
      </c>
      <c r="AK42">
        <v>1.2490000000000001</v>
      </c>
      <c r="AL42">
        <f t="shared" si="0"/>
        <v>1.2490000000000001</v>
      </c>
      <c r="AM42">
        <f>VLOOKUP(TRIM(N42),'[1]All - Durations'!$E$2:$H$109,4,FALSE)</f>
        <v>0.997</v>
      </c>
      <c r="AN42">
        <f t="shared" si="1"/>
        <v>0.25200000000000011</v>
      </c>
      <c r="AO42">
        <f t="shared" si="2"/>
        <v>0.25200000000000011</v>
      </c>
      <c r="AQ42" s="27"/>
      <c r="AR42" s="30" t="s">
        <v>349</v>
      </c>
      <c r="AS42" s="11" t="e">
        <f>AVERAGEIFS($AO:$AO,$G:$G,5,$O:$O,$AP$4)</f>
        <v>#DIV/0!</v>
      </c>
      <c r="AT42" s="11" t="e">
        <f>AVERAGEIFS($AO:$AO,$G:$G,5,$O:$O,$AP$5)</f>
        <v>#DIV/0!</v>
      </c>
      <c r="AU42" s="11" t="e">
        <f>AVERAGEIFS($AO:$AO,$G:$G,5,$O:$O,$AP$6)</f>
        <v>#DIV/0!</v>
      </c>
    </row>
    <row r="43" spans="1:47" x14ac:dyDescent="0.25">
      <c r="A43">
        <v>259</v>
      </c>
      <c r="B43" t="s">
        <v>35</v>
      </c>
      <c r="C43">
        <v>3</v>
      </c>
      <c r="D43" t="s">
        <v>36</v>
      </c>
      <c r="E43">
        <v>1</v>
      </c>
      <c r="F43" t="s">
        <v>37</v>
      </c>
      <c r="G43">
        <v>1</v>
      </c>
      <c r="H43">
        <v>2</v>
      </c>
      <c r="I43">
        <v>1</v>
      </c>
      <c r="J43">
        <v>42</v>
      </c>
      <c r="K43">
        <v>39</v>
      </c>
      <c r="L43">
        <v>7</v>
      </c>
      <c r="M43">
        <v>1</v>
      </c>
      <c r="N43" t="s">
        <v>205</v>
      </c>
      <c r="O43" t="s">
        <v>39</v>
      </c>
      <c r="P43" t="s">
        <v>196</v>
      </c>
      <c r="Q43" t="s">
        <v>197</v>
      </c>
      <c r="R43" t="s">
        <v>58</v>
      </c>
      <c r="S43" t="s">
        <v>59</v>
      </c>
      <c r="T43" t="s">
        <v>156</v>
      </c>
      <c r="U43">
        <v>5</v>
      </c>
      <c r="V43" t="s">
        <v>147</v>
      </c>
      <c r="W43" t="s">
        <v>130</v>
      </c>
      <c r="X43" t="s">
        <v>166</v>
      </c>
      <c r="Y43">
        <v>2</v>
      </c>
      <c r="Z43">
        <v>1</v>
      </c>
      <c r="AA43">
        <v>48</v>
      </c>
      <c r="AB43">
        <v>4.0000000000000001E-3</v>
      </c>
      <c r="AC43" t="s">
        <v>166</v>
      </c>
      <c r="AD43">
        <v>4</v>
      </c>
      <c r="AE43">
        <v>1</v>
      </c>
      <c r="AF43">
        <v>0</v>
      </c>
      <c r="AG43">
        <v>1.2470000000000001</v>
      </c>
      <c r="AH43">
        <v>0.51700000000000002</v>
      </c>
      <c r="AI43">
        <v>0</v>
      </c>
      <c r="AJ43">
        <v>1.25499</v>
      </c>
      <c r="AK43">
        <v>1.2549999999999999</v>
      </c>
      <c r="AL43">
        <f t="shared" si="0"/>
        <v>1.2549999999999999</v>
      </c>
      <c r="AM43">
        <f>VLOOKUP(TRIM(N43),'[1]All - Durations'!$E$2:$H$109,4,FALSE)</f>
        <v>0.94499999999999995</v>
      </c>
      <c r="AN43">
        <f t="shared" si="1"/>
        <v>0.30999999999999994</v>
      </c>
      <c r="AO43">
        <f t="shared" si="2"/>
        <v>0.30999999999999994</v>
      </c>
      <c r="AQ43" s="27"/>
      <c r="AR43" s="30" t="s">
        <v>350</v>
      </c>
      <c r="AS43" s="11" t="e">
        <f>AVERAGEIFS($AO:$AO,$G:$G,6,$O:$O,$AP$4)</f>
        <v>#DIV/0!</v>
      </c>
      <c r="AT43" s="11" t="e">
        <f>AVERAGEIFS($AO:$AO,$G:$G,6,$O:$O,$AP$5)</f>
        <v>#DIV/0!</v>
      </c>
      <c r="AU43" s="11" t="e">
        <f>AVERAGEIFS($AO:$AO,$G:$G,6,$O:$O,$AP$6)</f>
        <v>#DIV/0!</v>
      </c>
    </row>
    <row r="44" spans="1:47" x14ac:dyDescent="0.25">
      <c r="A44">
        <v>259</v>
      </c>
      <c r="B44" t="s">
        <v>35</v>
      </c>
      <c r="C44">
        <v>3</v>
      </c>
      <c r="D44" t="s">
        <v>36</v>
      </c>
      <c r="E44">
        <v>1</v>
      </c>
      <c r="F44" t="s">
        <v>37</v>
      </c>
      <c r="G44">
        <v>1</v>
      </c>
      <c r="H44">
        <v>2</v>
      </c>
      <c r="I44">
        <v>1</v>
      </c>
      <c r="J44">
        <v>43</v>
      </c>
      <c r="K44">
        <v>38</v>
      </c>
      <c r="L44">
        <v>12</v>
      </c>
      <c r="M44">
        <v>1</v>
      </c>
      <c r="N44" t="s">
        <v>206</v>
      </c>
      <c r="O44" t="s">
        <v>39</v>
      </c>
      <c r="P44" t="s">
        <v>207</v>
      </c>
      <c r="Q44" t="s">
        <v>208</v>
      </c>
      <c r="R44" t="s">
        <v>42</v>
      </c>
      <c r="S44" t="s">
        <v>43</v>
      </c>
      <c r="T44" t="s">
        <v>131</v>
      </c>
      <c r="U44">
        <v>5</v>
      </c>
      <c r="V44" t="s">
        <v>185</v>
      </c>
      <c r="W44" t="s">
        <v>209</v>
      </c>
      <c r="X44" t="s">
        <v>183</v>
      </c>
      <c r="Y44">
        <v>2</v>
      </c>
      <c r="Z44">
        <v>1</v>
      </c>
      <c r="AA44">
        <v>48</v>
      </c>
      <c r="AB44">
        <v>3.0000000000000001E-3</v>
      </c>
      <c r="AC44" t="s">
        <v>209</v>
      </c>
      <c r="AD44">
        <v>4</v>
      </c>
      <c r="AE44">
        <v>4</v>
      </c>
      <c r="AF44">
        <v>0</v>
      </c>
      <c r="AG44">
        <v>1.7929999999999999</v>
      </c>
      <c r="AH44">
        <v>0.91600000000000004</v>
      </c>
      <c r="AI44">
        <v>0</v>
      </c>
      <c r="AJ44">
        <v>1.3149900000000001</v>
      </c>
      <c r="AK44">
        <v>1.3149999999999999</v>
      </c>
      <c r="AL44">
        <f t="shared" si="0"/>
        <v>1.3149999999999999</v>
      </c>
      <c r="AM44">
        <f>VLOOKUP(TRIM(N44),'[1]All - Durations'!$E$2:$H$109,4,FALSE)</f>
        <v>0.82699999999999996</v>
      </c>
      <c r="AN44">
        <f t="shared" si="1"/>
        <v>0.48799999999999999</v>
      </c>
      <c r="AO44">
        <f t="shared" si="2"/>
        <v>0.48799999999999999</v>
      </c>
      <c r="AQ44" s="27"/>
      <c r="AR44" s="30" t="s">
        <v>351</v>
      </c>
      <c r="AS44" s="11" t="e">
        <f>AVERAGEIFS($AO:$AO,$G:$G,7,$O:$O,$AP$4)</f>
        <v>#DIV/0!</v>
      </c>
      <c r="AT44" s="11" t="e">
        <f>AVERAGEIFS($AO:$AO,$G:$G,7,$O:$O,$AP$5)</f>
        <v>#DIV/0!</v>
      </c>
      <c r="AU44" s="11" t="e">
        <f>AVERAGEIFS($AO:$AO,$G:$G,7,$O:$O,$AP$6)</f>
        <v>#DIV/0!</v>
      </c>
    </row>
    <row r="45" spans="1:47" x14ac:dyDescent="0.25">
      <c r="A45">
        <v>259</v>
      </c>
      <c r="B45" t="s">
        <v>35</v>
      </c>
      <c r="C45">
        <v>3</v>
      </c>
      <c r="D45" t="s">
        <v>36</v>
      </c>
      <c r="E45">
        <v>1</v>
      </c>
      <c r="F45" t="s">
        <v>37</v>
      </c>
      <c r="G45">
        <v>1</v>
      </c>
      <c r="H45">
        <v>2</v>
      </c>
      <c r="I45">
        <v>1</v>
      </c>
      <c r="J45">
        <v>44</v>
      </c>
      <c r="K45">
        <v>45</v>
      </c>
      <c r="L45">
        <v>45</v>
      </c>
      <c r="M45">
        <v>2</v>
      </c>
      <c r="N45" t="s">
        <v>210</v>
      </c>
      <c r="O45" t="s">
        <v>39</v>
      </c>
      <c r="P45" t="s">
        <v>190</v>
      </c>
      <c r="Q45" t="s">
        <v>191</v>
      </c>
      <c r="R45" t="s">
        <v>51</v>
      </c>
      <c r="S45" t="s">
        <v>52</v>
      </c>
      <c r="T45" t="s">
        <v>149</v>
      </c>
      <c r="U45">
        <v>5</v>
      </c>
      <c r="V45" t="s">
        <v>79</v>
      </c>
      <c r="W45" t="s">
        <v>211</v>
      </c>
      <c r="X45" t="s">
        <v>120</v>
      </c>
      <c r="Y45">
        <v>2</v>
      </c>
      <c r="Z45">
        <v>1</v>
      </c>
      <c r="AA45">
        <v>48</v>
      </c>
      <c r="AB45">
        <v>4.0000000000000001E-3</v>
      </c>
      <c r="AC45" t="s">
        <v>149</v>
      </c>
      <c r="AD45">
        <v>1</v>
      </c>
      <c r="AE45">
        <v>5</v>
      </c>
      <c r="AF45">
        <v>1</v>
      </c>
      <c r="AG45">
        <v>1.9970000000000001</v>
      </c>
      <c r="AH45">
        <v>0.76700000000000002</v>
      </c>
      <c r="AI45">
        <v>0</v>
      </c>
      <c r="AJ45">
        <v>3.499E-2</v>
      </c>
      <c r="AK45">
        <v>1.155</v>
      </c>
      <c r="AL45">
        <f t="shared" si="0"/>
        <v>1.155</v>
      </c>
      <c r="AM45">
        <f>VLOOKUP(TRIM(N45),'[1]All - Durations'!$E$2:$H$109,4,FALSE)</f>
        <v>1.004</v>
      </c>
      <c r="AN45">
        <f t="shared" si="1"/>
        <v>0.15100000000000002</v>
      </c>
      <c r="AO45">
        <f t="shared" si="2"/>
        <v>0.15100000000000002</v>
      </c>
      <c r="AQ45" s="27"/>
      <c r="AR45" s="30" t="s">
        <v>352</v>
      </c>
      <c r="AS45" s="11" t="e">
        <f>AVERAGEIFS($AO:$AO,$G:$G,8,$O:$O,$AP$4)</f>
        <v>#DIV/0!</v>
      </c>
      <c r="AT45" s="11" t="e">
        <f>AVERAGEIFS($AO:$AO,$G:$G,8,$O:$O,$AP$5)</f>
        <v>#DIV/0!</v>
      </c>
      <c r="AU45" s="11" t="e">
        <f>AVERAGEIFS($AO:$AO,$G:$G,8,$O:$O,$AP$6)</f>
        <v>#DIV/0!</v>
      </c>
    </row>
    <row r="46" spans="1:47" x14ac:dyDescent="0.25">
      <c r="A46">
        <v>259</v>
      </c>
      <c r="B46" t="s">
        <v>35</v>
      </c>
      <c r="C46">
        <v>3</v>
      </c>
      <c r="D46" t="s">
        <v>36</v>
      </c>
      <c r="E46">
        <v>1</v>
      </c>
      <c r="F46" t="s">
        <v>37</v>
      </c>
      <c r="G46">
        <v>1</v>
      </c>
      <c r="H46">
        <v>2</v>
      </c>
      <c r="I46">
        <v>1</v>
      </c>
      <c r="J46">
        <v>45</v>
      </c>
      <c r="K46">
        <v>47</v>
      </c>
      <c r="L46">
        <v>9</v>
      </c>
      <c r="M46">
        <v>1</v>
      </c>
      <c r="N46" t="s">
        <v>212</v>
      </c>
      <c r="O46" t="s">
        <v>39</v>
      </c>
      <c r="P46" t="s">
        <v>202</v>
      </c>
      <c r="Q46" t="s">
        <v>203</v>
      </c>
      <c r="R46" t="s">
        <v>58</v>
      </c>
      <c r="S46" t="s">
        <v>59</v>
      </c>
      <c r="T46" t="s">
        <v>147</v>
      </c>
      <c r="U46">
        <v>1</v>
      </c>
      <c r="V46" t="s">
        <v>172</v>
      </c>
      <c r="W46" t="s">
        <v>141</v>
      </c>
      <c r="X46" t="s">
        <v>179</v>
      </c>
      <c r="Y46">
        <v>1</v>
      </c>
      <c r="Z46">
        <v>1</v>
      </c>
      <c r="AA46">
        <v>48</v>
      </c>
      <c r="AB46">
        <v>3.0000000000000001E-3</v>
      </c>
      <c r="AC46" t="s">
        <v>147</v>
      </c>
      <c r="AD46">
        <v>1</v>
      </c>
      <c r="AE46">
        <v>1</v>
      </c>
      <c r="AF46">
        <v>1</v>
      </c>
      <c r="AG46">
        <v>2.1339999999999999</v>
      </c>
      <c r="AH46">
        <v>0.6</v>
      </c>
      <c r="AI46">
        <v>0</v>
      </c>
      <c r="AJ46">
        <v>5.4989999999999997E-2</v>
      </c>
      <c r="AK46">
        <v>1.2490000000000001</v>
      </c>
      <c r="AL46">
        <f t="shared" si="0"/>
        <v>1.2490000000000001</v>
      </c>
      <c r="AM46">
        <f>VLOOKUP(TRIM(N46),'[1]All - Durations'!$E$2:$H$109,4,FALSE)</f>
        <v>0.93500000000000005</v>
      </c>
      <c r="AN46">
        <f t="shared" si="1"/>
        <v>0.31400000000000006</v>
      </c>
      <c r="AO46">
        <f t="shared" si="2"/>
        <v>0.31400000000000006</v>
      </c>
    </row>
    <row r="47" spans="1:47" x14ac:dyDescent="0.25">
      <c r="A47">
        <v>259</v>
      </c>
      <c r="B47" t="s">
        <v>35</v>
      </c>
      <c r="C47">
        <v>3</v>
      </c>
      <c r="D47" t="s">
        <v>36</v>
      </c>
      <c r="E47">
        <v>1</v>
      </c>
      <c r="F47" t="s">
        <v>37</v>
      </c>
      <c r="G47">
        <v>1</v>
      </c>
      <c r="H47">
        <v>2</v>
      </c>
      <c r="I47">
        <v>1</v>
      </c>
      <c r="J47">
        <v>46</v>
      </c>
      <c r="K47">
        <v>37</v>
      </c>
      <c r="L47">
        <v>11</v>
      </c>
      <c r="M47">
        <v>1</v>
      </c>
      <c r="N47" t="s">
        <v>213</v>
      </c>
      <c r="O47" t="s">
        <v>39</v>
      </c>
      <c r="P47" t="s">
        <v>207</v>
      </c>
      <c r="Q47" t="s">
        <v>208</v>
      </c>
      <c r="R47" t="s">
        <v>91</v>
      </c>
      <c r="S47" t="s">
        <v>92</v>
      </c>
      <c r="T47" t="s">
        <v>106</v>
      </c>
      <c r="U47">
        <v>1</v>
      </c>
      <c r="V47" t="s">
        <v>131</v>
      </c>
      <c r="W47" t="s">
        <v>187</v>
      </c>
      <c r="X47" t="s">
        <v>214</v>
      </c>
      <c r="Y47">
        <v>1</v>
      </c>
      <c r="Z47">
        <v>1</v>
      </c>
      <c r="AA47">
        <v>48</v>
      </c>
      <c r="AB47">
        <v>3.0000000000000001E-3</v>
      </c>
      <c r="AC47" t="s">
        <v>131</v>
      </c>
      <c r="AD47">
        <v>2</v>
      </c>
      <c r="AE47">
        <v>5</v>
      </c>
      <c r="AF47">
        <v>0</v>
      </c>
      <c r="AG47">
        <v>1.2729999999999999</v>
      </c>
      <c r="AH47">
        <v>0.71699999999999997</v>
      </c>
      <c r="AI47">
        <v>0</v>
      </c>
      <c r="AJ47">
        <v>1.17499</v>
      </c>
      <c r="AK47">
        <v>1.175</v>
      </c>
      <c r="AL47">
        <f t="shared" si="0"/>
        <v>1.175</v>
      </c>
      <c r="AM47">
        <f>VLOOKUP(TRIM(N47),'[1]All - Durations'!$E$2:$H$109,4,FALSE)</f>
        <v>0.86599999999999999</v>
      </c>
      <c r="AN47">
        <f t="shared" si="1"/>
        <v>0.30900000000000005</v>
      </c>
      <c r="AO47">
        <f t="shared" si="2"/>
        <v>0.30900000000000005</v>
      </c>
    </row>
    <row r="48" spans="1:47" x14ac:dyDescent="0.25">
      <c r="A48">
        <v>259</v>
      </c>
      <c r="B48" t="s">
        <v>35</v>
      </c>
      <c r="C48">
        <v>3</v>
      </c>
      <c r="D48" t="s">
        <v>36</v>
      </c>
      <c r="E48">
        <v>1</v>
      </c>
      <c r="F48" t="s">
        <v>37</v>
      </c>
      <c r="G48">
        <v>1</v>
      </c>
      <c r="H48">
        <v>2</v>
      </c>
      <c r="I48">
        <v>1</v>
      </c>
      <c r="J48">
        <v>47</v>
      </c>
      <c r="K48">
        <v>44</v>
      </c>
      <c r="L48">
        <v>6</v>
      </c>
      <c r="M48">
        <v>1</v>
      </c>
      <c r="N48" t="s">
        <v>215</v>
      </c>
      <c r="O48" t="s">
        <v>39</v>
      </c>
      <c r="P48" t="s">
        <v>193</v>
      </c>
      <c r="Q48" t="s">
        <v>194</v>
      </c>
      <c r="R48" t="s">
        <v>42</v>
      </c>
      <c r="S48" t="s">
        <v>43</v>
      </c>
      <c r="T48" t="s">
        <v>185</v>
      </c>
      <c r="U48">
        <v>4</v>
      </c>
      <c r="V48" t="s">
        <v>144</v>
      </c>
      <c r="W48" t="s">
        <v>127</v>
      </c>
      <c r="X48" t="s">
        <v>146</v>
      </c>
      <c r="Y48">
        <v>1</v>
      </c>
      <c r="Z48">
        <v>1</v>
      </c>
      <c r="AA48">
        <v>48</v>
      </c>
      <c r="AB48">
        <v>2E-3</v>
      </c>
      <c r="AC48" t="s">
        <v>146</v>
      </c>
      <c r="AD48">
        <v>4</v>
      </c>
      <c r="AE48">
        <v>5</v>
      </c>
      <c r="AF48">
        <v>0</v>
      </c>
      <c r="AG48">
        <v>2.016</v>
      </c>
      <c r="AH48">
        <v>0.61699999999999999</v>
      </c>
      <c r="AI48">
        <v>0</v>
      </c>
      <c r="AJ48">
        <v>3.499E-2</v>
      </c>
      <c r="AK48">
        <v>1.194</v>
      </c>
      <c r="AL48">
        <f t="shared" si="0"/>
        <v>1.194</v>
      </c>
      <c r="AM48">
        <f>VLOOKUP(TRIM(N48),'[1]All - Durations'!$E$2:$H$109,4,FALSE)</f>
        <v>0.88200000000000001</v>
      </c>
      <c r="AN48">
        <f t="shared" si="1"/>
        <v>0.31199999999999994</v>
      </c>
      <c r="AO48">
        <f t="shared" si="2"/>
        <v>0.31199999999999994</v>
      </c>
    </row>
    <row r="49" spans="1:56" x14ac:dyDescent="0.25">
      <c r="A49">
        <v>259</v>
      </c>
      <c r="B49" t="s">
        <v>35</v>
      </c>
      <c r="C49">
        <v>3</v>
      </c>
      <c r="D49" t="s">
        <v>36</v>
      </c>
      <c r="E49">
        <v>1</v>
      </c>
      <c r="F49" t="s">
        <v>37</v>
      </c>
      <c r="G49">
        <v>1</v>
      </c>
      <c r="H49">
        <v>2</v>
      </c>
      <c r="I49">
        <v>1</v>
      </c>
      <c r="J49">
        <v>48</v>
      </c>
      <c r="K49">
        <v>42</v>
      </c>
      <c r="L49">
        <v>42</v>
      </c>
      <c r="M49">
        <v>2</v>
      </c>
      <c r="N49" t="s">
        <v>216</v>
      </c>
      <c r="O49" t="s">
        <v>39</v>
      </c>
      <c r="P49" t="s">
        <v>199</v>
      </c>
      <c r="Q49" t="s">
        <v>200</v>
      </c>
      <c r="R49" t="s">
        <v>91</v>
      </c>
      <c r="S49" t="s">
        <v>92</v>
      </c>
      <c r="T49" t="s">
        <v>98</v>
      </c>
      <c r="U49">
        <v>1</v>
      </c>
      <c r="V49" t="s">
        <v>138</v>
      </c>
      <c r="W49" t="s">
        <v>132</v>
      </c>
      <c r="X49" t="s">
        <v>128</v>
      </c>
      <c r="Y49">
        <v>1</v>
      </c>
      <c r="Z49">
        <v>1</v>
      </c>
      <c r="AA49">
        <v>48</v>
      </c>
      <c r="AB49">
        <v>2E-3</v>
      </c>
      <c r="AC49" t="s">
        <v>138</v>
      </c>
      <c r="AD49">
        <v>2</v>
      </c>
      <c r="AE49">
        <v>5</v>
      </c>
      <c r="AF49">
        <v>0</v>
      </c>
      <c r="AG49">
        <v>2.7</v>
      </c>
      <c r="AH49">
        <v>0.63300000000000001</v>
      </c>
      <c r="AI49">
        <v>0</v>
      </c>
      <c r="AJ49">
        <v>1.0449900000000001</v>
      </c>
      <c r="AK49">
        <v>0.98799999999999999</v>
      </c>
      <c r="AL49">
        <f t="shared" si="0"/>
        <v>0.98799999999999999</v>
      </c>
      <c r="AM49">
        <f>VLOOKUP(TRIM(N49),'[1]All - Durations'!$E$2:$H$109,4,FALSE)</f>
        <v>0.85899999999999999</v>
      </c>
      <c r="AN49">
        <f t="shared" si="1"/>
        <v>0.129</v>
      </c>
      <c r="AO49">
        <f t="shared" si="2"/>
        <v>0.129</v>
      </c>
    </row>
    <row r="50" spans="1:56" x14ac:dyDescent="0.25">
      <c r="A50">
        <v>259</v>
      </c>
      <c r="B50" t="s">
        <v>35</v>
      </c>
      <c r="C50">
        <v>3</v>
      </c>
      <c r="D50" t="s">
        <v>36</v>
      </c>
      <c r="E50">
        <v>1</v>
      </c>
      <c r="F50" t="s">
        <v>37</v>
      </c>
      <c r="G50">
        <v>1</v>
      </c>
      <c r="H50">
        <v>2</v>
      </c>
      <c r="I50">
        <v>1</v>
      </c>
      <c r="J50">
        <v>49</v>
      </c>
      <c r="K50">
        <v>55</v>
      </c>
      <c r="L50">
        <v>29</v>
      </c>
      <c r="M50">
        <v>1</v>
      </c>
      <c r="N50" t="s">
        <v>217</v>
      </c>
      <c r="O50" t="s">
        <v>113</v>
      </c>
      <c r="P50" t="s">
        <v>114</v>
      </c>
      <c r="Q50" t="s">
        <v>218</v>
      </c>
      <c r="R50" t="s">
        <v>114</v>
      </c>
      <c r="S50" t="s">
        <v>52</v>
      </c>
      <c r="T50" t="s">
        <v>214</v>
      </c>
      <c r="U50">
        <v>2</v>
      </c>
      <c r="V50" t="s">
        <v>74</v>
      </c>
      <c r="W50" t="s">
        <v>204</v>
      </c>
      <c r="X50" t="s">
        <v>94</v>
      </c>
      <c r="Y50">
        <v>2</v>
      </c>
      <c r="Z50">
        <v>1</v>
      </c>
      <c r="AA50">
        <v>48</v>
      </c>
      <c r="AB50">
        <v>3.0000000000000001E-3</v>
      </c>
      <c r="AC50" t="s">
        <v>74</v>
      </c>
      <c r="AD50">
        <v>3</v>
      </c>
      <c r="AE50">
        <v>4</v>
      </c>
      <c r="AF50">
        <v>0</v>
      </c>
      <c r="AG50">
        <v>1.76</v>
      </c>
      <c r="AH50">
        <v>0.66700000000000004</v>
      </c>
      <c r="AI50">
        <v>0</v>
      </c>
      <c r="AJ50">
        <v>3.499E-2</v>
      </c>
      <c r="AK50">
        <v>1.155</v>
      </c>
      <c r="AL50">
        <f t="shared" si="0"/>
        <v>1.155</v>
      </c>
      <c r="AM50">
        <f>VLOOKUP(TRIM(N50),'[1]All - Durations'!$E$2:$H$109,4,FALSE)</f>
        <v>0.76300000000000001</v>
      </c>
      <c r="AN50">
        <f t="shared" si="1"/>
        <v>0.39200000000000002</v>
      </c>
      <c r="AO50">
        <f t="shared" si="2"/>
        <v>0.39200000000000002</v>
      </c>
    </row>
    <row r="51" spans="1:56" x14ac:dyDescent="0.25">
      <c r="A51">
        <v>259</v>
      </c>
      <c r="B51" t="s">
        <v>35</v>
      </c>
      <c r="C51">
        <v>3</v>
      </c>
      <c r="D51" t="s">
        <v>36</v>
      </c>
      <c r="E51">
        <v>1</v>
      </c>
      <c r="F51" t="s">
        <v>37</v>
      </c>
      <c r="G51">
        <v>1</v>
      </c>
      <c r="H51">
        <v>2</v>
      </c>
      <c r="I51">
        <v>1</v>
      </c>
      <c r="J51">
        <v>50</v>
      </c>
      <c r="K51">
        <v>49</v>
      </c>
      <c r="L51">
        <v>35</v>
      </c>
      <c r="M51">
        <v>1</v>
      </c>
      <c r="N51" t="s">
        <v>219</v>
      </c>
      <c r="O51" t="s">
        <v>113</v>
      </c>
      <c r="P51" t="s">
        <v>114</v>
      </c>
      <c r="Q51" t="s">
        <v>220</v>
      </c>
      <c r="R51" t="s">
        <v>114</v>
      </c>
      <c r="S51" t="s">
        <v>92</v>
      </c>
      <c r="T51" t="s">
        <v>179</v>
      </c>
      <c r="U51">
        <v>4</v>
      </c>
      <c r="V51" t="s">
        <v>209</v>
      </c>
      <c r="W51" t="s">
        <v>67</v>
      </c>
      <c r="X51" t="s">
        <v>55</v>
      </c>
      <c r="Y51">
        <v>2</v>
      </c>
      <c r="Z51">
        <v>1</v>
      </c>
      <c r="AA51">
        <v>48</v>
      </c>
      <c r="AB51">
        <v>2E-3</v>
      </c>
      <c r="AC51" t="s">
        <v>55</v>
      </c>
      <c r="AD51">
        <v>4</v>
      </c>
      <c r="AE51">
        <v>5</v>
      </c>
      <c r="AF51">
        <v>0</v>
      </c>
      <c r="AG51">
        <v>2.1509999999999998</v>
      </c>
      <c r="AH51">
        <v>0.78300000000000003</v>
      </c>
      <c r="AI51">
        <v>0</v>
      </c>
      <c r="AJ51">
        <v>1.5149900000000001</v>
      </c>
      <c r="AK51">
        <v>1.5149999999999999</v>
      </c>
      <c r="AL51">
        <f t="shared" si="0"/>
        <v>1.5149999999999999</v>
      </c>
      <c r="AM51">
        <f>VLOOKUP(TRIM(N51),'[1]All - Durations'!$E$2:$H$109,4,FALSE)</f>
        <v>0.99299999999999999</v>
      </c>
      <c r="AN51">
        <f t="shared" si="1"/>
        <v>0.52199999999999991</v>
      </c>
      <c r="AO51">
        <f t="shared" si="2"/>
        <v>0.52199999999999991</v>
      </c>
    </row>
    <row r="52" spans="1:56" x14ac:dyDescent="0.25">
      <c r="A52">
        <v>259</v>
      </c>
      <c r="B52" t="s">
        <v>35</v>
      </c>
      <c r="C52">
        <v>3</v>
      </c>
      <c r="D52" t="s">
        <v>36</v>
      </c>
      <c r="E52">
        <v>1</v>
      </c>
      <c r="F52" t="s">
        <v>37</v>
      </c>
      <c r="G52">
        <v>1</v>
      </c>
      <c r="H52">
        <v>2</v>
      </c>
      <c r="I52">
        <v>1</v>
      </c>
      <c r="J52">
        <v>51</v>
      </c>
      <c r="K52">
        <v>57</v>
      </c>
      <c r="L52">
        <v>69</v>
      </c>
      <c r="M52">
        <v>2</v>
      </c>
      <c r="N52" t="s">
        <v>221</v>
      </c>
      <c r="O52" t="s">
        <v>113</v>
      </c>
      <c r="P52" t="s">
        <v>114</v>
      </c>
      <c r="Q52" t="s">
        <v>222</v>
      </c>
      <c r="R52" t="s">
        <v>114</v>
      </c>
      <c r="S52" t="s">
        <v>52</v>
      </c>
      <c r="T52" t="s">
        <v>69</v>
      </c>
      <c r="U52">
        <v>5</v>
      </c>
      <c r="V52" t="s">
        <v>119</v>
      </c>
      <c r="W52" t="s">
        <v>155</v>
      </c>
      <c r="X52" t="s">
        <v>185</v>
      </c>
      <c r="Y52">
        <v>2</v>
      </c>
      <c r="Z52">
        <v>1</v>
      </c>
      <c r="AA52">
        <v>48</v>
      </c>
      <c r="AB52">
        <v>2E-3</v>
      </c>
      <c r="AC52" t="s">
        <v>155</v>
      </c>
      <c r="AD52">
        <v>4</v>
      </c>
      <c r="AE52">
        <v>2</v>
      </c>
      <c r="AF52">
        <v>0</v>
      </c>
      <c r="AG52">
        <v>2.0139999999999998</v>
      </c>
      <c r="AH52">
        <v>0.433</v>
      </c>
      <c r="AI52">
        <v>0</v>
      </c>
      <c r="AJ52">
        <v>1.17499</v>
      </c>
      <c r="AK52">
        <v>1.175</v>
      </c>
      <c r="AL52">
        <f t="shared" si="0"/>
        <v>1.175</v>
      </c>
      <c r="AM52">
        <f>VLOOKUP(TRIM(N52),'[1]All - Durations'!$E$2:$H$109,4,FALSE)</f>
        <v>0.79100000000000004</v>
      </c>
      <c r="AN52">
        <f t="shared" si="1"/>
        <v>0.38400000000000001</v>
      </c>
      <c r="AO52">
        <f t="shared" si="2"/>
        <v>0.38400000000000001</v>
      </c>
    </row>
    <row r="53" spans="1:56" x14ac:dyDescent="0.25">
      <c r="A53">
        <v>259</v>
      </c>
      <c r="B53" t="s">
        <v>35</v>
      </c>
      <c r="C53">
        <v>3</v>
      </c>
      <c r="D53" t="s">
        <v>36</v>
      </c>
      <c r="E53">
        <v>1</v>
      </c>
      <c r="F53" t="s">
        <v>37</v>
      </c>
      <c r="G53">
        <v>1</v>
      </c>
      <c r="H53">
        <v>2</v>
      </c>
      <c r="I53">
        <v>1</v>
      </c>
      <c r="J53">
        <v>52</v>
      </c>
      <c r="K53">
        <v>59</v>
      </c>
      <c r="L53">
        <v>33</v>
      </c>
      <c r="M53">
        <v>1</v>
      </c>
      <c r="N53" t="s">
        <v>223</v>
      </c>
      <c r="O53" t="s">
        <v>113</v>
      </c>
      <c r="P53" t="s">
        <v>114</v>
      </c>
      <c r="Q53" t="s">
        <v>224</v>
      </c>
      <c r="R53" t="s">
        <v>114</v>
      </c>
      <c r="S53" t="s">
        <v>59</v>
      </c>
      <c r="T53" t="s">
        <v>56</v>
      </c>
      <c r="U53">
        <v>1</v>
      </c>
      <c r="V53" t="s">
        <v>95</v>
      </c>
      <c r="W53" t="s">
        <v>44</v>
      </c>
      <c r="X53" t="s">
        <v>68</v>
      </c>
      <c r="Y53">
        <v>2</v>
      </c>
      <c r="Z53">
        <v>1</v>
      </c>
      <c r="AA53">
        <v>48</v>
      </c>
      <c r="AB53">
        <v>2E-3</v>
      </c>
      <c r="AC53" t="s">
        <v>68</v>
      </c>
      <c r="AD53">
        <v>4</v>
      </c>
      <c r="AE53">
        <v>2</v>
      </c>
      <c r="AF53">
        <v>0</v>
      </c>
      <c r="AG53">
        <v>1.8240000000000001</v>
      </c>
      <c r="AH53">
        <v>0.56699999999999995</v>
      </c>
      <c r="AI53">
        <v>0</v>
      </c>
      <c r="AJ53">
        <v>1.24499</v>
      </c>
      <c r="AK53">
        <v>1.2450000000000001</v>
      </c>
      <c r="AL53">
        <f t="shared" si="0"/>
        <v>1.2450000000000001</v>
      </c>
      <c r="AM53">
        <f>VLOOKUP(TRIM(N53),'[1]All - Durations'!$E$2:$H$109,4,FALSE)</f>
        <v>1.0089999999999999</v>
      </c>
      <c r="AN53">
        <f t="shared" si="1"/>
        <v>0.23600000000000021</v>
      </c>
      <c r="AO53">
        <f t="shared" si="2"/>
        <v>0.23600000000000021</v>
      </c>
    </row>
    <row r="54" spans="1:56" x14ac:dyDescent="0.25">
      <c r="A54">
        <v>259</v>
      </c>
      <c r="B54" t="s">
        <v>35</v>
      </c>
      <c r="C54">
        <v>3</v>
      </c>
      <c r="D54" t="s">
        <v>36</v>
      </c>
      <c r="E54">
        <v>1</v>
      </c>
      <c r="F54" t="s">
        <v>37</v>
      </c>
      <c r="G54">
        <v>1</v>
      </c>
      <c r="H54">
        <v>2</v>
      </c>
      <c r="I54">
        <v>1</v>
      </c>
      <c r="J54">
        <v>53</v>
      </c>
      <c r="K54">
        <v>53</v>
      </c>
      <c r="L54">
        <v>65</v>
      </c>
      <c r="M54">
        <v>2</v>
      </c>
      <c r="N54" t="s">
        <v>225</v>
      </c>
      <c r="O54" t="s">
        <v>113</v>
      </c>
      <c r="P54" t="s">
        <v>114</v>
      </c>
      <c r="Q54" t="s">
        <v>226</v>
      </c>
      <c r="R54" t="s">
        <v>114</v>
      </c>
      <c r="S54" t="s">
        <v>59</v>
      </c>
      <c r="T54" t="s">
        <v>87</v>
      </c>
      <c r="U54">
        <v>4</v>
      </c>
      <c r="V54" t="s">
        <v>162</v>
      </c>
      <c r="W54" t="s">
        <v>80</v>
      </c>
      <c r="X54" t="s">
        <v>187</v>
      </c>
      <c r="Y54">
        <v>2</v>
      </c>
      <c r="Z54">
        <v>1</v>
      </c>
      <c r="AA54">
        <v>48</v>
      </c>
      <c r="AB54">
        <v>4.0000000000000001E-3</v>
      </c>
      <c r="AC54" t="s">
        <v>80</v>
      </c>
      <c r="AD54">
        <v>4</v>
      </c>
      <c r="AE54">
        <v>5</v>
      </c>
      <c r="AF54">
        <v>0</v>
      </c>
      <c r="AG54">
        <v>2.2810000000000001</v>
      </c>
      <c r="AH54">
        <v>0.53300000000000003</v>
      </c>
      <c r="AI54">
        <v>0</v>
      </c>
      <c r="AJ54">
        <v>1.18499</v>
      </c>
      <c r="AK54">
        <v>1.1850000000000001</v>
      </c>
      <c r="AL54">
        <f t="shared" si="0"/>
        <v>1.1850000000000001</v>
      </c>
      <c r="AM54">
        <f>VLOOKUP(TRIM(N54),'[1]All - Durations'!$E$2:$H$109,4,FALSE)</f>
        <v>0.97099999999999997</v>
      </c>
      <c r="AN54">
        <f t="shared" si="1"/>
        <v>0.21400000000000008</v>
      </c>
      <c r="AO54">
        <f t="shared" si="2"/>
        <v>0.21400000000000008</v>
      </c>
      <c r="AP54" s="1"/>
      <c r="AQ54" s="2"/>
      <c r="AR54" s="1"/>
      <c r="AU54" s="2"/>
      <c r="AW54" s="6"/>
    </row>
    <row r="55" spans="1:56" x14ac:dyDescent="0.25">
      <c r="A55">
        <v>259</v>
      </c>
      <c r="B55" t="s">
        <v>35</v>
      </c>
      <c r="C55">
        <v>3</v>
      </c>
      <c r="D55" t="s">
        <v>36</v>
      </c>
      <c r="E55">
        <v>1</v>
      </c>
      <c r="F55" t="s">
        <v>37</v>
      </c>
      <c r="G55">
        <v>1</v>
      </c>
      <c r="H55">
        <v>2</v>
      </c>
      <c r="I55">
        <v>1</v>
      </c>
      <c r="J55">
        <v>54</v>
      </c>
      <c r="K55">
        <v>50</v>
      </c>
      <c r="L55">
        <v>36</v>
      </c>
      <c r="M55">
        <v>1</v>
      </c>
      <c r="N55" t="s">
        <v>227</v>
      </c>
      <c r="O55" t="s">
        <v>113</v>
      </c>
      <c r="P55" t="s">
        <v>114</v>
      </c>
      <c r="Q55" t="s">
        <v>220</v>
      </c>
      <c r="R55" t="s">
        <v>114</v>
      </c>
      <c r="S55" t="s">
        <v>43</v>
      </c>
      <c r="T55" t="s">
        <v>116</v>
      </c>
      <c r="U55">
        <v>5</v>
      </c>
      <c r="V55" t="s">
        <v>179</v>
      </c>
      <c r="W55" t="s">
        <v>172</v>
      </c>
      <c r="X55" t="s">
        <v>211</v>
      </c>
      <c r="Y55">
        <v>1</v>
      </c>
      <c r="Z55">
        <v>1</v>
      </c>
      <c r="AA55">
        <v>48</v>
      </c>
      <c r="AB55">
        <v>2E-3</v>
      </c>
      <c r="AC55" t="s">
        <v>172</v>
      </c>
      <c r="AD55">
        <v>4</v>
      </c>
      <c r="AE55">
        <v>1</v>
      </c>
      <c r="AF55">
        <v>0</v>
      </c>
      <c r="AG55">
        <v>2.5920000000000001</v>
      </c>
      <c r="AH55">
        <v>0.73299999999999998</v>
      </c>
      <c r="AI55">
        <v>0</v>
      </c>
      <c r="AJ55">
        <v>1.1349899999999999</v>
      </c>
      <c r="AK55">
        <v>1.135</v>
      </c>
      <c r="AL55">
        <f t="shared" si="0"/>
        <v>1.135</v>
      </c>
      <c r="AM55">
        <f>VLOOKUP(TRIM(N55),'[1]All - Durations'!$E$2:$H$109,4,FALSE)</f>
        <v>0.95299999999999996</v>
      </c>
      <c r="AN55">
        <f t="shared" si="1"/>
        <v>0.18200000000000005</v>
      </c>
      <c r="AO55">
        <f t="shared" si="2"/>
        <v>0.18200000000000005</v>
      </c>
      <c r="AP55" s="1"/>
      <c r="AS55" s="4" t="s">
        <v>355</v>
      </c>
      <c r="AW55" s="4" t="s">
        <v>356</v>
      </c>
      <c r="BA55" s="4" t="s">
        <v>357</v>
      </c>
    </row>
    <row r="56" spans="1:56" x14ac:dyDescent="0.25">
      <c r="A56">
        <v>259</v>
      </c>
      <c r="B56" t="s">
        <v>35</v>
      </c>
      <c r="C56">
        <v>3</v>
      </c>
      <c r="D56" t="s">
        <v>36</v>
      </c>
      <c r="E56">
        <v>1</v>
      </c>
      <c r="F56" t="s">
        <v>37</v>
      </c>
      <c r="G56">
        <v>1</v>
      </c>
      <c r="H56">
        <v>2</v>
      </c>
      <c r="I56">
        <v>1</v>
      </c>
      <c r="J56">
        <v>55</v>
      </c>
      <c r="K56">
        <v>60</v>
      </c>
      <c r="L56">
        <v>34</v>
      </c>
      <c r="M56">
        <v>1</v>
      </c>
      <c r="N56" t="s">
        <v>228</v>
      </c>
      <c r="O56" t="s">
        <v>113</v>
      </c>
      <c r="P56" t="s">
        <v>114</v>
      </c>
      <c r="Q56" t="s">
        <v>224</v>
      </c>
      <c r="R56" t="s">
        <v>114</v>
      </c>
      <c r="S56" t="s">
        <v>52</v>
      </c>
      <c r="T56" t="s">
        <v>61</v>
      </c>
      <c r="U56">
        <v>5</v>
      </c>
      <c r="V56" t="s">
        <v>56</v>
      </c>
      <c r="W56" t="s">
        <v>93</v>
      </c>
      <c r="X56" t="s">
        <v>110</v>
      </c>
      <c r="Y56">
        <v>1</v>
      </c>
      <c r="Z56">
        <v>1</v>
      </c>
      <c r="AA56">
        <v>48</v>
      </c>
      <c r="AB56">
        <v>2E-3</v>
      </c>
      <c r="AC56" t="s">
        <v>93</v>
      </c>
      <c r="AD56">
        <v>4</v>
      </c>
      <c r="AE56">
        <v>4</v>
      </c>
      <c r="AF56">
        <v>0</v>
      </c>
      <c r="AG56">
        <v>2.004</v>
      </c>
      <c r="AH56">
        <v>0.68300000000000005</v>
      </c>
      <c r="AI56">
        <v>0</v>
      </c>
      <c r="AJ56">
        <v>1.18499</v>
      </c>
      <c r="AK56">
        <v>1.1850000000000001</v>
      </c>
      <c r="AL56">
        <f t="shared" si="0"/>
        <v>1.1850000000000001</v>
      </c>
      <c r="AM56">
        <f>VLOOKUP(TRIM(N56),'[1]All - Durations'!$E$2:$H$109,4,FALSE)</f>
        <v>0.93300000000000005</v>
      </c>
      <c r="AN56">
        <f t="shared" si="1"/>
        <v>0.252</v>
      </c>
      <c r="AO56">
        <f t="shared" si="2"/>
        <v>0.252</v>
      </c>
      <c r="AP56" s="1"/>
      <c r="AQ56" s="3" t="s">
        <v>360</v>
      </c>
      <c r="AR56" s="1"/>
      <c r="AS56" t="s">
        <v>59</v>
      </c>
      <c r="AT56" t="s">
        <v>92</v>
      </c>
      <c r="AU56" t="s">
        <v>52</v>
      </c>
      <c r="AV56" t="s">
        <v>43</v>
      </c>
      <c r="AW56" t="s">
        <v>59</v>
      </c>
      <c r="AX56" t="s">
        <v>92</v>
      </c>
      <c r="AY56" t="s">
        <v>52</v>
      </c>
      <c r="AZ56" t="s">
        <v>43</v>
      </c>
      <c r="BA56" t="s">
        <v>59</v>
      </c>
      <c r="BB56" t="s">
        <v>92</v>
      </c>
      <c r="BC56" t="s">
        <v>52</v>
      </c>
      <c r="BD56" t="s">
        <v>43</v>
      </c>
    </row>
    <row r="57" spans="1:56" x14ac:dyDescent="0.25">
      <c r="A57">
        <v>259</v>
      </c>
      <c r="B57" t="s">
        <v>35</v>
      </c>
      <c r="C57">
        <v>3</v>
      </c>
      <c r="D57" t="s">
        <v>36</v>
      </c>
      <c r="E57">
        <v>1</v>
      </c>
      <c r="F57" t="s">
        <v>37</v>
      </c>
      <c r="G57">
        <v>1</v>
      </c>
      <c r="H57">
        <v>2</v>
      </c>
      <c r="I57">
        <v>1</v>
      </c>
      <c r="J57">
        <v>56</v>
      </c>
      <c r="K57">
        <v>54</v>
      </c>
      <c r="L57">
        <v>66</v>
      </c>
      <c r="M57">
        <v>2</v>
      </c>
      <c r="N57" t="s">
        <v>229</v>
      </c>
      <c r="O57" t="s">
        <v>113</v>
      </c>
      <c r="P57" t="s">
        <v>114</v>
      </c>
      <c r="Q57" t="s">
        <v>226</v>
      </c>
      <c r="R57" t="s">
        <v>114</v>
      </c>
      <c r="S57" t="s">
        <v>92</v>
      </c>
      <c r="T57" t="s">
        <v>209</v>
      </c>
      <c r="U57">
        <v>5</v>
      </c>
      <c r="V57" t="s">
        <v>87</v>
      </c>
      <c r="W57" t="s">
        <v>161</v>
      </c>
      <c r="X57" t="s">
        <v>102</v>
      </c>
      <c r="Y57">
        <v>1</v>
      </c>
      <c r="Z57">
        <v>1</v>
      </c>
      <c r="AA57">
        <v>48</v>
      </c>
      <c r="AB57">
        <v>2E-3</v>
      </c>
      <c r="AC57" t="s">
        <v>102</v>
      </c>
      <c r="AD57">
        <v>4</v>
      </c>
      <c r="AE57">
        <v>2</v>
      </c>
      <c r="AF57">
        <v>0</v>
      </c>
      <c r="AG57">
        <v>2.1230000000000002</v>
      </c>
      <c r="AH57">
        <v>0.61599999999999999</v>
      </c>
      <c r="AI57">
        <v>0</v>
      </c>
      <c r="AJ57">
        <v>5.4989999999999997E-2</v>
      </c>
      <c r="AK57">
        <v>1.111</v>
      </c>
      <c r="AL57">
        <f t="shared" si="0"/>
        <v>1.111</v>
      </c>
      <c r="AM57">
        <f>VLOOKUP(TRIM(N57),'[1]All - Durations'!$E$2:$H$109,4,FALSE)</f>
        <v>0.88600000000000001</v>
      </c>
      <c r="AN57">
        <f t="shared" si="1"/>
        <v>0.22499999999999998</v>
      </c>
      <c r="AO57">
        <f t="shared" si="2"/>
        <v>0.22499999999999998</v>
      </c>
      <c r="AP57" s="1"/>
      <c r="AQ57" s="9"/>
      <c r="AR57" s="10" t="s">
        <v>345</v>
      </c>
      <c r="AS57" s="11">
        <f>AVERAGEIFS($AG:$AG,$AF:$AF,1,$G:$G,1,$O:$O,$AP$4,$S:$S,AS56)</f>
        <v>2.1339999999999999</v>
      </c>
      <c r="AT57" s="11">
        <f>AVERAGEIFS($AG:$AG,$AF:$AF,1,$G:$G,1,$O:$O,$AP$4,$S:$S,AT56)</f>
        <v>2.34</v>
      </c>
      <c r="AU57" s="11">
        <f>AVERAGEIFS($AG:$AG,$AF:$AF,1,$G:$G,1,$O:$O,$AP$4,$S:$S,AU56)</f>
        <v>2.58</v>
      </c>
      <c r="AV57" s="11" t="s">
        <v>375</v>
      </c>
      <c r="AW57" s="11" t="s">
        <v>375</v>
      </c>
      <c r="AX57" s="11">
        <f>AVERAGEIFS($AG:$AG,$AF:$AF,1,$G:$G,1,$O:$O,$AP$5,$S:$S,AX56)</f>
        <v>1.0805</v>
      </c>
      <c r="AY57" s="11" t="s">
        <v>375</v>
      </c>
      <c r="AZ57" s="11">
        <f>AVERAGEIFS($AG:$AG,$AF:$AF,1,$G:$G,1,$O:$O,$AP$5,$S:$S,$AZ$56)</f>
        <v>1.6315</v>
      </c>
      <c r="BA57" s="11">
        <f>AVERAGEIFS($AG:$AG,$AF:$AF,1,$G:$G,1,$O:$O,$AP$6,$S:$S,$BA$56)</f>
        <v>1.5550000000000002</v>
      </c>
      <c r="BB57" s="11">
        <f>AVERAGEIFS($AG:$AG,$AF:$AF,1,$G:$G,1,$O:$O,$AP$6,$S:$S,$BB$56)</f>
        <v>0.93400000000000005</v>
      </c>
      <c r="BC57" s="11">
        <f>AVERAGEIFS($AG:$AG,$AF:$AF,1,$G:$G,1,$O:$O,$AP$6,$S:$S,$BC$56)</f>
        <v>0.67600000000000005</v>
      </c>
      <c r="BD57" s="11">
        <f>AVERAGEIFS($AG:$AG,$AF:$AF,1,$G:$G,1,$O:$O,$AP$6,$S:$S,$BD$56)</f>
        <v>1.0900000000000001</v>
      </c>
    </row>
    <row r="58" spans="1:56" x14ac:dyDescent="0.25">
      <c r="A58">
        <v>259</v>
      </c>
      <c r="B58" t="s">
        <v>35</v>
      </c>
      <c r="C58">
        <v>3</v>
      </c>
      <c r="D58" t="s">
        <v>36</v>
      </c>
      <c r="E58">
        <v>1</v>
      </c>
      <c r="F58" t="s">
        <v>37</v>
      </c>
      <c r="G58">
        <v>1</v>
      </c>
      <c r="H58">
        <v>2</v>
      </c>
      <c r="I58">
        <v>1</v>
      </c>
      <c r="J58">
        <v>57</v>
      </c>
      <c r="K58">
        <v>51</v>
      </c>
      <c r="L58">
        <v>31</v>
      </c>
      <c r="M58">
        <v>1</v>
      </c>
      <c r="N58" t="s">
        <v>230</v>
      </c>
      <c r="O58" t="s">
        <v>113</v>
      </c>
      <c r="P58" t="s">
        <v>114</v>
      </c>
      <c r="Q58" t="s">
        <v>231</v>
      </c>
      <c r="R58" t="s">
        <v>114</v>
      </c>
      <c r="S58" t="s">
        <v>59</v>
      </c>
      <c r="T58" t="s">
        <v>162</v>
      </c>
      <c r="U58">
        <v>5</v>
      </c>
      <c r="V58" t="s">
        <v>111</v>
      </c>
      <c r="W58" t="s">
        <v>166</v>
      </c>
      <c r="X58" t="s">
        <v>79</v>
      </c>
      <c r="Y58">
        <v>1</v>
      </c>
      <c r="Z58">
        <v>1</v>
      </c>
      <c r="AA58">
        <v>48</v>
      </c>
      <c r="AB58">
        <v>4.0000000000000001E-3</v>
      </c>
      <c r="AC58" t="s">
        <v>111</v>
      </c>
      <c r="AD58">
        <v>2</v>
      </c>
      <c r="AE58">
        <v>1</v>
      </c>
      <c r="AF58">
        <v>0</v>
      </c>
      <c r="AG58">
        <v>2.597</v>
      </c>
      <c r="AH58">
        <v>0.45</v>
      </c>
      <c r="AI58">
        <v>0</v>
      </c>
      <c r="AJ58">
        <v>1.14499</v>
      </c>
      <c r="AK58">
        <v>1.145</v>
      </c>
      <c r="AL58">
        <f t="shared" si="0"/>
        <v>1.145</v>
      </c>
      <c r="AM58">
        <f>VLOOKUP(TRIM(N58),'[1]All - Durations'!$E$2:$H$109,4,FALSE)</f>
        <v>0.92100000000000004</v>
      </c>
      <c r="AN58">
        <f t="shared" si="1"/>
        <v>0.22399999999999998</v>
      </c>
      <c r="AO58">
        <f t="shared" si="2"/>
        <v>0.22399999999999998</v>
      </c>
      <c r="AP58" s="1"/>
      <c r="AQ58" s="9"/>
      <c r="AR58" s="10" t="s">
        <v>346</v>
      </c>
      <c r="AS58" s="11">
        <f>AVERAGEIFS($AG:$AG,$AF:$AF,1,$G:$G,2,$O:$O,$AP$4,$S:$S,AS56)</f>
        <v>1.9449999999999996</v>
      </c>
      <c r="AT58" s="11">
        <f>AVERAGEIFS($AG:$AG,$AF:$AF,1,$G:$G,2,$O:$O,$AP$4,$S:$S,AT56)</f>
        <v>1.3160000000000001</v>
      </c>
      <c r="AU58" s="11" t="s">
        <v>375</v>
      </c>
      <c r="AV58" s="11" t="s">
        <v>375</v>
      </c>
      <c r="AW58" s="11">
        <f>AVERAGEIFS($AG:$AG,$AF:$AF,1,$G:$G,2,$O:$O,$AP$5,$S:$S,AW56)</f>
        <v>1.9103333333333332</v>
      </c>
      <c r="AX58" s="11">
        <f>AVERAGEIFS($AG:$AG,$AF:$AF,1,$G:$G,2,$O:$O,$AP$5,$S:$S,AX56)</f>
        <v>2.5619999999999998</v>
      </c>
      <c r="AY58" s="11">
        <f>AVERAGEIFS($AG:$AG,$AF:$AF,1,$G:$G,2,$O:$O,$AP$5,$S:$S,$AY$56)</f>
        <v>2.3929999999999998</v>
      </c>
      <c r="AZ58" s="11">
        <f>AVERAGEIFS($AG:$AG,$AF:$AF,1,$G:$G,2,$O:$O,$AP$5,$S:$S,$AZ$56)</f>
        <v>2.3130000000000002</v>
      </c>
      <c r="BA58" s="11" t="s">
        <v>375</v>
      </c>
      <c r="BB58" s="11">
        <f>AVERAGEIFS($AG:$AG,$AF:$AF,1,$G:$G,2,$O:$O,$AP$6,$S:$S,$BB$56)</f>
        <v>2.9409999999999998</v>
      </c>
      <c r="BC58" s="11">
        <f>AVERAGEIFS($AG:$AG,$AF:$AF,1,$G:$G,2,$O:$O,$AP$6,$S:$S,$BC$56)</f>
        <v>1.9044999999999999</v>
      </c>
      <c r="BD58" s="11">
        <f>AVERAGEIFS($AG:$AG,$AF:$AF,1,$G:$G,2,$O:$O,$AP$6,$S:$S,$BD$56)</f>
        <v>2.6612499999999999</v>
      </c>
    </row>
    <row r="59" spans="1:56" x14ac:dyDescent="0.25">
      <c r="A59">
        <v>259</v>
      </c>
      <c r="B59" t="s">
        <v>35</v>
      </c>
      <c r="C59">
        <v>3</v>
      </c>
      <c r="D59" t="s">
        <v>36</v>
      </c>
      <c r="E59">
        <v>1</v>
      </c>
      <c r="F59" t="s">
        <v>37</v>
      </c>
      <c r="G59">
        <v>1</v>
      </c>
      <c r="H59">
        <v>2</v>
      </c>
      <c r="I59">
        <v>1</v>
      </c>
      <c r="J59">
        <v>58</v>
      </c>
      <c r="K59">
        <v>58</v>
      </c>
      <c r="L59">
        <v>70</v>
      </c>
      <c r="M59">
        <v>2</v>
      </c>
      <c r="N59" t="s">
        <v>232</v>
      </c>
      <c r="O59" t="s">
        <v>113</v>
      </c>
      <c r="P59" t="s">
        <v>114</v>
      </c>
      <c r="Q59" t="s">
        <v>222</v>
      </c>
      <c r="R59" t="s">
        <v>114</v>
      </c>
      <c r="S59" t="s">
        <v>43</v>
      </c>
      <c r="T59" t="s">
        <v>81</v>
      </c>
      <c r="U59">
        <v>4</v>
      </c>
      <c r="V59" t="s">
        <v>69</v>
      </c>
      <c r="W59" t="s">
        <v>183</v>
      </c>
      <c r="X59" t="s">
        <v>60</v>
      </c>
      <c r="Y59">
        <v>1</v>
      </c>
      <c r="Z59">
        <v>1</v>
      </c>
      <c r="AA59">
        <v>48</v>
      </c>
      <c r="AB59">
        <v>3.0000000000000001E-3</v>
      </c>
      <c r="AC59" t="s">
        <v>69</v>
      </c>
      <c r="AD59">
        <v>2</v>
      </c>
      <c r="AE59">
        <v>2</v>
      </c>
      <c r="AF59">
        <v>0</v>
      </c>
      <c r="AG59">
        <v>2.0169999999999999</v>
      </c>
      <c r="AH59">
        <v>0.76700000000000002</v>
      </c>
      <c r="AI59">
        <v>0</v>
      </c>
      <c r="AJ59">
        <v>5.4989999999999997E-2</v>
      </c>
      <c r="AK59">
        <v>1.228</v>
      </c>
      <c r="AL59">
        <f t="shared" si="0"/>
        <v>1.228</v>
      </c>
      <c r="AM59">
        <f>VLOOKUP(TRIM(N59),'[1]All - Durations'!$E$2:$H$109,4,FALSE)</f>
        <v>1.0269999999999999</v>
      </c>
      <c r="AN59">
        <f t="shared" si="1"/>
        <v>0.20100000000000007</v>
      </c>
      <c r="AO59">
        <f t="shared" si="2"/>
        <v>0.20100000000000007</v>
      </c>
      <c r="AP59" s="1"/>
      <c r="AQ59" s="9"/>
      <c r="AR59" s="2" t="s">
        <v>347</v>
      </c>
      <c r="AS59" s="11">
        <f>AVERAGEIFS($AG:$AG,$AF:$AF,1,$G:$G,3,$O:$O,$AP$4,$S:$S,AS56)</f>
        <v>2.137</v>
      </c>
      <c r="AT59" s="11">
        <f>AVERAGEIFS($AG:$AG,$AF:$AF,1,$G:$G,3,$O:$O,$AP$4,$S:$S,AT56)</f>
        <v>0.58599999999999997</v>
      </c>
      <c r="AU59" s="11">
        <f>AVERAGEIFS($AG:$AG,$AF:$AF,1,$G:$G,3,$O:$O,$AP$4,$S:$S,AU56)</f>
        <v>2.0460000000000003</v>
      </c>
      <c r="AV59" s="11">
        <f>AVERAGEIFS($AG:$AG,$AF:$AF,1,$G:$G,3,$O:$O,$AP$4,$S:$S,AV56)</f>
        <v>2.3784999999999998</v>
      </c>
      <c r="AW59" s="11">
        <f>AVERAGEIFS($AG:$AG,$AF:$AF,1,$G:$G,3,$O:$O,$AP$5,$S:$S,AW56)</f>
        <v>1.6079999999999999</v>
      </c>
      <c r="AX59" s="11">
        <f>AVERAGEIFS($AG:$AG,$AF:$AF,1,$G:$G,3,$O:$O,$AP$5,$S:$S,AX56)</f>
        <v>1.8229999999999997</v>
      </c>
      <c r="AY59" s="11">
        <f>AVERAGEIFS($AG:$AG,$AF:$AF,1,$G:$G,3,$O:$O,$AP$5,$S:$S,$AY$56)</f>
        <v>2.1734999999999998</v>
      </c>
      <c r="AZ59" s="11">
        <f>AVERAGEIFS($AG:$AG,$AF:$AF,1,$G:$G,3,$O:$O,$AP$5,$S:$S,$AZ$56)</f>
        <v>2.2370000000000001</v>
      </c>
      <c r="BA59" s="11" t="s">
        <v>375</v>
      </c>
      <c r="BB59" s="11">
        <f>AVERAGEIFS($AG:$AG,$AF:$AF,1,$G:$G,3,$O:$O,$AP$6,$S:$S,$BB$56)</f>
        <v>2.4656666666666669</v>
      </c>
      <c r="BC59" s="11">
        <f>AVERAGEIFS($AG:$AG,$AF:$AF,1,$G:$G,3,$O:$O,$AP$6,$S:$S,$BC$56)</f>
        <v>1.5575000000000001</v>
      </c>
      <c r="BD59" s="11">
        <f>AVERAGEIFS($AG:$AG,$AF:$AF,1,$G:$G,3,$O:$O,$AP$6,$S:$S,$BD$56)</f>
        <v>2.8174999999999999</v>
      </c>
    </row>
    <row r="60" spans="1:56" x14ac:dyDescent="0.25">
      <c r="A60">
        <v>259</v>
      </c>
      <c r="B60" t="s">
        <v>35</v>
      </c>
      <c r="C60">
        <v>3</v>
      </c>
      <c r="D60" t="s">
        <v>36</v>
      </c>
      <c r="E60">
        <v>1</v>
      </c>
      <c r="F60" t="s">
        <v>37</v>
      </c>
      <c r="G60">
        <v>1</v>
      </c>
      <c r="H60">
        <v>2</v>
      </c>
      <c r="I60">
        <v>1</v>
      </c>
      <c r="J60">
        <v>59</v>
      </c>
      <c r="K60">
        <v>56</v>
      </c>
      <c r="L60">
        <v>30</v>
      </c>
      <c r="M60">
        <v>1</v>
      </c>
      <c r="N60" t="s">
        <v>233</v>
      </c>
      <c r="O60" t="s">
        <v>113</v>
      </c>
      <c r="P60" t="s">
        <v>114</v>
      </c>
      <c r="Q60" t="s">
        <v>218</v>
      </c>
      <c r="R60" t="s">
        <v>114</v>
      </c>
      <c r="S60" t="s">
        <v>43</v>
      </c>
      <c r="T60" t="s">
        <v>107</v>
      </c>
      <c r="U60">
        <v>1</v>
      </c>
      <c r="V60" t="s">
        <v>214</v>
      </c>
      <c r="W60" t="s">
        <v>156</v>
      </c>
      <c r="X60" t="s">
        <v>103</v>
      </c>
      <c r="Y60">
        <v>1</v>
      </c>
      <c r="Z60">
        <v>1</v>
      </c>
      <c r="AA60">
        <v>48</v>
      </c>
      <c r="AB60">
        <v>3.0000000000000001E-3</v>
      </c>
      <c r="AC60" t="s">
        <v>214</v>
      </c>
      <c r="AD60">
        <v>2</v>
      </c>
      <c r="AE60">
        <v>4</v>
      </c>
      <c r="AF60">
        <v>0</v>
      </c>
      <c r="AG60">
        <v>2.323</v>
      </c>
      <c r="AH60">
        <v>0.6</v>
      </c>
      <c r="AI60">
        <v>0</v>
      </c>
      <c r="AJ60">
        <v>1.1349899999999999</v>
      </c>
      <c r="AK60">
        <v>1.135</v>
      </c>
      <c r="AL60">
        <f t="shared" si="0"/>
        <v>1.135</v>
      </c>
      <c r="AM60">
        <f>VLOOKUP(TRIM(N60),'[1]All - Durations'!$E$2:$H$109,4,FALSE)</f>
        <v>0.85599999999999998</v>
      </c>
      <c r="AN60">
        <f t="shared" si="1"/>
        <v>0.27900000000000003</v>
      </c>
      <c r="AO60">
        <f t="shared" si="2"/>
        <v>0.27900000000000003</v>
      </c>
      <c r="AP60" s="1"/>
      <c r="AQ60" s="9"/>
      <c r="AR60" s="2" t="s">
        <v>348</v>
      </c>
      <c r="AS60" s="11">
        <f>AVERAGEIFS($AG:$AG,$AF:$AF,1,$G:$G,4,$O:$O,$AP$4,$S:$S,AS56)</f>
        <v>2.597</v>
      </c>
      <c r="AT60" s="11">
        <f>AVERAGEIFS($AG:$AG,$AF:$AF,1,$G:$G,4,$O:$O,$AP$4,$S:$S,AT56)</f>
        <v>1.8840000000000001</v>
      </c>
      <c r="AU60" s="11">
        <f>AVERAGEIFS($AG:$AG,$AF:$AF,1,$G:$G,4,$O:$O,$AP$4,$S:$S,AU56)</f>
        <v>1.218</v>
      </c>
      <c r="AV60" s="11">
        <f>AVERAGEIFS($AG:$AG,$AF:$AF,1,$G:$G,4,$O:$O,$AP$4,$S:$S,AV56)</f>
        <v>1.5865</v>
      </c>
      <c r="AW60" s="11">
        <f>AVERAGEIFS($AG:$AG,$AF:$AF,1,$G:$G,4,$O:$O,$AP$5,$S:$S,AW56)</f>
        <v>1.45825</v>
      </c>
      <c r="AX60" s="11">
        <f>AVERAGEIFS($AG:$AG,$AF:$AF,1,$G:$G,4,$O:$O,$AP$5,$S:$S,AX56)</f>
        <v>2.1339999999999999</v>
      </c>
      <c r="AY60" s="11">
        <f>AVERAGEIFS($AG:$AG,$AF:$AF,1,$G:$G,4,$O:$O,$AP$5,$S:$S,$AY$56)</f>
        <v>2.4660000000000002</v>
      </c>
      <c r="AZ60" s="11">
        <f>AVERAGEIFS($AG:$AG,$AF:$AF,1,$G:$G,4,$O:$O,$AP$5,$S:$S,$AZ$56)</f>
        <v>1.3813333333333333</v>
      </c>
      <c r="BA60" s="11">
        <f>AVERAGEIFS($AG:$AG,$AF:$AF,1,$G:$G,4,$O:$O,$AP$6,$S:$S,$BA$56)</f>
        <v>2.0430000000000001</v>
      </c>
      <c r="BB60" s="11">
        <f>AVERAGEIFS($AG:$AG,$AF:$AF,1,$G:$G,4,$O:$O,$AP$6,$S:$S,$BB$56)</f>
        <v>1.6270000000000002</v>
      </c>
      <c r="BC60" s="11">
        <f>AVERAGEIFS($AG:$AG,$AF:$AF,1,$G:$G,4,$O:$O,$AP$6,$S:$S,$BC$56)</f>
        <v>2.0285000000000002</v>
      </c>
      <c r="BD60" s="11">
        <f>AVERAGEIFS($AG:$AG,$AF:$AF,1,$G:$G,4,$O:$O,$AP$6,$S:$S,$BD$56)</f>
        <v>1.9483333333333333</v>
      </c>
    </row>
    <row r="61" spans="1:56" x14ac:dyDescent="0.25">
      <c r="A61">
        <v>259</v>
      </c>
      <c r="B61" t="s">
        <v>35</v>
      </c>
      <c r="C61">
        <v>3</v>
      </c>
      <c r="D61" t="s">
        <v>36</v>
      </c>
      <c r="E61">
        <v>1</v>
      </c>
      <c r="F61" t="s">
        <v>37</v>
      </c>
      <c r="G61">
        <v>1</v>
      </c>
      <c r="H61">
        <v>2</v>
      </c>
      <c r="I61">
        <v>1</v>
      </c>
      <c r="J61">
        <v>60</v>
      </c>
      <c r="K61">
        <v>52</v>
      </c>
      <c r="L61">
        <v>32</v>
      </c>
      <c r="M61">
        <v>1</v>
      </c>
      <c r="N61" t="s">
        <v>234</v>
      </c>
      <c r="O61" t="s">
        <v>113</v>
      </c>
      <c r="P61" t="s">
        <v>114</v>
      </c>
      <c r="Q61" t="s">
        <v>231</v>
      </c>
      <c r="R61" t="s">
        <v>114</v>
      </c>
      <c r="S61" t="s">
        <v>43</v>
      </c>
      <c r="T61" t="s">
        <v>111</v>
      </c>
      <c r="U61">
        <v>1</v>
      </c>
      <c r="V61" t="s">
        <v>81</v>
      </c>
      <c r="W61" t="s">
        <v>62</v>
      </c>
      <c r="X61" t="s">
        <v>98</v>
      </c>
      <c r="Y61">
        <v>2</v>
      </c>
      <c r="Z61">
        <v>1</v>
      </c>
      <c r="AA61">
        <v>48</v>
      </c>
      <c r="AB61">
        <v>3.0000000000000001E-3</v>
      </c>
      <c r="AC61" t="s">
        <v>98</v>
      </c>
      <c r="AD61">
        <v>4</v>
      </c>
      <c r="AE61">
        <v>2</v>
      </c>
      <c r="AF61">
        <v>0</v>
      </c>
      <c r="AG61">
        <v>2.415</v>
      </c>
      <c r="AH61">
        <v>0.51600000000000001</v>
      </c>
      <c r="AI61">
        <v>0</v>
      </c>
      <c r="AJ61">
        <v>1.3549899999999999</v>
      </c>
      <c r="AK61">
        <v>1.355</v>
      </c>
      <c r="AL61">
        <f t="shared" si="0"/>
        <v>1.355</v>
      </c>
      <c r="AM61">
        <f>VLOOKUP(TRIM(N61),'[1]All - Durations'!$E$2:$H$109,4,FALSE)</f>
        <v>0.9</v>
      </c>
      <c r="AN61">
        <f t="shared" si="1"/>
        <v>0.45499999999999996</v>
      </c>
      <c r="AO61">
        <f t="shared" si="2"/>
        <v>0.45499999999999996</v>
      </c>
      <c r="AP61" s="1"/>
      <c r="AQ61" s="9"/>
      <c r="AR61" s="2" t="s">
        <v>349</v>
      </c>
      <c r="AS61" s="11">
        <f>AVERAGEIFS($AG:$AG,$AF:$AF,1,$G:$G,5,$O:$O,$AP$4,$S:$S,AS56)</f>
        <v>2.2029999999999998</v>
      </c>
      <c r="AT61" s="11">
        <f>AVERAGEIFS($AG:$AG,$AF:$AF,1,$G:$G,5,$O:$O,$AP$4,$S:$S,AT56)</f>
        <v>1.7815000000000001</v>
      </c>
      <c r="AU61" s="11">
        <f>AVERAGEIFS($AG:$AG,$AF:$AF,1,$G:$G,5,$O:$O,$AP$4,$S:$S,AU56)</f>
        <v>1.4535</v>
      </c>
      <c r="AV61" s="11">
        <f>AVERAGEIFS($AG:$AG,$AF:$AF,1,$G:$G,5,$O:$O,$AP$4,$S:$S,AV56)</f>
        <v>2.012</v>
      </c>
      <c r="AW61" s="11">
        <f>AVERAGEIFS($AG:$AG,$AF:$AF,1,$G:$G,5,$O:$O,$AP$5,$S:$S,AW56)</f>
        <v>1.8925000000000001</v>
      </c>
      <c r="AX61" s="11">
        <f>AVERAGEIFS($AG:$AG,$AF:$AF,1,$G:$G,5,$O:$O,$AP$5,$S:$S,AX56)</f>
        <v>2.0594999999999999</v>
      </c>
      <c r="AY61" s="11">
        <f>AVERAGEIFS($AG:$AG,$AF:$AF,1,$G:$G,5,$O:$O,$AP$5,$S:$S,$AY$56)</f>
        <v>2.6749999999999998</v>
      </c>
      <c r="AZ61" s="11">
        <f>AVERAGEIFS($AG:$AG,$AF:$AF,1,$G:$G,5,$O:$O,$AP$5,$S:$S,$AZ$56)</f>
        <v>1.7711666666666666</v>
      </c>
      <c r="BA61" s="11">
        <f>AVERAGEIFS($AG:$AG,$AF:$AF,1,$G:$G,5,$O:$O,$AP$6,$S:$S,$BA$56)</f>
        <v>2.3119999999999998</v>
      </c>
      <c r="BB61" s="11">
        <f>AVERAGEIFS($AG:$AG,$AF:$AF,1,$G:$G,5,$O:$O,$AP$6,$S:$S,$BB$56)</f>
        <v>2.4380000000000002</v>
      </c>
      <c r="BC61" s="11">
        <f>AVERAGEIFS($AG:$AG,$AF:$AF,1,$G:$G,5,$O:$O,$AP$6,$S:$S,$BC$56)</f>
        <v>2.4762</v>
      </c>
      <c r="BD61" s="11">
        <f>AVERAGEIFS($AG:$AG,$AF:$AF,1,$G:$G,5,$O:$O,$AP$6,$S:$S,$BD$56)</f>
        <v>2.4472499999999999</v>
      </c>
    </row>
    <row r="62" spans="1:56" x14ac:dyDescent="0.25">
      <c r="A62">
        <v>259</v>
      </c>
      <c r="B62" t="s">
        <v>35</v>
      </c>
      <c r="C62">
        <v>3</v>
      </c>
      <c r="D62" t="s">
        <v>36</v>
      </c>
      <c r="E62">
        <v>1</v>
      </c>
      <c r="F62" t="s">
        <v>37</v>
      </c>
      <c r="G62">
        <v>1</v>
      </c>
      <c r="H62">
        <v>2</v>
      </c>
      <c r="I62">
        <v>1</v>
      </c>
      <c r="J62">
        <v>61</v>
      </c>
      <c r="K62">
        <v>70</v>
      </c>
      <c r="L62">
        <v>58</v>
      </c>
      <c r="M62">
        <v>2</v>
      </c>
      <c r="N62" t="s">
        <v>235</v>
      </c>
      <c r="O62" t="s">
        <v>151</v>
      </c>
      <c r="P62" t="s">
        <v>236</v>
      </c>
      <c r="Q62" t="s">
        <v>237</v>
      </c>
      <c r="R62" t="s">
        <v>160</v>
      </c>
      <c r="S62" t="s">
        <v>43</v>
      </c>
      <c r="T62" t="s">
        <v>55</v>
      </c>
      <c r="U62">
        <v>2</v>
      </c>
      <c r="V62" t="s">
        <v>75</v>
      </c>
      <c r="W62" t="s">
        <v>106</v>
      </c>
      <c r="X62" t="s">
        <v>127</v>
      </c>
      <c r="Y62">
        <v>1</v>
      </c>
      <c r="Z62">
        <v>1</v>
      </c>
      <c r="AA62">
        <v>48</v>
      </c>
      <c r="AB62">
        <v>4.0000000000000001E-3</v>
      </c>
      <c r="AC62" t="s">
        <v>106</v>
      </c>
      <c r="AD62">
        <v>4</v>
      </c>
      <c r="AE62">
        <v>5</v>
      </c>
      <c r="AF62">
        <v>0</v>
      </c>
      <c r="AG62">
        <v>2.7789999999999999</v>
      </c>
      <c r="AH62">
        <v>0.51700000000000002</v>
      </c>
      <c r="AI62">
        <v>0</v>
      </c>
      <c r="AJ62">
        <v>6.4990000000000006E-2</v>
      </c>
      <c r="AK62">
        <v>1.147</v>
      </c>
      <c r="AL62">
        <f t="shared" si="0"/>
        <v>1.147</v>
      </c>
      <c r="AM62">
        <f>VLOOKUP(TRIM(N62),'[1]All - Durations'!$E$2:$H$109,4,FALSE)</f>
        <v>0.85899999999999999</v>
      </c>
      <c r="AN62">
        <f t="shared" si="1"/>
        <v>0.28800000000000003</v>
      </c>
      <c r="AO62">
        <f t="shared" si="2"/>
        <v>0.28800000000000003</v>
      </c>
      <c r="AP62" s="1"/>
      <c r="AQ62" s="9"/>
      <c r="AR62" s="2" t="s">
        <v>350</v>
      </c>
      <c r="AS62" s="11">
        <f>AVERAGEIFS($AG:$AG,$AF:$AF,1,$G:$G,6,$O:$O,$AP$4,$S:$S,AS56)</f>
        <v>1.65</v>
      </c>
      <c r="AT62" s="11">
        <f>AVERAGEIFS($AG:$AG,$AF:$AF,1,$G:$G,6,$O:$O,$AP$4,$S:$S,AT56)</f>
        <v>1.5063333333333333</v>
      </c>
      <c r="AU62" s="11">
        <f>AVERAGEIFS($AG:$AG,$AF:$AF,1,$G:$G,6,$O:$O,$AP$4,$S:$S,AU56)</f>
        <v>1.4123333333333334</v>
      </c>
      <c r="AV62" s="11">
        <f>AVERAGEIFS($AG:$AG,$AF:$AF,1,$G:$G,6,$O:$O,$AP$4,$S:$S,AV56)</f>
        <v>1.9383333333333332</v>
      </c>
      <c r="AW62" s="11">
        <f>AVERAGEIFS($AG:$AG,$AF:$AF,1,$G:$G,6,$O:$O,$AP$5,$S:$S,AW56)</f>
        <v>1.6460000000000001</v>
      </c>
      <c r="AX62" s="11">
        <f>AVERAGEIFS($AG:$AG,$AF:$AF,1,$G:$G,6,$O:$O,$AP$5,$S:$S,AX56)</f>
        <v>2.1126666666666662</v>
      </c>
      <c r="AY62" s="11">
        <f>AVERAGEIFS($AG:$AG,$AF:$AF,1,$G:$G,6,$O:$O,$AP$5,$S:$S,$AY$56)</f>
        <v>1.5066666666666668</v>
      </c>
      <c r="AZ62" s="11">
        <f>AVERAGEIFS($AG:$AG,$AF:$AF,1,$G:$G,6,$O:$O,$AP$5,$S:$S,$AZ$56)</f>
        <v>1.8296666666666666</v>
      </c>
      <c r="BA62" s="11">
        <f>AVERAGEIFS($AG:$AG,$AF:$AF,1,$G:$G,6,$O:$O,$AP$6,$S:$S,$BA$56)</f>
        <v>2.5354999999999999</v>
      </c>
      <c r="BB62" s="11">
        <f>AVERAGEIFS($AG:$AG,$AF:$AF,1,$G:$G,6,$O:$O,$AP$6,$S:$S,$BB$56)</f>
        <v>1.4594999999999998</v>
      </c>
      <c r="BC62" s="11">
        <f>AVERAGEIFS($AG:$AG,$AF:$AF,1,$G:$G,6,$O:$O,$AP$6,$S:$S,$BC$56)</f>
        <v>1.1806666666666665</v>
      </c>
      <c r="BD62" s="11">
        <f>AVERAGEIFS($AG:$AG,$AF:$AF,1,$G:$G,6,$O:$O,$AP$6,$S:$S,$BD$56)</f>
        <v>2.0540000000000003</v>
      </c>
    </row>
    <row r="63" spans="1:56" x14ac:dyDescent="0.25">
      <c r="A63">
        <v>259</v>
      </c>
      <c r="B63" t="s">
        <v>35</v>
      </c>
      <c r="C63">
        <v>3</v>
      </c>
      <c r="D63" t="s">
        <v>36</v>
      </c>
      <c r="E63">
        <v>1</v>
      </c>
      <c r="F63" t="s">
        <v>37</v>
      </c>
      <c r="G63">
        <v>1</v>
      </c>
      <c r="H63">
        <v>2</v>
      </c>
      <c r="I63">
        <v>1</v>
      </c>
      <c r="J63">
        <v>62</v>
      </c>
      <c r="K63">
        <v>64</v>
      </c>
      <c r="L63">
        <v>20</v>
      </c>
      <c r="M63">
        <v>1</v>
      </c>
      <c r="N63" t="s">
        <v>238</v>
      </c>
      <c r="O63" t="s">
        <v>151</v>
      </c>
      <c r="P63" t="s">
        <v>239</v>
      </c>
      <c r="Q63" t="s">
        <v>240</v>
      </c>
      <c r="R63" t="s">
        <v>160</v>
      </c>
      <c r="S63" t="s">
        <v>43</v>
      </c>
      <c r="T63" t="s">
        <v>82</v>
      </c>
      <c r="U63">
        <v>2</v>
      </c>
      <c r="V63" t="s">
        <v>110</v>
      </c>
      <c r="W63" t="s">
        <v>137</v>
      </c>
      <c r="X63" t="s">
        <v>149</v>
      </c>
      <c r="Y63">
        <v>2</v>
      </c>
      <c r="Z63">
        <v>1</v>
      </c>
      <c r="AA63">
        <v>48</v>
      </c>
      <c r="AB63">
        <v>3.0000000000000001E-3</v>
      </c>
      <c r="AC63" t="s">
        <v>149</v>
      </c>
      <c r="AD63">
        <v>4</v>
      </c>
      <c r="AE63">
        <v>1</v>
      </c>
      <c r="AF63">
        <v>0</v>
      </c>
      <c r="AG63">
        <v>1.73</v>
      </c>
      <c r="AH63">
        <v>0.63300000000000001</v>
      </c>
      <c r="AI63">
        <v>0</v>
      </c>
      <c r="AJ63">
        <v>3.499E-2</v>
      </c>
      <c r="AK63">
        <v>1.109</v>
      </c>
      <c r="AL63">
        <f t="shared" si="0"/>
        <v>1.109</v>
      </c>
      <c r="AM63">
        <f>VLOOKUP(TRIM(N63),'[1]All - Durations'!$E$2:$H$109,4,FALSE)</f>
        <v>0.9</v>
      </c>
      <c r="AN63">
        <f t="shared" si="1"/>
        <v>0.20899999999999996</v>
      </c>
      <c r="AO63">
        <f t="shared" si="2"/>
        <v>0.20899999999999996</v>
      </c>
      <c r="AP63" s="1"/>
      <c r="AQ63" s="9"/>
      <c r="AR63" s="2" t="s">
        <v>351</v>
      </c>
      <c r="AS63" s="11">
        <f>AVERAGEIFS($AG:$AG,$AF:$AF,1,$G:$G,7,$O:$O,$AP$4,$S:$S,AS56)</f>
        <v>1.627</v>
      </c>
      <c r="AT63" s="11">
        <f>AVERAGEIFS($AG:$AG,$AF:$AF,1,$G:$G,7,$O:$O,$AP$4,$S:$S,AT56)</f>
        <v>1.3240000000000001</v>
      </c>
      <c r="AU63" s="11">
        <f>AVERAGEIFS($AG:$AG,$AF:$AF,1,$G:$G,7,$O:$O,$AP$4,$S:$S,AU56)</f>
        <v>2.2995000000000001</v>
      </c>
      <c r="AV63" s="11">
        <f>AVERAGEIFS($AG:$AG,$AF:$AF,1,$G:$G,7,$O:$O,$AP$4,$S:$S,AV56)</f>
        <v>2.7149999999999999</v>
      </c>
      <c r="AW63" s="11">
        <f>AVERAGEIFS($AG:$AG,$AF:$AF,1,$G:$G,7,$O:$O,$AP$5,$S:$S,AW56)</f>
        <v>1.0063333333333333</v>
      </c>
      <c r="AX63" s="11">
        <f>AVERAGEIFS($AG:$AG,$AF:$AF,1,$G:$G,7,$O:$O,$AP$5,$S:$S,AX56)</f>
        <v>2.2284999999999999</v>
      </c>
      <c r="AY63" s="11">
        <f>AVERAGEIFS($AG:$AG,$AF:$AF,1,$G:$G,7,$O:$O,$AP$5,$S:$S,$AY$56)</f>
        <v>1.1305000000000001</v>
      </c>
      <c r="AZ63" s="11">
        <f>AVERAGEIFS($AG:$AG,$AF:$AF,1,$G:$G,7,$O:$O,$AP$5,$S:$S,$AZ$56)</f>
        <v>1.9006666666666667</v>
      </c>
      <c r="BA63" s="11">
        <f>AVERAGEIFS($AG:$AG,$AF:$AF,1,$G:$G,7,$O:$O,$AP$6,$S:$S,$BA$56)</f>
        <v>2.3933333333333331</v>
      </c>
      <c r="BB63" s="11">
        <f>AVERAGEIFS($AG:$AG,$AF:$AF,1,$G:$G,7,$O:$O,$AP$6,$S:$S,$BB$56)</f>
        <v>2.4633333333333329</v>
      </c>
      <c r="BC63" s="11">
        <f>AVERAGEIFS($AG:$AG,$AF:$AF,1,$G:$G,7,$O:$O,$AP$6,$S:$S,$BC$56)</f>
        <v>1.1806666666666665</v>
      </c>
      <c r="BD63" s="11">
        <f>AVERAGEIFS($AG:$AG,$AF:$AF,1,$G:$G,7,$O:$O,$AP$6,$S:$S,$BD$56)</f>
        <v>1.0569999999999999</v>
      </c>
    </row>
    <row r="64" spans="1:56" x14ac:dyDescent="0.25">
      <c r="A64">
        <v>259</v>
      </c>
      <c r="B64" t="s">
        <v>35</v>
      </c>
      <c r="C64">
        <v>3</v>
      </c>
      <c r="D64" t="s">
        <v>36</v>
      </c>
      <c r="E64">
        <v>1</v>
      </c>
      <c r="F64" t="s">
        <v>37</v>
      </c>
      <c r="G64">
        <v>1</v>
      </c>
      <c r="H64">
        <v>2</v>
      </c>
      <c r="I64">
        <v>1</v>
      </c>
      <c r="J64">
        <v>63</v>
      </c>
      <c r="K64">
        <v>72</v>
      </c>
      <c r="L64">
        <v>22</v>
      </c>
      <c r="M64">
        <v>1</v>
      </c>
      <c r="N64" t="s">
        <v>241</v>
      </c>
      <c r="O64" t="s">
        <v>151</v>
      </c>
      <c r="P64" t="s">
        <v>242</v>
      </c>
      <c r="Q64" t="s">
        <v>243</v>
      </c>
      <c r="R64" t="s">
        <v>174</v>
      </c>
      <c r="S64" t="s">
        <v>52</v>
      </c>
      <c r="T64" t="s">
        <v>132</v>
      </c>
      <c r="U64">
        <v>2</v>
      </c>
      <c r="V64" t="s">
        <v>146</v>
      </c>
      <c r="W64" t="s">
        <v>120</v>
      </c>
      <c r="X64" t="s">
        <v>44</v>
      </c>
      <c r="Y64">
        <v>1</v>
      </c>
      <c r="Z64">
        <v>1</v>
      </c>
      <c r="AA64">
        <v>48</v>
      </c>
      <c r="AB64">
        <v>3.0000000000000001E-3</v>
      </c>
      <c r="AC64" t="s">
        <v>120</v>
      </c>
      <c r="AD64">
        <v>4</v>
      </c>
      <c r="AE64">
        <v>4</v>
      </c>
      <c r="AF64">
        <v>0</v>
      </c>
      <c r="AG64">
        <v>1.869</v>
      </c>
      <c r="AH64">
        <v>0.38300000000000001</v>
      </c>
      <c r="AI64">
        <v>0</v>
      </c>
      <c r="AJ64">
        <v>4.4990000000000002E-2</v>
      </c>
      <c r="AK64">
        <v>1.123</v>
      </c>
      <c r="AL64">
        <f t="shared" si="0"/>
        <v>1.123</v>
      </c>
      <c r="AM64">
        <f>VLOOKUP(TRIM(N64),'[1]All - Durations'!$E$2:$H$109,4,FALSE)</f>
        <v>0.97099999999999997</v>
      </c>
      <c r="AN64">
        <f t="shared" si="1"/>
        <v>0.15200000000000002</v>
      </c>
      <c r="AO64">
        <f t="shared" si="2"/>
        <v>0.15200000000000002</v>
      </c>
      <c r="AP64" s="1"/>
      <c r="AQ64" s="9"/>
      <c r="AR64" s="2" t="s">
        <v>352</v>
      </c>
      <c r="AS64" s="11">
        <f>AVERAGEIFS($AG:$AG,$AF:$AF,1,$G:$G,8,$O:$O,$AP$4,$S:$S,AS56)</f>
        <v>1.7676666666666667</v>
      </c>
      <c r="AT64" s="11">
        <f>AVERAGEIFS($AG:$AG,$AF:$AF,1,$G:$G,8,$O:$O,$AP$4,$S:$S,AT56)</f>
        <v>1.1492499999999999</v>
      </c>
      <c r="AU64" s="11">
        <f>AVERAGEIFS($AG:$AG,$AF:$AF,1,$G:$G,8,$O:$O,$AP$4,$S:$S,AU56)</f>
        <v>1.4185000000000001</v>
      </c>
      <c r="AV64" s="11">
        <f>AVERAGEIFS($AG:$AG,$AF:$AF,1,$G:$G,8,$O:$O,$AP$4,$S:$S,AV56)</f>
        <v>1.921</v>
      </c>
      <c r="AW64" s="11">
        <f>AVERAGEIFS($AG:$AG,$AF:$AF,1,$G:$G,8,$O:$O,$AP$5,$S:$S,AW56)</f>
        <v>2.1427499999999999</v>
      </c>
      <c r="AX64" s="11">
        <f>AVERAGEIFS($AG:$AG,$AF:$AF,1,$G:$G,8,$O:$O,$AP$5,$S:$S,AX56)</f>
        <v>0.71099999999999997</v>
      </c>
      <c r="AY64" s="11">
        <f>AVERAGEIFS($AG:$AG,$AF:$AF,1,$G:$G,8,$O:$O,$AP$5,$S:$S,$AY$56)</f>
        <v>2.0143333333333335</v>
      </c>
      <c r="AZ64" s="11">
        <f>AVERAGEIFS($AG:$AG,$AF:$AF,1,$G:$G,8,$O:$O,$AP$5,$S:$S,$AZ$56)</f>
        <v>2.1824000000000003</v>
      </c>
      <c r="BA64" s="11">
        <f>AVERAGEIFS($AG:$AG,$AF:$AF,1,$G:$G,8,$O:$O,$AP$6,$S:$S,$BA$56)</f>
        <v>2.0090000000000003</v>
      </c>
      <c r="BB64" s="11">
        <f>AVERAGEIFS($AG:$AG,$AF:$AF,1,$G:$G,8,$O:$O,$AP$6,$S:$S,$BB$56)</f>
        <v>1.8338000000000001</v>
      </c>
      <c r="BC64" s="11">
        <f>AVERAGEIFS($AG:$AG,$AF:$AF,1,$G:$G,8,$O:$O,$AP$6,$S:$S,$BC$56)</f>
        <v>1.5077499999999999</v>
      </c>
      <c r="BD64" s="11">
        <f>AVERAGEIFS($AG:$AG,$AF:$AF,1,$G:$G,8,$O:$O,$AP$6,$S:$S,$BD$56)</f>
        <v>1.8460000000000001</v>
      </c>
    </row>
    <row r="65" spans="1:50" x14ac:dyDescent="0.25">
      <c r="A65">
        <v>259</v>
      </c>
      <c r="B65" t="s">
        <v>35</v>
      </c>
      <c r="C65">
        <v>3</v>
      </c>
      <c r="D65" t="s">
        <v>36</v>
      </c>
      <c r="E65">
        <v>1</v>
      </c>
      <c r="F65" t="s">
        <v>37</v>
      </c>
      <c r="G65">
        <v>1</v>
      </c>
      <c r="H65">
        <v>2</v>
      </c>
      <c r="I65">
        <v>1</v>
      </c>
      <c r="J65">
        <v>64</v>
      </c>
      <c r="K65">
        <v>61</v>
      </c>
      <c r="L65">
        <v>23</v>
      </c>
      <c r="M65">
        <v>1</v>
      </c>
      <c r="N65" t="s">
        <v>244</v>
      </c>
      <c r="O65" t="s">
        <v>151</v>
      </c>
      <c r="P65" t="s">
        <v>245</v>
      </c>
      <c r="Q65" t="s">
        <v>246</v>
      </c>
      <c r="R65" t="s">
        <v>154</v>
      </c>
      <c r="S65" t="s">
        <v>92</v>
      </c>
      <c r="T65" t="s">
        <v>62</v>
      </c>
      <c r="U65">
        <v>1</v>
      </c>
      <c r="V65" t="s">
        <v>68</v>
      </c>
      <c r="W65" t="s">
        <v>87</v>
      </c>
      <c r="X65" t="s">
        <v>73</v>
      </c>
      <c r="Y65">
        <v>2</v>
      </c>
      <c r="Z65">
        <v>1</v>
      </c>
      <c r="AA65">
        <v>48</v>
      </c>
      <c r="AB65">
        <v>4.0000000000000001E-3</v>
      </c>
      <c r="AC65" t="s">
        <v>87</v>
      </c>
      <c r="AD65">
        <v>4</v>
      </c>
      <c r="AE65">
        <v>2</v>
      </c>
      <c r="AF65">
        <v>0</v>
      </c>
      <c r="AG65">
        <v>1.976</v>
      </c>
      <c r="AH65">
        <v>0.51700000000000002</v>
      </c>
      <c r="AI65">
        <v>0</v>
      </c>
      <c r="AJ65">
        <v>1.15499</v>
      </c>
      <c r="AK65">
        <v>1.155</v>
      </c>
      <c r="AL65">
        <f t="shared" si="0"/>
        <v>1.155</v>
      </c>
      <c r="AM65">
        <f>VLOOKUP(TRIM(N65),'[1]All - Durations'!$E$2:$H$109,4,FALSE)</f>
        <v>0.88300000000000001</v>
      </c>
      <c r="AN65">
        <f t="shared" si="1"/>
        <v>0.27200000000000002</v>
      </c>
      <c r="AO65">
        <f t="shared" si="2"/>
        <v>0.27200000000000002</v>
      </c>
      <c r="AP65" s="1"/>
    </row>
    <row r="66" spans="1:50" x14ac:dyDescent="0.25">
      <c r="A66">
        <v>259</v>
      </c>
      <c r="B66" t="s">
        <v>35</v>
      </c>
      <c r="C66">
        <v>3</v>
      </c>
      <c r="D66" t="s">
        <v>36</v>
      </c>
      <c r="E66">
        <v>1</v>
      </c>
      <c r="F66" t="s">
        <v>37</v>
      </c>
      <c r="G66">
        <v>1</v>
      </c>
      <c r="H66">
        <v>2</v>
      </c>
      <c r="I66">
        <v>1</v>
      </c>
      <c r="J66">
        <v>65</v>
      </c>
      <c r="K66">
        <v>69</v>
      </c>
      <c r="L66">
        <v>57</v>
      </c>
      <c r="M66">
        <v>2</v>
      </c>
      <c r="N66" t="s">
        <v>247</v>
      </c>
      <c r="O66" t="s">
        <v>151</v>
      </c>
      <c r="P66" t="s">
        <v>236</v>
      </c>
      <c r="Q66" t="s">
        <v>237</v>
      </c>
      <c r="R66" t="s">
        <v>174</v>
      </c>
      <c r="S66" t="s">
        <v>52</v>
      </c>
      <c r="T66" t="s">
        <v>75</v>
      </c>
      <c r="U66">
        <v>4</v>
      </c>
      <c r="V66" t="s">
        <v>99</v>
      </c>
      <c r="W66" t="s">
        <v>147</v>
      </c>
      <c r="X66" t="s">
        <v>46</v>
      </c>
      <c r="Y66">
        <v>2</v>
      </c>
      <c r="Z66">
        <v>1</v>
      </c>
      <c r="AA66">
        <v>48</v>
      </c>
      <c r="AB66">
        <v>2E-3</v>
      </c>
      <c r="AC66" t="s">
        <v>99</v>
      </c>
      <c r="AD66">
        <v>3</v>
      </c>
      <c r="AE66">
        <v>1</v>
      </c>
      <c r="AF66">
        <v>0</v>
      </c>
      <c r="AG66">
        <v>2.1709999999999998</v>
      </c>
      <c r="AH66">
        <v>0.433</v>
      </c>
      <c r="AI66">
        <v>0</v>
      </c>
      <c r="AJ66">
        <v>5.4989999999999997E-2</v>
      </c>
      <c r="AK66">
        <v>1.8879999999999999</v>
      </c>
      <c r="AL66">
        <f t="shared" si="0"/>
        <v>1.8879999999999999</v>
      </c>
      <c r="AM66">
        <f>VLOOKUP(TRIM(N66),'[1]All - Durations'!$E$2:$H$109,4,FALSE)</f>
        <v>0.94399999999999995</v>
      </c>
      <c r="AN66">
        <f t="shared" si="1"/>
        <v>0.94399999999999995</v>
      </c>
      <c r="AO66">
        <f t="shared" si="2"/>
        <v>0.94399999999999995</v>
      </c>
      <c r="AP66" s="1"/>
      <c r="AQ66" s="4" t="s">
        <v>360</v>
      </c>
      <c r="AS66" s="4" t="s">
        <v>355</v>
      </c>
      <c r="AU66" s="4" t="s">
        <v>356</v>
      </c>
      <c r="AW66" s="4" t="s">
        <v>357</v>
      </c>
    </row>
    <row r="67" spans="1:50" x14ac:dyDescent="0.25">
      <c r="A67">
        <v>259</v>
      </c>
      <c r="B67" t="s">
        <v>35</v>
      </c>
      <c r="C67">
        <v>3</v>
      </c>
      <c r="D67" t="s">
        <v>36</v>
      </c>
      <c r="E67">
        <v>1</v>
      </c>
      <c r="F67" t="s">
        <v>37</v>
      </c>
      <c r="G67">
        <v>1</v>
      </c>
      <c r="H67">
        <v>2</v>
      </c>
      <c r="I67">
        <v>1</v>
      </c>
      <c r="J67">
        <v>66</v>
      </c>
      <c r="K67">
        <v>66</v>
      </c>
      <c r="L67">
        <v>54</v>
      </c>
      <c r="M67">
        <v>2</v>
      </c>
      <c r="N67" t="s">
        <v>248</v>
      </c>
      <c r="O67" t="s">
        <v>151</v>
      </c>
      <c r="P67" t="s">
        <v>249</v>
      </c>
      <c r="Q67" t="s">
        <v>250</v>
      </c>
      <c r="R67" t="s">
        <v>154</v>
      </c>
      <c r="S67" t="s">
        <v>92</v>
      </c>
      <c r="T67" t="s">
        <v>68</v>
      </c>
      <c r="U67">
        <v>1</v>
      </c>
      <c r="V67" t="s">
        <v>204</v>
      </c>
      <c r="W67" t="s">
        <v>214</v>
      </c>
      <c r="X67" t="s">
        <v>131</v>
      </c>
      <c r="Y67">
        <v>1</v>
      </c>
      <c r="Z67">
        <v>1</v>
      </c>
      <c r="AA67">
        <v>48</v>
      </c>
      <c r="AB67">
        <v>2E-3</v>
      </c>
      <c r="AC67" t="s">
        <v>204</v>
      </c>
      <c r="AD67">
        <v>2</v>
      </c>
      <c r="AE67">
        <v>4</v>
      </c>
      <c r="AF67">
        <v>0</v>
      </c>
      <c r="AG67">
        <v>2.4510000000000001</v>
      </c>
      <c r="AH67">
        <v>0.46700000000000003</v>
      </c>
      <c r="AI67">
        <v>0</v>
      </c>
      <c r="AJ67">
        <v>5.4989999999999997E-2</v>
      </c>
      <c r="AK67">
        <v>1.135</v>
      </c>
      <c r="AL67">
        <f t="shared" ref="AL67:AL130" si="24">IF(ISNUMBER(AK67), AK67, IF(AND(AK67="",AJ67=""),"",IF(AK67="",AJ67,"")))</f>
        <v>1.135</v>
      </c>
      <c r="AM67">
        <f>VLOOKUP(TRIM(N67),'[1]All - Durations'!$E$2:$H$109,4,FALSE)</f>
        <v>0.94199999999999995</v>
      </c>
      <c r="AN67">
        <f t="shared" ref="AN67:AN130" si="25">AL67-AM67</f>
        <v>0.19300000000000006</v>
      </c>
      <c r="AO67">
        <f t="shared" ref="AO67:AO130" si="26">IF(ISNUMBER(AN67), AN67, "")</f>
        <v>0.19300000000000006</v>
      </c>
      <c r="AP67" s="1"/>
      <c r="AR67" s="1"/>
      <c r="AS67" t="s">
        <v>358</v>
      </c>
      <c r="AT67" t="s">
        <v>359</v>
      </c>
      <c r="AU67" t="s">
        <v>358</v>
      </c>
      <c r="AV67" t="s">
        <v>359</v>
      </c>
      <c r="AW67" t="s">
        <v>358</v>
      </c>
      <c r="AX67" t="s">
        <v>359</v>
      </c>
    </row>
    <row r="68" spans="1:50" x14ac:dyDescent="0.25">
      <c r="A68">
        <v>259</v>
      </c>
      <c r="B68" t="s">
        <v>35</v>
      </c>
      <c r="C68">
        <v>3</v>
      </c>
      <c r="D68" t="s">
        <v>36</v>
      </c>
      <c r="E68">
        <v>1</v>
      </c>
      <c r="F68" t="s">
        <v>37</v>
      </c>
      <c r="G68">
        <v>1</v>
      </c>
      <c r="H68">
        <v>2</v>
      </c>
      <c r="I68">
        <v>1</v>
      </c>
      <c r="J68">
        <v>67</v>
      </c>
      <c r="K68">
        <v>62</v>
      </c>
      <c r="L68">
        <v>24</v>
      </c>
      <c r="M68">
        <v>1</v>
      </c>
      <c r="N68" t="s">
        <v>251</v>
      </c>
      <c r="O68" t="s">
        <v>151</v>
      </c>
      <c r="P68" t="s">
        <v>245</v>
      </c>
      <c r="Q68" t="s">
        <v>246</v>
      </c>
      <c r="R68" t="s">
        <v>160</v>
      </c>
      <c r="S68" t="s">
        <v>43</v>
      </c>
      <c r="T68" t="s">
        <v>121</v>
      </c>
      <c r="U68">
        <v>1</v>
      </c>
      <c r="V68" t="s">
        <v>62</v>
      </c>
      <c r="W68" t="s">
        <v>102</v>
      </c>
      <c r="X68" t="s">
        <v>119</v>
      </c>
      <c r="Y68">
        <v>1</v>
      </c>
      <c r="Z68">
        <v>1</v>
      </c>
      <c r="AA68">
        <v>48</v>
      </c>
      <c r="AB68">
        <v>1.2999999999999999E-2</v>
      </c>
      <c r="AC68" t="s">
        <v>121</v>
      </c>
      <c r="AD68">
        <v>1</v>
      </c>
      <c r="AE68">
        <v>1</v>
      </c>
      <c r="AF68">
        <v>1</v>
      </c>
      <c r="AG68">
        <v>2.2240000000000002</v>
      </c>
      <c r="AH68">
        <v>0.48299999999999998</v>
      </c>
      <c r="AI68">
        <v>0</v>
      </c>
      <c r="AJ68">
        <v>3.499E-2</v>
      </c>
      <c r="AK68">
        <v>1.1830000000000001</v>
      </c>
      <c r="AL68">
        <f t="shared" si="24"/>
        <v>1.1830000000000001</v>
      </c>
      <c r="AM68">
        <f>VLOOKUP(TRIM(N68),'[1]All - Durations'!$E$2:$H$109,4,FALSE)</f>
        <v>0.81699999999999995</v>
      </c>
      <c r="AN68">
        <f t="shared" si="25"/>
        <v>0.3660000000000001</v>
      </c>
      <c r="AO68">
        <f t="shared" si="26"/>
        <v>0.3660000000000001</v>
      </c>
      <c r="AP68" s="1"/>
      <c r="AQ68">
        <v>1</v>
      </c>
      <c r="AR68" s="10" t="s">
        <v>345</v>
      </c>
      <c r="AS68" s="11">
        <f>(SUMIFS($AG:$AG,$AF:$AF,1,$G:$G,AQ68,$O:$O,$AP$4,$S:$S,$AS$56)+SUMIFS($AG:$AG,$AF:$AF,1,$G:$G,AQ68,$O:$O,$AP$4,$S:$S,$AU$56))/(COUNTIFS($AF:$AF,1,$G:$G,AQ68,$O:$O,$AP$4,$S:$S,$AS$56)+COUNTIFS($AF:$AF,1,$G:$G,AQ68,$O:$O,$AP$4,$S:$S,$AU$56))</f>
        <v>2.4685000000000001</v>
      </c>
      <c r="AT68" s="11">
        <f>(SUMIFS($AG:$AG,$AF:$AF,1,$G:$G,AQ68,$O:$O,$AP$4,$S:$S,$AT$56)+SUMIFS($AG:$AG,$AF:$AF,1,$G:$G,AQ68,$O:$O,$AP$4,$S:$S,$AV$56))/(COUNTIFS($AF:$AF,1,$G:$G,AQ68,$O:$O,$AP$4,$S:$S,$AT$56)+COUNTIFS($AF:$AF,1,$G:$G,AQ68,$O:$O,$AP$4,$S:$S,$AV$56))</f>
        <v>2.34</v>
      </c>
      <c r="AU68" s="11" t="e">
        <f>(SUMIFS($AG:$AG,$AF:$AF,1,$G:$G,AQ68,$O:$O,$AP$5,$S:$S,$AS$56)+SUMIFS($AG:$AG,$AF:$AF,1,$G:$G,AQ68,$O:$O,$AP$5,$S:$S,$AU$56))/(COUNTIFS($AF:$AF,1,$G:$G,AQ68,$O:$O,$AP$5,$S:$S,$AS$56)+COUNTIFS($AF:$AF,1,$G:$G,AQ68,$O:$O,$AP$5,$S:$S,$AU$56))</f>
        <v>#DIV/0!</v>
      </c>
      <c r="AV68" s="11">
        <f>(SUMIFS($AG:$AG,$AF:$AF,1,$G:$G,AQ68,$O:$O,$AP$5,$S:$S,$AT$56)+SUMIFS($AG:$AG,$AF:$AF,1,$G:$G,AQ68,$O:$O,$AP$5,$S:$S,$AV$56))/(COUNTIFS($AF:$AF,1,$G:$G,AQ68,$O:$O,$AP$5,$S:$S,$AT$56)+COUNTIFS($AF:$AF,1,$G:$G,AQ68,$O:$O,$AP$5,$S:$S,$AV$56))</f>
        <v>1.3559999999999999</v>
      </c>
      <c r="AW68" s="11">
        <f>(SUMIFS($AG:$AG,$AF:$AF,1,$G:$G,AQ68,$O:$O,$AP$6,$S:$S,$AS$56)+SUMIFS($AG:$AG,$AF:$AF,1,$G:$G,AQ68,$O:$O,$AP$6,$S:$S,$AU$56))/(COUNTIFS($AF:$AF,1,$G:$G,AQ68,$O:$O,$AP$6,$S:$S,$AS$56)+COUNTIFS($AF:$AF,1,$G:$G,AQ68,$O:$O,$AP$6,$S:$S,$AU$56))</f>
        <v>1.2620000000000002</v>
      </c>
      <c r="AX68" s="11">
        <f>(SUMIFS($AG:$AG,$AF:$AF,1,$G:$G,AQ68,$O:$O,$AP$6,$S:$S,$AT$56)+SUMIFS($AG:$AG,$AF:$AF,1,$G:$G,AQ68,$O:$O,$AP$6,$S:$S,$AV$56))/(COUNTIFS($AF:$AF,1,$G:$G,AQ68,$O:$O,$AP$6,$S:$S,$AT$56)+COUNTIFS($AF:$AF,1,$G:$G,AQ68,$O:$O,$AP$6,$S:$S,$AV$56))</f>
        <v>1.012</v>
      </c>
    </row>
    <row r="69" spans="1:50" x14ac:dyDescent="0.25">
      <c r="A69">
        <v>259</v>
      </c>
      <c r="B69" t="s">
        <v>35</v>
      </c>
      <c r="C69">
        <v>3</v>
      </c>
      <c r="D69" t="s">
        <v>36</v>
      </c>
      <c r="E69">
        <v>1</v>
      </c>
      <c r="F69" t="s">
        <v>37</v>
      </c>
      <c r="G69">
        <v>1</v>
      </c>
      <c r="H69">
        <v>2</v>
      </c>
      <c r="I69">
        <v>1</v>
      </c>
      <c r="J69">
        <v>68</v>
      </c>
      <c r="K69">
        <v>71</v>
      </c>
      <c r="L69">
        <v>21</v>
      </c>
      <c r="M69">
        <v>1</v>
      </c>
      <c r="N69" t="s">
        <v>252</v>
      </c>
      <c r="O69" t="s">
        <v>151</v>
      </c>
      <c r="P69" t="s">
        <v>242</v>
      </c>
      <c r="Q69" t="s">
        <v>243</v>
      </c>
      <c r="R69" t="s">
        <v>170</v>
      </c>
      <c r="S69" t="s">
        <v>59</v>
      </c>
      <c r="T69" t="s">
        <v>146</v>
      </c>
      <c r="U69">
        <v>2</v>
      </c>
      <c r="V69" t="s">
        <v>139</v>
      </c>
      <c r="W69" t="s">
        <v>104</v>
      </c>
      <c r="X69" t="s">
        <v>54</v>
      </c>
      <c r="Y69">
        <v>2</v>
      </c>
      <c r="Z69">
        <v>1</v>
      </c>
      <c r="AA69">
        <v>48</v>
      </c>
      <c r="AB69">
        <v>2E-3</v>
      </c>
      <c r="AC69" t="s">
        <v>104</v>
      </c>
      <c r="AD69">
        <v>4</v>
      </c>
      <c r="AE69">
        <v>1</v>
      </c>
      <c r="AF69">
        <v>0</v>
      </c>
      <c r="AG69">
        <v>2.4769999999999999</v>
      </c>
      <c r="AH69">
        <v>0.46700000000000003</v>
      </c>
      <c r="AI69">
        <v>0</v>
      </c>
      <c r="AJ69">
        <v>3.499E-2</v>
      </c>
      <c r="AK69">
        <v>1.23</v>
      </c>
      <c r="AL69">
        <f t="shared" si="24"/>
        <v>1.23</v>
      </c>
      <c r="AM69">
        <f>VLOOKUP(TRIM(N69),'[1]All - Durations'!$E$2:$H$109,4,FALSE)</f>
        <v>1.026</v>
      </c>
      <c r="AN69">
        <f t="shared" si="25"/>
        <v>0.20399999999999996</v>
      </c>
      <c r="AO69">
        <f t="shared" si="26"/>
        <v>0.20399999999999996</v>
      </c>
      <c r="AP69" s="1"/>
      <c r="AQ69">
        <v>2</v>
      </c>
      <c r="AR69" s="10" t="s">
        <v>346</v>
      </c>
      <c r="AS69" s="11">
        <f t="shared" ref="AS69:AS75" si="27">(SUMIFS($AG:$AG,$AF:$AF,1,$G:$G,AQ69,$O:$O,$AP$4,$S:$S,$AS$56)+SUMIFS($AG:$AG,$AF:$AF,1,$G:$G,AQ69,$O:$O,$AP$4,$S:$S,$AU$56))/(COUNTIFS($AF:$AF,1,$G:$G,AQ69,$O:$O,$AP$4,$S:$S,$AS$56)+COUNTIFS($AF:$AF,1,$G:$G,AQ69,$O:$O,$AP$4,$S:$S,$AU$56))</f>
        <v>1.9449999999999996</v>
      </c>
      <c r="AT69" s="11">
        <f t="shared" ref="AT69:AT75" si="28">(SUMIFS($AG:$AG,$AF:$AF,1,$G:$G,AQ69,$O:$O,$AP$4,$S:$S,$AT$56)+SUMIFS($AG:$AG,$AF:$AF,1,$G:$G,AQ69,$O:$O,$AP$4,$S:$S,$AV$56))/(COUNTIFS($AF:$AF,1,$G:$G,AQ69,$O:$O,$AP$4,$S:$S,$AT$56)+COUNTIFS($AF:$AF,1,$G:$G,AQ69,$O:$O,$AP$4,$S:$S,$AV$56))</f>
        <v>1.3160000000000001</v>
      </c>
      <c r="AU69" s="11">
        <f t="shared" ref="AU69:AU75" si="29">(SUMIFS($AG:$AG,$AF:$AF,1,$G:$G,AQ69,$O:$O,$AP$5,$S:$S,$AS$56)+SUMIFS($AG:$AG,$AF:$AF,1,$G:$G,AQ69,$O:$O,$AP$5,$S:$S,$AU$56))/(COUNTIFS($AF:$AF,1,$G:$G,AQ69,$O:$O,$AP$5,$S:$S,$AS$56)+COUNTIFS($AF:$AF,1,$G:$G,AQ69,$O:$O,$AP$5,$S:$S,$AU$56))</f>
        <v>2.0309999999999997</v>
      </c>
      <c r="AV69" s="11">
        <f t="shared" ref="AV69:AV75" si="30">(SUMIFS($AG:$AG,$AF:$AF,1,$G:$G,AQ69,$O:$O,$AP$5,$S:$S,$AT$56)+SUMIFS($AG:$AG,$AF:$AF,1,$G:$G,AQ69,$O:$O,$AP$5,$S:$S,$AV$56))/(COUNTIFS($AF:$AF,1,$G:$G,AQ69,$O:$O,$AP$5,$S:$S,$AT$56)+COUNTIFS($AF:$AF,1,$G:$G,AQ69,$O:$O,$AP$5,$S:$S,$AV$56))</f>
        <v>2.3752499999999999</v>
      </c>
      <c r="AW69" s="11">
        <f t="shared" ref="AW69:AW74" si="31">(SUMIFS($AG:$AG,$AF:$AF,1,$G:$G,AQ69,$O:$O,$AP$6,$S:$S,$AS$56)+SUMIFS($AG:$AG,$AF:$AF,1,$G:$G,AQ69,$O:$O,$AP$6,$S:$S,$AU$56))/(COUNTIFS($AF:$AF,1,$G:$G,AQ69,$O:$O,$AP$6,$S:$S,$AS$56)+COUNTIFS($AF:$AF,1,$G:$G,AQ69,$O:$O,$AP$6,$S:$S,$AU$56))</f>
        <v>1.9044999999999999</v>
      </c>
      <c r="AX69" s="11">
        <f t="shared" ref="AX69:AX75" si="32">(SUMIFS($AG:$AG,$AF:$AF,1,$G:$G,AQ69,$O:$O,$AP$6,$S:$S,$AT$56)+SUMIFS($AG:$AG,$AF:$AF,1,$G:$G,AQ69,$O:$O,$AP$6,$S:$S,$AV$56))/(COUNTIFS($AF:$AF,1,$G:$G,AQ69,$O:$O,$AP$6,$S:$S,$AT$56)+COUNTIFS($AF:$AF,1,$G:$G,AQ69,$O:$O,$AP$6,$S:$S,$AV$56))</f>
        <v>2.7171999999999996</v>
      </c>
    </row>
    <row r="70" spans="1:50" x14ac:dyDescent="0.25">
      <c r="A70">
        <v>259</v>
      </c>
      <c r="B70" t="s">
        <v>35</v>
      </c>
      <c r="C70">
        <v>3</v>
      </c>
      <c r="D70" t="s">
        <v>36</v>
      </c>
      <c r="E70">
        <v>1</v>
      </c>
      <c r="F70" t="s">
        <v>37</v>
      </c>
      <c r="G70">
        <v>1</v>
      </c>
      <c r="H70">
        <v>2</v>
      </c>
      <c r="I70">
        <v>1</v>
      </c>
      <c r="J70">
        <v>69</v>
      </c>
      <c r="K70">
        <v>63</v>
      </c>
      <c r="L70">
        <v>19</v>
      </c>
      <c r="M70">
        <v>1</v>
      </c>
      <c r="N70" t="s">
        <v>253</v>
      </c>
      <c r="O70" t="s">
        <v>151</v>
      </c>
      <c r="P70" t="s">
        <v>239</v>
      </c>
      <c r="Q70" t="s">
        <v>240</v>
      </c>
      <c r="R70" t="s">
        <v>170</v>
      </c>
      <c r="S70" t="s">
        <v>59</v>
      </c>
      <c r="T70" t="s">
        <v>211</v>
      </c>
      <c r="U70">
        <v>1</v>
      </c>
      <c r="V70" t="s">
        <v>82</v>
      </c>
      <c r="W70" t="s">
        <v>79</v>
      </c>
      <c r="X70" t="s">
        <v>209</v>
      </c>
      <c r="Y70">
        <v>1</v>
      </c>
      <c r="Z70">
        <v>1</v>
      </c>
      <c r="AA70">
        <v>48</v>
      </c>
      <c r="AB70">
        <v>4.0000000000000001E-3</v>
      </c>
      <c r="AC70" t="s">
        <v>209</v>
      </c>
      <c r="AD70">
        <v>4</v>
      </c>
      <c r="AE70">
        <v>5</v>
      </c>
      <c r="AF70">
        <v>0</v>
      </c>
      <c r="AG70">
        <v>2.3450000000000002</v>
      </c>
      <c r="AH70">
        <v>0.6</v>
      </c>
      <c r="AI70">
        <v>0</v>
      </c>
      <c r="AJ70">
        <v>7.4990000000000001E-2</v>
      </c>
      <c r="AK70">
        <v>1.2210000000000001</v>
      </c>
      <c r="AL70">
        <f t="shared" si="24"/>
        <v>1.2210000000000001</v>
      </c>
      <c r="AM70">
        <f>VLOOKUP(TRIM(N70),'[1]All - Durations'!$E$2:$H$109,4,FALSE)</f>
        <v>0.92100000000000004</v>
      </c>
      <c r="AN70">
        <f t="shared" si="25"/>
        <v>0.30000000000000004</v>
      </c>
      <c r="AO70">
        <f t="shared" si="26"/>
        <v>0.30000000000000004</v>
      </c>
      <c r="AP70" s="1"/>
      <c r="AQ70">
        <v>3</v>
      </c>
      <c r="AR70" s="2" t="s">
        <v>347</v>
      </c>
      <c r="AS70" s="11">
        <f t="shared" si="27"/>
        <v>2.0914999999999999</v>
      </c>
      <c r="AT70" s="11">
        <f t="shared" si="28"/>
        <v>1.7809999999999999</v>
      </c>
      <c r="AU70" s="11">
        <f t="shared" si="29"/>
        <v>1.7695714285714284</v>
      </c>
      <c r="AV70" s="11">
        <f t="shared" si="30"/>
        <v>1.9264999999999999</v>
      </c>
      <c r="AW70" s="11">
        <f t="shared" si="31"/>
        <v>1.5575000000000001</v>
      </c>
      <c r="AX70" s="11">
        <f t="shared" si="32"/>
        <v>2.6063999999999998</v>
      </c>
    </row>
    <row r="71" spans="1:50" x14ac:dyDescent="0.25">
      <c r="A71">
        <v>259</v>
      </c>
      <c r="B71" t="s">
        <v>35</v>
      </c>
      <c r="C71">
        <v>3</v>
      </c>
      <c r="D71" t="s">
        <v>36</v>
      </c>
      <c r="E71">
        <v>1</v>
      </c>
      <c r="F71" t="s">
        <v>37</v>
      </c>
      <c r="G71">
        <v>1</v>
      </c>
      <c r="H71">
        <v>2</v>
      </c>
      <c r="I71">
        <v>1</v>
      </c>
      <c r="J71">
        <v>70</v>
      </c>
      <c r="K71">
        <v>67</v>
      </c>
      <c r="L71">
        <v>17</v>
      </c>
      <c r="M71">
        <v>1</v>
      </c>
      <c r="N71" t="s">
        <v>254</v>
      </c>
      <c r="O71" t="s">
        <v>151</v>
      </c>
      <c r="P71" t="s">
        <v>255</v>
      </c>
      <c r="Q71" t="s">
        <v>256</v>
      </c>
      <c r="R71" t="s">
        <v>174</v>
      </c>
      <c r="S71" t="s">
        <v>52</v>
      </c>
      <c r="T71" t="s">
        <v>47</v>
      </c>
      <c r="U71">
        <v>5</v>
      </c>
      <c r="V71" t="s">
        <v>187</v>
      </c>
      <c r="W71" t="s">
        <v>111</v>
      </c>
      <c r="X71" t="s">
        <v>67</v>
      </c>
      <c r="Y71">
        <v>2</v>
      </c>
      <c r="Z71">
        <v>1</v>
      </c>
      <c r="AA71">
        <v>48</v>
      </c>
      <c r="AB71">
        <v>3.0000000000000001E-3</v>
      </c>
      <c r="AC71" t="s">
        <v>67</v>
      </c>
      <c r="AD71">
        <v>4</v>
      </c>
      <c r="AE71">
        <v>1</v>
      </c>
      <c r="AF71">
        <v>0</v>
      </c>
      <c r="AG71">
        <v>2.6230000000000002</v>
      </c>
      <c r="AH71">
        <v>0.433</v>
      </c>
      <c r="AI71">
        <v>0</v>
      </c>
      <c r="AJ71">
        <v>6.4990000000000006E-2</v>
      </c>
      <c r="AK71">
        <v>1.127</v>
      </c>
      <c r="AL71">
        <f t="shared" si="24"/>
        <v>1.127</v>
      </c>
      <c r="AM71">
        <f>VLOOKUP(TRIM(N71),'[1]All - Durations'!$E$2:$H$109,4,FALSE)</f>
        <v>0.97499999999999998</v>
      </c>
      <c r="AN71">
        <f t="shared" si="25"/>
        <v>0.15200000000000002</v>
      </c>
      <c r="AO71">
        <f t="shared" si="26"/>
        <v>0.15200000000000002</v>
      </c>
      <c r="AP71" s="1"/>
      <c r="AQ71">
        <v>4</v>
      </c>
      <c r="AR71" s="2" t="s">
        <v>348</v>
      </c>
      <c r="AS71" s="11">
        <f t="shared" si="27"/>
        <v>2.0453999999999999</v>
      </c>
      <c r="AT71" s="11">
        <f t="shared" si="28"/>
        <v>1.7649999999999999</v>
      </c>
      <c r="AU71" s="11">
        <f t="shared" si="29"/>
        <v>1.7941666666666667</v>
      </c>
      <c r="AV71" s="11">
        <f t="shared" si="30"/>
        <v>1.6322222222222225</v>
      </c>
      <c r="AW71" s="11">
        <f t="shared" si="31"/>
        <v>2.0314000000000001</v>
      </c>
      <c r="AX71" s="11">
        <f t="shared" si="32"/>
        <v>1.7647142857142859</v>
      </c>
    </row>
    <row r="72" spans="1:50" x14ac:dyDescent="0.25">
      <c r="A72">
        <v>259</v>
      </c>
      <c r="B72" t="s">
        <v>35</v>
      </c>
      <c r="C72">
        <v>3</v>
      </c>
      <c r="D72" t="s">
        <v>36</v>
      </c>
      <c r="E72">
        <v>1</v>
      </c>
      <c r="F72" t="s">
        <v>37</v>
      </c>
      <c r="G72">
        <v>1</v>
      </c>
      <c r="H72">
        <v>2</v>
      </c>
      <c r="I72">
        <v>1</v>
      </c>
      <c r="J72">
        <v>71</v>
      </c>
      <c r="K72">
        <v>65</v>
      </c>
      <c r="L72">
        <v>53</v>
      </c>
      <c r="M72">
        <v>2</v>
      </c>
      <c r="N72" t="s">
        <v>257</v>
      </c>
      <c r="O72" t="s">
        <v>151</v>
      </c>
      <c r="P72" t="s">
        <v>249</v>
      </c>
      <c r="Q72" t="s">
        <v>250</v>
      </c>
      <c r="R72" t="s">
        <v>170</v>
      </c>
      <c r="S72" t="s">
        <v>59</v>
      </c>
      <c r="T72" t="s">
        <v>204</v>
      </c>
      <c r="U72">
        <v>4</v>
      </c>
      <c r="V72" t="s">
        <v>211</v>
      </c>
      <c r="W72" t="s">
        <v>53</v>
      </c>
      <c r="X72" t="s">
        <v>74</v>
      </c>
      <c r="Y72">
        <v>2</v>
      </c>
      <c r="Z72">
        <v>1</v>
      </c>
      <c r="AA72">
        <v>48</v>
      </c>
      <c r="AB72">
        <v>2E-3</v>
      </c>
      <c r="AC72" t="s">
        <v>74</v>
      </c>
      <c r="AD72">
        <v>4</v>
      </c>
      <c r="AE72">
        <v>1</v>
      </c>
      <c r="AF72">
        <v>0</v>
      </c>
      <c r="AG72">
        <v>1.996</v>
      </c>
      <c r="AH72">
        <v>0.41699999999999998</v>
      </c>
      <c r="AI72">
        <v>0</v>
      </c>
      <c r="AJ72">
        <v>3.499E-2</v>
      </c>
      <c r="AK72">
        <v>1.171</v>
      </c>
      <c r="AL72">
        <f t="shared" si="24"/>
        <v>1.171</v>
      </c>
      <c r="AM72">
        <f>VLOOKUP(TRIM(N72),'[1]All - Durations'!$E$2:$H$109,4,FALSE)</f>
        <v>0.98299999999999998</v>
      </c>
      <c r="AN72">
        <f t="shared" si="25"/>
        <v>0.18800000000000006</v>
      </c>
      <c r="AO72">
        <f t="shared" si="26"/>
        <v>0.18800000000000006</v>
      </c>
      <c r="AP72" s="1"/>
      <c r="AQ72">
        <v>5</v>
      </c>
      <c r="AR72" s="2" t="s">
        <v>349</v>
      </c>
      <c r="AS72" s="11">
        <f t="shared" si="27"/>
        <v>1.8282499999999999</v>
      </c>
      <c r="AT72" s="11">
        <f t="shared" si="28"/>
        <v>1.8583333333333334</v>
      </c>
      <c r="AU72" s="11">
        <f t="shared" si="29"/>
        <v>2.0490000000000004</v>
      </c>
      <c r="AV72" s="11">
        <f t="shared" si="30"/>
        <v>1.8432499999999998</v>
      </c>
      <c r="AW72" s="11">
        <f t="shared" si="31"/>
        <v>2.4488333333333334</v>
      </c>
      <c r="AX72" s="11">
        <f t="shared" si="32"/>
        <v>2.4432857142857145</v>
      </c>
    </row>
    <row r="73" spans="1:50" x14ac:dyDescent="0.25">
      <c r="A73">
        <v>259</v>
      </c>
      <c r="B73" t="s">
        <v>35</v>
      </c>
      <c r="C73">
        <v>3</v>
      </c>
      <c r="D73" t="s">
        <v>36</v>
      </c>
      <c r="E73">
        <v>1</v>
      </c>
      <c r="F73" t="s">
        <v>37</v>
      </c>
      <c r="G73">
        <v>1</v>
      </c>
      <c r="H73">
        <v>2</v>
      </c>
      <c r="I73">
        <v>1</v>
      </c>
      <c r="J73">
        <v>72</v>
      </c>
      <c r="K73">
        <v>68</v>
      </c>
      <c r="L73">
        <v>18</v>
      </c>
      <c r="M73">
        <v>1</v>
      </c>
      <c r="N73" t="s">
        <v>258</v>
      </c>
      <c r="O73" t="s">
        <v>151</v>
      </c>
      <c r="P73" t="s">
        <v>255</v>
      </c>
      <c r="Q73" t="s">
        <v>256</v>
      </c>
      <c r="R73" t="s">
        <v>160</v>
      </c>
      <c r="S73" t="s">
        <v>43</v>
      </c>
      <c r="T73" t="s">
        <v>110</v>
      </c>
      <c r="U73">
        <v>1</v>
      </c>
      <c r="V73" t="s">
        <v>47</v>
      </c>
      <c r="W73" t="s">
        <v>98</v>
      </c>
      <c r="X73" t="s">
        <v>130</v>
      </c>
      <c r="Y73">
        <v>1</v>
      </c>
      <c r="Z73">
        <v>1</v>
      </c>
      <c r="AA73">
        <v>48</v>
      </c>
      <c r="AB73">
        <v>2E-3</v>
      </c>
      <c r="AC73" t="s">
        <v>130</v>
      </c>
      <c r="AD73">
        <v>4</v>
      </c>
      <c r="AE73">
        <v>5</v>
      </c>
      <c r="AF73">
        <v>0</v>
      </c>
      <c r="AG73">
        <v>2.27</v>
      </c>
      <c r="AH73">
        <v>0.45</v>
      </c>
      <c r="AI73">
        <v>0</v>
      </c>
      <c r="AJ73">
        <v>1.1149899999999999</v>
      </c>
      <c r="AK73">
        <v>1.115</v>
      </c>
      <c r="AL73">
        <f t="shared" si="24"/>
        <v>1.115</v>
      </c>
      <c r="AM73">
        <f>VLOOKUP(TRIM(N73),'[1]All - Durations'!$E$2:$H$109,4,FALSE)</f>
        <v>0.86299999999999999</v>
      </c>
      <c r="AN73">
        <f t="shared" si="25"/>
        <v>0.252</v>
      </c>
      <c r="AO73">
        <f t="shared" si="26"/>
        <v>0.252</v>
      </c>
      <c r="AP73" s="1"/>
      <c r="AQ73">
        <v>6</v>
      </c>
      <c r="AR73" s="2" t="s">
        <v>350</v>
      </c>
      <c r="AS73" s="11">
        <f t="shared" si="27"/>
        <v>1.548142857142857</v>
      </c>
      <c r="AT73" s="11">
        <f t="shared" si="28"/>
        <v>1.7223333333333333</v>
      </c>
      <c r="AU73" s="11">
        <f t="shared" si="29"/>
        <v>1.5763333333333336</v>
      </c>
      <c r="AV73" s="11">
        <f t="shared" si="30"/>
        <v>1.9711666666666663</v>
      </c>
      <c r="AW73" s="11">
        <f t="shared" si="31"/>
        <v>1.9548571428571428</v>
      </c>
      <c r="AX73" s="11">
        <f t="shared" si="32"/>
        <v>1.6576666666666666</v>
      </c>
    </row>
    <row r="74" spans="1:50" x14ac:dyDescent="0.25">
      <c r="A74">
        <v>259</v>
      </c>
      <c r="B74" t="s">
        <v>35</v>
      </c>
      <c r="C74">
        <v>3</v>
      </c>
      <c r="D74" t="s">
        <v>36</v>
      </c>
      <c r="E74">
        <v>1</v>
      </c>
      <c r="F74" t="s">
        <v>37</v>
      </c>
      <c r="G74">
        <v>2</v>
      </c>
      <c r="H74">
        <v>4</v>
      </c>
      <c r="I74">
        <v>1</v>
      </c>
      <c r="J74">
        <v>1</v>
      </c>
      <c r="K74">
        <v>12</v>
      </c>
      <c r="L74">
        <v>44</v>
      </c>
      <c r="M74">
        <v>2</v>
      </c>
      <c r="N74" t="s">
        <v>76</v>
      </c>
      <c r="O74" t="s">
        <v>39</v>
      </c>
      <c r="P74" t="s">
        <v>77</v>
      </c>
      <c r="Q74" t="s">
        <v>78</v>
      </c>
      <c r="R74" t="s">
        <v>51</v>
      </c>
      <c r="S74" t="s">
        <v>52</v>
      </c>
      <c r="T74" t="s">
        <v>79</v>
      </c>
      <c r="U74">
        <v>1</v>
      </c>
      <c r="V74" t="s">
        <v>80</v>
      </c>
      <c r="W74" t="s">
        <v>81</v>
      </c>
      <c r="X74" t="s">
        <v>82</v>
      </c>
      <c r="Y74">
        <v>1</v>
      </c>
      <c r="Z74">
        <v>1</v>
      </c>
      <c r="AA74">
        <v>48</v>
      </c>
      <c r="AB74">
        <v>4.0000000000000001E-3</v>
      </c>
      <c r="AC74" t="s">
        <v>81</v>
      </c>
      <c r="AD74">
        <v>4</v>
      </c>
      <c r="AE74">
        <v>2</v>
      </c>
      <c r="AF74">
        <v>0</v>
      </c>
      <c r="AG74">
        <v>2.9729999999999999</v>
      </c>
      <c r="AH74">
        <v>1.9159999999999999</v>
      </c>
      <c r="AI74">
        <v>0</v>
      </c>
      <c r="AJ74">
        <v>1.2649900000000001</v>
      </c>
      <c r="AK74">
        <v>1.2649999999999999</v>
      </c>
      <c r="AL74">
        <f t="shared" si="24"/>
        <v>1.2649999999999999</v>
      </c>
      <c r="AM74">
        <f>VLOOKUP(TRIM(N74),'[1]All - Durations'!$E$2:$H$109,4,FALSE)</f>
        <v>0.999</v>
      </c>
      <c r="AN74">
        <f t="shared" si="25"/>
        <v>0.2659999999999999</v>
      </c>
      <c r="AO74">
        <f t="shared" si="26"/>
        <v>0.2659999999999999</v>
      </c>
      <c r="AP74" s="1"/>
      <c r="AQ74">
        <v>7</v>
      </c>
      <c r="AR74" s="2" t="s">
        <v>351</v>
      </c>
      <c r="AS74" s="11">
        <f t="shared" si="27"/>
        <v>1.8960000000000001</v>
      </c>
      <c r="AT74" s="11">
        <f t="shared" si="28"/>
        <v>2.0194999999999999</v>
      </c>
      <c r="AU74" s="11">
        <f t="shared" si="29"/>
        <v>1.056</v>
      </c>
      <c r="AV74" s="11">
        <f t="shared" si="30"/>
        <v>2.0317999999999996</v>
      </c>
      <c r="AW74" s="11">
        <f t="shared" si="31"/>
        <v>1.7869999999999999</v>
      </c>
      <c r="AX74" s="11">
        <f t="shared" si="32"/>
        <v>2.1117499999999998</v>
      </c>
    </row>
    <row r="75" spans="1:50" x14ac:dyDescent="0.25">
      <c r="A75">
        <v>259</v>
      </c>
      <c r="B75" t="s">
        <v>35</v>
      </c>
      <c r="C75">
        <v>3</v>
      </c>
      <c r="D75" t="s">
        <v>36</v>
      </c>
      <c r="E75">
        <v>1</v>
      </c>
      <c r="F75" t="s">
        <v>37</v>
      </c>
      <c r="G75">
        <v>2</v>
      </c>
      <c r="H75">
        <v>4</v>
      </c>
      <c r="I75">
        <v>1</v>
      </c>
      <c r="J75">
        <v>2</v>
      </c>
      <c r="K75">
        <v>4</v>
      </c>
      <c r="L75">
        <v>2</v>
      </c>
      <c r="M75">
        <v>1</v>
      </c>
      <c r="N75" t="s">
        <v>109</v>
      </c>
      <c r="O75" t="s">
        <v>39</v>
      </c>
      <c r="P75" t="s">
        <v>71</v>
      </c>
      <c r="Q75" t="s">
        <v>72</v>
      </c>
      <c r="R75" t="s">
        <v>91</v>
      </c>
      <c r="S75" t="s">
        <v>92</v>
      </c>
      <c r="T75" t="s">
        <v>94</v>
      </c>
      <c r="U75">
        <v>5</v>
      </c>
      <c r="V75" t="s">
        <v>73</v>
      </c>
      <c r="W75" t="s">
        <v>110</v>
      </c>
      <c r="X75" t="s">
        <v>111</v>
      </c>
      <c r="Y75">
        <v>1</v>
      </c>
      <c r="Z75">
        <v>1</v>
      </c>
      <c r="AA75">
        <v>48</v>
      </c>
      <c r="AB75">
        <v>4.0000000000000001E-3</v>
      </c>
      <c r="AC75" t="s">
        <v>111</v>
      </c>
      <c r="AD75">
        <v>4</v>
      </c>
      <c r="AE75">
        <v>4</v>
      </c>
      <c r="AF75">
        <v>0</v>
      </c>
      <c r="AG75">
        <v>2.21</v>
      </c>
      <c r="AH75">
        <v>0.91600000000000004</v>
      </c>
      <c r="AI75">
        <v>0</v>
      </c>
      <c r="AJ75">
        <v>4.4990000000000002E-2</v>
      </c>
      <c r="AK75">
        <v>0.92900000000000005</v>
      </c>
      <c r="AL75">
        <f t="shared" si="24"/>
        <v>0.92900000000000005</v>
      </c>
      <c r="AM75">
        <f>VLOOKUP(TRIM(N75),'[1]All - Durations'!$E$2:$H$109,4,FALSE)</f>
        <v>0.872</v>
      </c>
      <c r="AN75">
        <f t="shared" si="25"/>
        <v>5.7000000000000051E-2</v>
      </c>
      <c r="AO75">
        <f t="shared" si="26"/>
        <v>5.7000000000000051E-2</v>
      </c>
      <c r="AP75" s="1"/>
      <c r="AQ75">
        <v>8</v>
      </c>
      <c r="AR75" s="2" t="s">
        <v>352</v>
      </c>
      <c r="AS75" s="11">
        <f t="shared" si="27"/>
        <v>1.6280000000000001</v>
      </c>
      <c r="AT75" s="11">
        <f t="shared" si="28"/>
        <v>1.48</v>
      </c>
      <c r="AU75" s="11">
        <f t="shared" si="29"/>
        <v>2.0877142857142856</v>
      </c>
      <c r="AV75" s="11">
        <f t="shared" si="30"/>
        <v>1.9371666666666669</v>
      </c>
      <c r="AW75" s="11">
        <f>(SUMIFS($AG:$AG,$AF:$AF,1,$G:$G,AQ75,$O:$O,$AP$6,$S:$S,$AS$56)+SUMIFS($AG:$AG,$AF:$AF,1,$G:$G,AQ75,$O:$O,$AP$6,$S:$S,$AU$56))/(COUNTIFS($AF:$AF,1,$G:$G,AQ75,$O:$O,$AP$6,$S:$S,$AS$56)+COUNTIFS($AF:$AF,1,$G:$G,AQ75,$O:$O,$AP$6,$S:$S,$AU$56))</f>
        <v>1.6748333333333332</v>
      </c>
      <c r="AX75" s="11">
        <f t="shared" si="32"/>
        <v>1.8372857142857144</v>
      </c>
    </row>
    <row r="76" spans="1:50" x14ac:dyDescent="0.25">
      <c r="A76">
        <v>259</v>
      </c>
      <c r="B76" t="s">
        <v>35</v>
      </c>
      <c r="C76">
        <v>3</v>
      </c>
      <c r="D76" t="s">
        <v>36</v>
      </c>
      <c r="E76">
        <v>1</v>
      </c>
      <c r="F76" t="s">
        <v>37</v>
      </c>
      <c r="G76">
        <v>2</v>
      </c>
      <c r="H76">
        <v>4</v>
      </c>
      <c r="I76">
        <v>1</v>
      </c>
      <c r="J76">
        <v>3</v>
      </c>
      <c r="K76">
        <v>10</v>
      </c>
      <c r="L76">
        <v>4</v>
      </c>
      <c r="M76">
        <v>1</v>
      </c>
      <c r="N76" t="s">
        <v>101</v>
      </c>
      <c r="O76" t="s">
        <v>39</v>
      </c>
      <c r="P76" t="s">
        <v>89</v>
      </c>
      <c r="Q76" t="s">
        <v>90</v>
      </c>
      <c r="R76" t="s">
        <v>51</v>
      </c>
      <c r="S76" t="s">
        <v>52</v>
      </c>
      <c r="T76" t="s">
        <v>102</v>
      </c>
      <c r="U76">
        <v>4</v>
      </c>
      <c r="V76" t="s">
        <v>93</v>
      </c>
      <c r="W76" t="s">
        <v>103</v>
      </c>
      <c r="X76" t="s">
        <v>104</v>
      </c>
      <c r="Y76">
        <v>1</v>
      </c>
      <c r="Z76">
        <v>1</v>
      </c>
      <c r="AA76">
        <v>48</v>
      </c>
      <c r="AB76">
        <v>3.0000000000000001E-3</v>
      </c>
      <c r="AC76" t="s">
        <v>93</v>
      </c>
      <c r="AD76">
        <v>2</v>
      </c>
      <c r="AE76">
        <v>2</v>
      </c>
      <c r="AF76">
        <v>0</v>
      </c>
      <c r="AG76">
        <v>2.3279999999999998</v>
      </c>
      <c r="AH76">
        <v>1.0329999999999999</v>
      </c>
      <c r="AI76">
        <v>0</v>
      </c>
      <c r="AJ76">
        <v>1.15499</v>
      </c>
      <c r="AK76">
        <v>1.155</v>
      </c>
      <c r="AL76">
        <f t="shared" si="24"/>
        <v>1.155</v>
      </c>
      <c r="AM76">
        <f>VLOOKUP(TRIM(N76),'[1]All - Durations'!$E$2:$H$109,4,FALSE)</f>
        <v>0.93799999999999994</v>
      </c>
      <c r="AN76">
        <f t="shared" si="25"/>
        <v>0.21700000000000008</v>
      </c>
      <c r="AO76">
        <f t="shared" si="26"/>
        <v>0.21700000000000008</v>
      </c>
    </row>
    <row r="77" spans="1:50" x14ac:dyDescent="0.25">
      <c r="A77">
        <v>259</v>
      </c>
      <c r="B77" t="s">
        <v>35</v>
      </c>
      <c r="C77">
        <v>3</v>
      </c>
      <c r="D77" t="s">
        <v>36</v>
      </c>
      <c r="E77">
        <v>1</v>
      </c>
      <c r="F77" t="s">
        <v>37</v>
      </c>
      <c r="G77">
        <v>2</v>
      </c>
      <c r="H77">
        <v>4</v>
      </c>
      <c r="I77">
        <v>1</v>
      </c>
      <c r="J77">
        <v>4</v>
      </c>
      <c r="K77">
        <v>11</v>
      </c>
      <c r="L77">
        <v>43</v>
      </c>
      <c r="M77">
        <v>2</v>
      </c>
      <c r="N77" t="s">
        <v>105</v>
      </c>
      <c r="O77" t="s">
        <v>39</v>
      </c>
      <c r="P77" t="s">
        <v>77</v>
      </c>
      <c r="Q77" t="s">
        <v>78</v>
      </c>
      <c r="R77" t="s">
        <v>91</v>
      </c>
      <c r="S77" t="s">
        <v>92</v>
      </c>
      <c r="T77" t="s">
        <v>80</v>
      </c>
      <c r="U77">
        <v>4</v>
      </c>
      <c r="V77" t="s">
        <v>106</v>
      </c>
      <c r="W77" t="s">
        <v>107</v>
      </c>
      <c r="X77" t="s">
        <v>108</v>
      </c>
      <c r="Y77">
        <v>2</v>
      </c>
      <c r="Z77">
        <v>1</v>
      </c>
      <c r="AA77">
        <v>48</v>
      </c>
      <c r="AB77">
        <v>3.0000000000000001E-3</v>
      </c>
      <c r="AC77" t="s">
        <v>106</v>
      </c>
      <c r="AD77">
        <v>3</v>
      </c>
      <c r="AE77">
        <v>5</v>
      </c>
      <c r="AF77">
        <v>0</v>
      </c>
      <c r="AG77">
        <v>2.661</v>
      </c>
      <c r="AH77">
        <v>0.71599999999999997</v>
      </c>
      <c r="AI77">
        <v>0</v>
      </c>
      <c r="AJ77">
        <v>3.499E-2</v>
      </c>
      <c r="AK77">
        <v>1.0109999999999999</v>
      </c>
      <c r="AL77">
        <f t="shared" si="24"/>
        <v>1.0109999999999999</v>
      </c>
      <c r="AM77">
        <f>VLOOKUP(TRIM(N77),'[1]All - Durations'!$E$2:$H$109,4,FALSE)</f>
        <v>1.002</v>
      </c>
      <c r="AN77">
        <f t="shared" si="25"/>
        <v>8.999999999999897E-3</v>
      </c>
      <c r="AO77">
        <f t="shared" si="26"/>
        <v>8.999999999999897E-3</v>
      </c>
    </row>
    <row r="78" spans="1:50" x14ac:dyDescent="0.25">
      <c r="A78">
        <v>259</v>
      </c>
      <c r="B78" t="s">
        <v>35</v>
      </c>
      <c r="C78">
        <v>3</v>
      </c>
      <c r="D78" t="s">
        <v>36</v>
      </c>
      <c r="E78">
        <v>1</v>
      </c>
      <c r="F78" t="s">
        <v>37</v>
      </c>
      <c r="G78">
        <v>2</v>
      </c>
      <c r="H78">
        <v>4</v>
      </c>
      <c r="I78">
        <v>1</v>
      </c>
      <c r="J78">
        <v>5</v>
      </c>
      <c r="K78">
        <v>9</v>
      </c>
      <c r="L78">
        <v>3</v>
      </c>
      <c r="M78">
        <v>1</v>
      </c>
      <c r="N78" t="s">
        <v>88</v>
      </c>
      <c r="O78" t="s">
        <v>39</v>
      </c>
      <c r="P78" t="s">
        <v>89</v>
      </c>
      <c r="Q78" t="s">
        <v>90</v>
      </c>
      <c r="R78" t="s">
        <v>91</v>
      </c>
      <c r="S78" t="s">
        <v>92</v>
      </c>
      <c r="T78" t="s">
        <v>93</v>
      </c>
      <c r="U78">
        <v>2</v>
      </c>
      <c r="V78" t="s">
        <v>94</v>
      </c>
      <c r="W78" t="s">
        <v>95</v>
      </c>
      <c r="X78" t="s">
        <v>96</v>
      </c>
      <c r="Y78">
        <v>2</v>
      </c>
      <c r="Z78">
        <v>1</v>
      </c>
      <c r="AA78">
        <v>48</v>
      </c>
      <c r="AB78">
        <v>4.0000000000000001E-3</v>
      </c>
      <c r="AC78" t="s">
        <v>96</v>
      </c>
      <c r="AD78">
        <v>4</v>
      </c>
      <c r="AE78">
        <v>4</v>
      </c>
      <c r="AF78">
        <v>0</v>
      </c>
      <c r="AG78">
        <v>2.4609999999999999</v>
      </c>
      <c r="AH78">
        <v>0.76600000000000001</v>
      </c>
      <c r="AI78">
        <v>0</v>
      </c>
      <c r="AJ78">
        <v>1.0749899999999999</v>
      </c>
      <c r="AK78">
        <v>1.075</v>
      </c>
      <c r="AL78">
        <f t="shared" si="24"/>
        <v>1.075</v>
      </c>
      <c r="AM78">
        <f>VLOOKUP(TRIM(N78),'[1]All - Durations'!$E$2:$H$109,4,FALSE)</f>
        <v>0.89200000000000002</v>
      </c>
      <c r="AN78">
        <f t="shared" si="25"/>
        <v>0.18299999999999994</v>
      </c>
      <c r="AO78">
        <f t="shared" si="26"/>
        <v>0.18299999999999994</v>
      </c>
    </row>
    <row r="79" spans="1:50" x14ac:dyDescent="0.25">
      <c r="A79">
        <v>259</v>
      </c>
      <c r="B79" t="s">
        <v>35</v>
      </c>
      <c r="C79">
        <v>3</v>
      </c>
      <c r="D79" t="s">
        <v>36</v>
      </c>
      <c r="E79">
        <v>1</v>
      </c>
      <c r="F79" t="s">
        <v>37</v>
      </c>
      <c r="G79">
        <v>2</v>
      </c>
      <c r="H79">
        <v>4</v>
      </c>
      <c r="I79">
        <v>1</v>
      </c>
      <c r="J79">
        <v>6</v>
      </c>
      <c r="K79">
        <v>3</v>
      </c>
      <c r="L79">
        <v>1</v>
      </c>
      <c r="M79">
        <v>1</v>
      </c>
      <c r="N79" t="s">
        <v>70</v>
      </c>
      <c r="O79" t="s">
        <v>39</v>
      </c>
      <c r="P79" t="s">
        <v>71</v>
      </c>
      <c r="Q79" t="s">
        <v>72</v>
      </c>
      <c r="R79" t="s">
        <v>58</v>
      </c>
      <c r="S79" t="s">
        <v>59</v>
      </c>
      <c r="T79" t="s">
        <v>73</v>
      </c>
      <c r="U79">
        <v>5</v>
      </c>
      <c r="V79" t="s">
        <v>60</v>
      </c>
      <c r="W79" t="s">
        <v>74</v>
      </c>
      <c r="X79" t="s">
        <v>75</v>
      </c>
      <c r="Y79">
        <v>2</v>
      </c>
      <c r="Z79">
        <v>1</v>
      </c>
      <c r="AA79">
        <v>48</v>
      </c>
      <c r="AB79">
        <v>4.0000000000000001E-3</v>
      </c>
      <c r="AC79" t="s">
        <v>73</v>
      </c>
      <c r="AD79">
        <v>1</v>
      </c>
      <c r="AE79">
        <v>5</v>
      </c>
      <c r="AF79">
        <v>1</v>
      </c>
      <c r="AG79">
        <v>2.5489999999999999</v>
      </c>
      <c r="AH79">
        <v>0.7</v>
      </c>
      <c r="AI79">
        <v>0</v>
      </c>
      <c r="AJ79">
        <v>4.4990000000000002E-2</v>
      </c>
      <c r="AK79">
        <v>1.054</v>
      </c>
      <c r="AL79">
        <f t="shared" si="24"/>
        <v>1.054</v>
      </c>
      <c r="AM79">
        <f>VLOOKUP(TRIM(N79),'[1]All - Durations'!$E$2:$H$109,4,FALSE)</f>
        <v>0.94799999999999995</v>
      </c>
      <c r="AN79">
        <f t="shared" si="25"/>
        <v>0.10600000000000009</v>
      </c>
      <c r="AO79">
        <f t="shared" si="26"/>
        <v>0.10600000000000009</v>
      </c>
    </row>
    <row r="80" spans="1:50" x14ac:dyDescent="0.25">
      <c r="A80">
        <v>259</v>
      </c>
      <c r="B80" t="s">
        <v>35</v>
      </c>
      <c r="C80">
        <v>3</v>
      </c>
      <c r="D80" t="s">
        <v>36</v>
      </c>
      <c r="E80">
        <v>1</v>
      </c>
      <c r="F80" t="s">
        <v>37</v>
      </c>
      <c r="G80">
        <v>2</v>
      </c>
      <c r="H80">
        <v>4</v>
      </c>
      <c r="I80">
        <v>1</v>
      </c>
      <c r="J80">
        <v>7</v>
      </c>
      <c r="K80">
        <v>6</v>
      </c>
      <c r="L80">
        <v>38</v>
      </c>
      <c r="M80">
        <v>2</v>
      </c>
      <c r="N80" t="s">
        <v>48</v>
      </c>
      <c r="O80" t="s">
        <v>39</v>
      </c>
      <c r="P80" t="s">
        <v>49</v>
      </c>
      <c r="Q80" t="s">
        <v>50</v>
      </c>
      <c r="R80" t="s">
        <v>51</v>
      </c>
      <c r="S80" t="s">
        <v>52</v>
      </c>
      <c r="T80" t="s">
        <v>53</v>
      </c>
      <c r="U80">
        <v>1</v>
      </c>
      <c r="V80" t="s">
        <v>54</v>
      </c>
      <c r="W80" t="s">
        <v>55</v>
      </c>
      <c r="X80" t="s">
        <v>56</v>
      </c>
      <c r="Y80">
        <v>1</v>
      </c>
      <c r="Z80">
        <v>1</v>
      </c>
      <c r="AA80">
        <v>48</v>
      </c>
      <c r="AB80">
        <v>3.0000000000000001E-3</v>
      </c>
      <c r="AC80" t="s">
        <v>54</v>
      </c>
      <c r="AD80">
        <v>2</v>
      </c>
      <c r="AE80">
        <v>2</v>
      </c>
      <c r="AF80">
        <v>0</v>
      </c>
      <c r="AG80">
        <v>2.5489999999999999</v>
      </c>
      <c r="AH80">
        <v>0.66700000000000004</v>
      </c>
      <c r="AI80">
        <v>0</v>
      </c>
      <c r="AJ80">
        <v>3.499E-2</v>
      </c>
      <c r="AK80">
        <v>1.097</v>
      </c>
      <c r="AL80">
        <f t="shared" si="24"/>
        <v>1.097</v>
      </c>
      <c r="AM80">
        <f>VLOOKUP(TRIM(N80),'[1]All - Durations'!$E$2:$H$109,4,FALSE)</f>
        <v>0.92200000000000004</v>
      </c>
      <c r="AN80">
        <f t="shared" si="25"/>
        <v>0.17499999999999993</v>
      </c>
      <c r="AO80">
        <f t="shared" si="26"/>
        <v>0.17499999999999993</v>
      </c>
    </row>
    <row r="81" spans="1:56" x14ac:dyDescent="0.25">
      <c r="A81">
        <v>259</v>
      </c>
      <c r="B81" t="s">
        <v>35</v>
      </c>
      <c r="C81">
        <v>3</v>
      </c>
      <c r="D81" t="s">
        <v>36</v>
      </c>
      <c r="E81">
        <v>1</v>
      </c>
      <c r="F81" t="s">
        <v>37</v>
      </c>
      <c r="G81">
        <v>2</v>
      </c>
      <c r="H81">
        <v>4</v>
      </c>
      <c r="I81">
        <v>1</v>
      </c>
      <c r="J81">
        <v>8</v>
      </c>
      <c r="K81">
        <v>1</v>
      </c>
      <c r="L81">
        <v>47</v>
      </c>
      <c r="M81">
        <v>2</v>
      </c>
      <c r="N81" t="s">
        <v>57</v>
      </c>
      <c r="O81" t="s">
        <v>39</v>
      </c>
      <c r="P81" t="s">
        <v>40</v>
      </c>
      <c r="Q81" t="s">
        <v>41</v>
      </c>
      <c r="R81" t="s">
        <v>58</v>
      </c>
      <c r="S81" t="s">
        <v>59</v>
      </c>
      <c r="T81" t="s">
        <v>60</v>
      </c>
      <c r="U81">
        <v>4</v>
      </c>
      <c r="V81" t="s">
        <v>44</v>
      </c>
      <c r="W81" t="s">
        <v>61</v>
      </c>
      <c r="X81" t="s">
        <v>62</v>
      </c>
      <c r="Y81">
        <v>1</v>
      </c>
      <c r="Z81">
        <v>1</v>
      </c>
      <c r="AA81">
        <v>48</v>
      </c>
      <c r="AB81">
        <v>2E-3</v>
      </c>
      <c r="AC81" t="s">
        <v>44</v>
      </c>
      <c r="AD81">
        <v>2</v>
      </c>
      <c r="AE81">
        <v>2</v>
      </c>
      <c r="AF81">
        <v>0</v>
      </c>
      <c r="AG81">
        <v>2.056</v>
      </c>
      <c r="AH81">
        <v>0.5</v>
      </c>
      <c r="AI81">
        <v>0</v>
      </c>
      <c r="AJ81">
        <v>3.499E-2</v>
      </c>
      <c r="AK81">
        <v>1.056</v>
      </c>
      <c r="AL81">
        <f t="shared" si="24"/>
        <v>1.056</v>
      </c>
      <c r="AM81">
        <f>VLOOKUP(TRIM(N81),'[1]All - Durations'!$E$2:$H$109,4,FALSE)</f>
        <v>0.93600000000000005</v>
      </c>
      <c r="AN81">
        <f t="shared" si="25"/>
        <v>0.12</v>
      </c>
      <c r="AO81">
        <f t="shared" si="26"/>
        <v>0.12</v>
      </c>
    </row>
    <row r="82" spans="1:56" x14ac:dyDescent="0.25">
      <c r="A82">
        <v>259</v>
      </c>
      <c r="B82" t="s">
        <v>35</v>
      </c>
      <c r="C82">
        <v>3</v>
      </c>
      <c r="D82" t="s">
        <v>36</v>
      </c>
      <c r="E82">
        <v>1</v>
      </c>
      <c r="F82" t="s">
        <v>37</v>
      </c>
      <c r="G82">
        <v>2</v>
      </c>
      <c r="H82">
        <v>4</v>
      </c>
      <c r="I82">
        <v>1</v>
      </c>
      <c r="J82">
        <v>9</v>
      </c>
      <c r="K82">
        <v>8</v>
      </c>
      <c r="L82">
        <v>40</v>
      </c>
      <c r="M82">
        <v>2</v>
      </c>
      <c r="N82" t="s">
        <v>84</v>
      </c>
      <c r="O82" t="s">
        <v>39</v>
      </c>
      <c r="P82" t="s">
        <v>64</v>
      </c>
      <c r="Q82" t="s">
        <v>65</v>
      </c>
      <c r="R82" t="s">
        <v>42</v>
      </c>
      <c r="S82" t="s">
        <v>43</v>
      </c>
      <c r="T82" t="s">
        <v>67</v>
      </c>
      <c r="U82">
        <v>4</v>
      </c>
      <c r="V82" t="s">
        <v>85</v>
      </c>
      <c r="W82" t="s">
        <v>86</v>
      </c>
      <c r="X82" t="s">
        <v>87</v>
      </c>
      <c r="Y82">
        <v>2</v>
      </c>
      <c r="Z82">
        <v>1</v>
      </c>
      <c r="AA82">
        <v>48</v>
      </c>
      <c r="AB82">
        <v>3.0000000000000001E-3</v>
      </c>
      <c r="AC82" t="s">
        <v>85</v>
      </c>
      <c r="AD82">
        <v>3</v>
      </c>
      <c r="AE82">
        <v>5</v>
      </c>
      <c r="AF82">
        <v>0</v>
      </c>
      <c r="AG82">
        <v>3.1869999999999998</v>
      </c>
      <c r="AH82">
        <v>0.75</v>
      </c>
      <c r="AI82">
        <v>0</v>
      </c>
      <c r="AJ82">
        <v>3.499E-2</v>
      </c>
      <c r="AK82">
        <v>1.0620000000000001</v>
      </c>
      <c r="AL82">
        <f t="shared" si="24"/>
        <v>1.0620000000000001</v>
      </c>
      <c r="AM82">
        <f>VLOOKUP(TRIM(N82),'[1]All - Durations'!$E$2:$H$109,4,FALSE)</f>
        <v>1.1020000000000001</v>
      </c>
      <c r="AN82">
        <f t="shared" si="25"/>
        <v>-4.0000000000000036E-2</v>
      </c>
      <c r="AO82">
        <f t="shared" si="26"/>
        <v>-4.0000000000000036E-2</v>
      </c>
    </row>
    <row r="83" spans="1:56" x14ac:dyDescent="0.25">
      <c r="A83">
        <v>259</v>
      </c>
      <c r="B83" t="s">
        <v>35</v>
      </c>
      <c r="C83">
        <v>3</v>
      </c>
      <c r="D83" t="s">
        <v>36</v>
      </c>
      <c r="E83">
        <v>1</v>
      </c>
      <c r="F83" t="s">
        <v>37</v>
      </c>
      <c r="G83">
        <v>2</v>
      </c>
      <c r="H83">
        <v>4</v>
      </c>
      <c r="I83">
        <v>1</v>
      </c>
      <c r="J83">
        <v>10</v>
      </c>
      <c r="K83">
        <v>2</v>
      </c>
      <c r="L83">
        <v>48</v>
      </c>
      <c r="M83">
        <v>2</v>
      </c>
      <c r="N83" t="s">
        <v>38</v>
      </c>
      <c r="O83" t="s">
        <v>39</v>
      </c>
      <c r="P83" t="s">
        <v>40</v>
      </c>
      <c r="Q83" t="s">
        <v>41</v>
      </c>
      <c r="R83" t="s">
        <v>42</v>
      </c>
      <c r="S83" t="s">
        <v>43</v>
      </c>
      <c r="T83" t="s">
        <v>44</v>
      </c>
      <c r="U83">
        <v>1</v>
      </c>
      <c r="V83" t="s">
        <v>45</v>
      </c>
      <c r="W83" t="s">
        <v>46</v>
      </c>
      <c r="X83" t="s">
        <v>47</v>
      </c>
      <c r="Y83">
        <v>2</v>
      </c>
      <c r="Z83">
        <v>1</v>
      </c>
      <c r="AA83">
        <v>48</v>
      </c>
      <c r="AB83">
        <v>2E-3</v>
      </c>
      <c r="AC83" t="s">
        <v>45</v>
      </c>
      <c r="AD83">
        <v>3</v>
      </c>
      <c r="AE83">
        <v>4</v>
      </c>
      <c r="AF83">
        <v>0</v>
      </c>
      <c r="AG83">
        <v>2.23</v>
      </c>
      <c r="AH83">
        <v>0.58299999999999996</v>
      </c>
      <c r="AI83">
        <v>0</v>
      </c>
      <c r="AJ83">
        <v>1.0949899999999999</v>
      </c>
      <c r="AK83">
        <v>1.095</v>
      </c>
      <c r="AL83">
        <f t="shared" si="24"/>
        <v>1.095</v>
      </c>
      <c r="AM83">
        <f>VLOOKUP(TRIM(N83),'[1]All - Durations'!$E$2:$H$109,4,FALSE)</f>
        <v>0.87</v>
      </c>
      <c r="AN83">
        <f t="shared" si="25"/>
        <v>0.22499999999999998</v>
      </c>
      <c r="AO83">
        <f t="shared" si="26"/>
        <v>0.22499999999999998</v>
      </c>
    </row>
    <row r="84" spans="1:56" x14ac:dyDescent="0.25">
      <c r="A84">
        <v>259</v>
      </c>
      <c r="B84" t="s">
        <v>35</v>
      </c>
      <c r="C84">
        <v>3</v>
      </c>
      <c r="D84" t="s">
        <v>36</v>
      </c>
      <c r="E84">
        <v>1</v>
      </c>
      <c r="F84" t="s">
        <v>37</v>
      </c>
      <c r="G84">
        <v>2</v>
      </c>
      <c r="H84">
        <v>4</v>
      </c>
      <c r="I84">
        <v>1</v>
      </c>
      <c r="J84">
        <v>11</v>
      </c>
      <c r="K84">
        <v>7</v>
      </c>
      <c r="L84">
        <v>39</v>
      </c>
      <c r="M84">
        <v>2</v>
      </c>
      <c r="N84" t="s">
        <v>63</v>
      </c>
      <c r="O84" t="s">
        <v>39</v>
      </c>
      <c r="P84" t="s">
        <v>64</v>
      </c>
      <c r="Q84" t="s">
        <v>65</v>
      </c>
      <c r="R84" t="s">
        <v>58</v>
      </c>
      <c r="S84" t="s">
        <v>59</v>
      </c>
      <c r="T84" t="s">
        <v>66</v>
      </c>
      <c r="U84">
        <v>4</v>
      </c>
      <c r="V84" t="s">
        <v>67</v>
      </c>
      <c r="W84" t="s">
        <v>68</v>
      </c>
      <c r="X84" t="s">
        <v>69</v>
      </c>
      <c r="Y84">
        <v>1</v>
      </c>
      <c r="Z84">
        <v>1</v>
      </c>
      <c r="AA84">
        <v>48</v>
      </c>
      <c r="AB84">
        <v>3.0000000000000001E-3</v>
      </c>
      <c r="AC84" t="s">
        <v>66</v>
      </c>
      <c r="AD84">
        <v>1</v>
      </c>
      <c r="AE84">
        <v>4</v>
      </c>
      <c r="AF84">
        <v>1</v>
      </c>
      <c r="AG84">
        <v>1.224</v>
      </c>
      <c r="AH84">
        <v>0.55000000000000004</v>
      </c>
      <c r="AI84">
        <v>0</v>
      </c>
      <c r="AJ84">
        <v>3.499E-2</v>
      </c>
      <c r="AK84">
        <v>1.0649999999999999</v>
      </c>
      <c r="AL84">
        <f t="shared" si="24"/>
        <v>1.0649999999999999</v>
      </c>
      <c r="AM84">
        <f>VLOOKUP(TRIM(N84),'[1]All - Durations'!$E$2:$H$109,4,FALSE)</f>
        <v>0.96399999999999997</v>
      </c>
      <c r="AN84">
        <f t="shared" si="25"/>
        <v>0.10099999999999998</v>
      </c>
      <c r="AO84">
        <f t="shared" si="26"/>
        <v>0.10099999999999998</v>
      </c>
    </row>
    <row r="85" spans="1:56" x14ac:dyDescent="0.25">
      <c r="A85">
        <v>259</v>
      </c>
      <c r="B85" t="s">
        <v>35</v>
      </c>
      <c r="C85">
        <v>3</v>
      </c>
      <c r="D85" t="s">
        <v>36</v>
      </c>
      <c r="E85">
        <v>1</v>
      </c>
      <c r="F85" t="s">
        <v>37</v>
      </c>
      <c r="G85">
        <v>2</v>
      </c>
      <c r="H85">
        <v>4</v>
      </c>
      <c r="I85">
        <v>1</v>
      </c>
      <c r="J85">
        <v>12</v>
      </c>
      <c r="K85">
        <v>5</v>
      </c>
      <c r="L85">
        <v>37</v>
      </c>
      <c r="M85">
        <v>2</v>
      </c>
      <c r="N85" t="s">
        <v>97</v>
      </c>
      <c r="O85" t="s">
        <v>39</v>
      </c>
      <c r="P85" t="s">
        <v>49</v>
      </c>
      <c r="Q85" t="s">
        <v>50</v>
      </c>
      <c r="R85" t="s">
        <v>91</v>
      </c>
      <c r="S85" t="s">
        <v>92</v>
      </c>
      <c r="T85" t="s">
        <v>54</v>
      </c>
      <c r="U85">
        <v>2</v>
      </c>
      <c r="V85" t="s">
        <v>98</v>
      </c>
      <c r="W85" t="s">
        <v>99</v>
      </c>
      <c r="X85" t="s">
        <v>100</v>
      </c>
      <c r="Y85">
        <v>2</v>
      </c>
      <c r="Z85">
        <v>1</v>
      </c>
      <c r="AA85">
        <v>48</v>
      </c>
      <c r="AB85">
        <v>2E-3</v>
      </c>
      <c r="AC85" t="s">
        <v>98</v>
      </c>
      <c r="AD85">
        <v>3</v>
      </c>
      <c r="AE85">
        <v>1</v>
      </c>
      <c r="AF85">
        <v>0</v>
      </c>
      <c r="AG85">
        <v>2.4550000000000001</v>
      </c>
      <c r="AH85">
        <v>0.48299999999999998</v>
      </c>
      <c r="AI85">
        <v>0</v>
      </c>
      <c r="AJ85">
        <v>3.499E-2</v>
      </c>
      <c r="AK85">
        <v>1.0169999999999999</v>
      </c>
      <c r="AL85">
        <f t="shared" si="24"/>
        <v>1.0169999999999999</v>
      </c>
      <c r="AM85">
        <f>VLOOKUP(TRIM(N85),'[1]All - Durations'!$E$2:$H$109,4,FALSE)</f>
        <v>0.74</v>
      </c>
      <c r="AN85">
        <f t="shared" si="25"/>
        <v>0.27699999999999991</v>
      </c>
      <c r="AO85">
        <f t="shared" si="26"/>
        <v>0.27699999999999991</v>
      </c>
    </row>
    <row r="86" spans="1:56" x14ac:dyDescent="0.25">
      <c r="A86">
        <v>259</v>
      </c>
      <c r="B86" t="s">
        <v>35</v>
      </c>
      <c r="C86">
        <v>3</v>
      </c>
      <c r="D86" t="s">
        <v>36</v>
      </c>
      <c r="E86">
        <v>1</v>
      </c>
      <c r="F86" t="s">
        <v>37</v>
      </c>
      <c r="G86">
        <v>2</v>
      </c>
      <c r="H86">
        <v>4</v>
      </c>
      <c r="I86">
        <v>1</v>
      </c>
      <c r="J86">
        <v>13</v>
      </c>
      <c r="K86">
        <v>22</v>
      </c>
      <c r="L86">
        <v>28</v>
      </c>
      <c r="M86">
        <v>1</v>
      </c>
      <c r="N86" t="s">
        <v>117</v>
      </c>
      <c r="O86" t="s">
        <v>113</v>
      </c>
      <c r="P86" t="s">
        <v>114</v>
      </c>
      <c r="Q86" t="s">
        <v>118</v>
      </c>
      <c r="R86" t="s">
        <v>114</v>
      </c>
      <c r="S86" t="s">
        <v>52</v>
      </c>
      <c r="T86" t="s">
        <v>119</v>
      </c>
      <c r="U86">
        <v>5</v>
      </c>
      <c r="V86" t="s">
        <v>120</v>
      </c>
      <c r="W86" t="s">
        <v>73</v>
      </c>
      <c r="X86" t="s">
        <v>121</v>
      </c>
      <c r="Y86">
        <v>1</v>
      </c>
      <c r="Z86">
        <v>1</v>
      </c>
      <c r="AA86">
        <v>48</v>
      </c>
      <c r="AB86">
        <v>4.0000000000000001E-3</v>
      </c>
      <c r="AC86" t="s">
        <v>120</v>
      </c>
      <c r="AD86">
        <v>2</v>
      </c>
      <c r="AE86">
        <v>1</v>
      </c>
      <c r="AF86">
        <v>0</v>
      </c>
      <c r="AG86">
        <v>2.2349999999999999</v>
      </c>
      <c r="AH86">
        <v>0.6</v>
      </c>
      <c r="AI86">
        <v>0</v>
      </c>
      <c r="AJ86">
        <v>3.499E-2</v>
      </c>
      <c r="AK86">
        <v>1.103</v>
      </c>
      <c r="AL86">
        <f t="shared" si="24"/>
        <v>1.103</v>
      </c>
      <c r="AM86">
        <f>VLOOKUP(TRIM(N86),'[1]All - Durations'!$E$2:$H$109,4,FALSE)</f>
        <v>0.97</v>
      </c>
      <c r="AN86">
        <f t="shared" si="25"/>
        <v>0.13300000000000001</v>
      </c>
      <c r="AO86">
        <f t="shared" si="26"/>
        <v>0.13300000000000001</v>
      </c>
    </row>
    <row r="87" spans="1:56" x14ac:dyDescent="0.25">
      <c r="A87">
        <v>259</v>
      </c>
      <c r="B87" t="s">
        <v>35</v>
      </c>
      <c r="C87">
        <v>3</v>
      </c>
      <c r="D87" t="s">
        <v>36</v>
      </c>
      <c r="E87">
        <v>1</v>
      </c>
      <c r="F87" t="s">
        <v>37</v>
      </c>
      <c r="G87">
        <v>2</v>
      </c>
      <c r="H87">
        <v>4</v>
      </c>
      <c r="I87">
        <v>1</v>
      </c>
      <c r="J87">
        <v>14</v>
      </c>
      <c r="K87">
        <v>24</v>
      </c>
      <c r="L87">
        <v>68</v>
      </c>
      <c r="M87">
        <v>2</v>
      </c>
      <c r="N87" t="s">
        <v>135</v>
      </c>
      <c r="O87" t="s">
        <v>113</v>
      </c>
      <c r="P87" t="s">
        <v>114</v>
      </c>
      <c r="Q87" t="s">
        <v>136</v>
      </c>
      <c r="R87" t="s">
        <v>114</v>
      </c>
      <c r="S87" t="s">
        <v>52</v>
      </c>
      <c r="T87" t="s">
        <v>74</v>
      </c>
      <c r="U87">
        <v>5</v>
      </c>
      <c r="V87" t="s">
        <v>137</v>
      </c>
      <c r="W87" t="s">
        <v>138</v>
      </c>
      <c r="X87" t="s">
        <v>139</v>
      </c>
      <c r="Y87">
        <v>1</v>
      </c>
      <c r="Z87">
        <v>1</v>
      </c>
      <c r="AA87">
        <v>48</v>
      </c>
      <c r="AB87">
        <v>3.0000000000000001E-3</v>
      </c>
      <c r="AC87" t="s">
        <v>74</v>
      </c>
      <c r="AD87">
        <v>1</v>
      </c>
      <c r="AE87">
        <v>5</v>
      </c>
      <c r="AF87">
        <v>1</v>
      </c>
      <c r="AG87">
        <v>2.7959999999999998</v>
      </c>
      <c r="AH87">
        <v>0.51600000000000001</v>
      </c>
      <c r="AI87">
        <v>0</v>
      </c>
      <c r="AJ87">
        <v>4.4990000000000002E-2</v>
      </c>
      <c r="AK87">
        <v>1.298</v>
      </c>
      <c r="AL87">
        <f t="shared" si="24"/>
        <v>1.298</v>
      </c>
      <c r="AM87">
        <f>VLOOKUP(TRIM(N87),'[1]All - Durations'!$E$2:$H$109,4,FALSE)</f>
        <v>1.0209999999999999</v>
      </c>
      <c r="AN87">
        <f t="shared" si="25"/>
        <v>0.27700000000000014</v>
      </c>
      <c r="AO87">
        <f t="shared" si="26"/>
        <v>0.27700000000000014</v>
      </c>
    </row>
    <row r="88" spans="1:56" x14ac:dyDescent="0.25">
      <c r="A88">
        <v>259</v>
      </c>
      <c r="B88" t="s">
        <v>35</v>
      </c>
      <c r="C88">
        <v>3</v>
      </c>
      <c r="D88" t="s">
        <v>36</v>
      </c>
      <c r="E88">
        <v>1</v>
      </c>
      <c r="F88" t="s">
        <v>37</v>
      </c>
      <c r="G88">
        <v>2</v>
      </c>
      <c r="H88">
        <v>4</v>
      </c>
      <c r="I88">
        <v>1</v>
      </c>
      <c r="J88">
        <v>15</v>
      </c>
      <c r="K88">
        <v>15</v>
      </c>
      <c r="L88">
        <v>25</v>
      </c>
      <c r="M88">
        <v>1</v>
      </c>
      <c r="N88" t="s">
        <v>122</v>
      </c>
      <c r="O88" t="s">
        <v>113</v>
      </c>
      <c r="P88" t="s">
        <v>114</v>
      </c>
      <c r="Q88" t="s">
        <v>123</v>
      </c>
      <c r="R88" t="s">
        <v>114</v>
      </c>
      <c r="S88" t="s">
        <v>59</v>
      </c>
      <c r="T88" t="s">
        <v>124</v>
      </c>
      <c r="U88">
        <v>2</v>
      </c>
      <c r="V88" t="s">
        <v>46</v>
      </c>
      <c r="W88" t="s">
        <v>108</v>
      </c>
      <c r="X88" t="s">
        <v>45</v>
      </c>
      <c r="Y88">
        <v>2</v>
      </c>
      <c r="Z88">
        <v>1</v>
      </c>
      <c r="AA88">
        <v>48</v>
      </c>
      <c r="AB88">
        <v>3.0000000000000001E-3</v>
      </c>
      <c r="AC88" t="s">
        <v>108</v>
      </c>
      <c r="AD88">
        <v>4</v>
      </c>
      <c r="AE88">
        <v>4</v>
      </c>
      <c r="AF88">
        <v>0</v>
      </c>
      <c r="AG88">
        <v>2.423</v>
      </c>
      <c r="AH88">
        <v>0.51700000000000002</v>
      </c>
      <c r="AI88">
        <v>0</v>
      </c>
      <c r="AJ88">
        <v>0.99499000000000004</v>
      </c>
      <c r="AK88">
        <v>0.995</v>
      </c>
      <c r="AL88">
        <f t="shared" si="24"/>
        <v>0.995</v>
      </c>
      <c r="AM88">
        <f>VLOOKUP(TRIM(N88),'[1]All - Durations'!$E$2:$H$109,4,FALSE)</f>
        <v>0.83899999999999997</v>
      </c>
      <c r="AN88">
        <f t="shared" si="25"/>
        <v>0.15600000000000003</v>
      </c>
      <c r="AO88">
        <f t="shared" si="26"/>
        <v>0.15600000000000003</v>
      </c>
      <c r="AS88" s="4" t="s">
        <v>355</v>
      </c>
      <c r="AW88" s="4" t="s">
        <v>356</v>
      </c>
      <c r="BA88" s="4" t="s">
        <v>357</v>
      </c>
    </row>
    <row r="89" spans="1:56" x14ac:dyDescent="0.25">
      <c r="A89">
        <v>259</v>
      </c>
      <c r="B89" t="s">
        <v>35</v>
      </c>
      <c r="C89">
        <v>3</v>
      </c>
      <c r="D89" t="s">
        <v>36</v>
      </c>
      <c r="E89">
        <v>1</v>
      </c>
      <c r="F89" t="s">
        <v>37</v>
      </c>
      <c r="G89">
        <v>2</v>
      </c>
      <c r="H89">
        <v>4</v>
      </c>
      <c r="I89">
        <v>1</v>
      </c>
      <c r="J89">
        <v>16</v>
      </c>
      <c r="K89">
        <v>23</v>
      </c>
      <c r="L89">
        <v>67</v>
      </c>
      <c r="M89">
        <v>2</v>
      </c>
      <c r="N89" t="s">
        <v>145</v>
      </c>
      <c r="O89" t="s">
        <v>113</v>
      </c>
      <c r="P89" t="s">
        <v>114</v>
      </c>
      <c r="Q89" t="s">
        <v>136</v>
      </c>
      <c r="R89" t="s">
        <v>114</v>
      </c>
      <c r="S89" t="s">
        <v>92</v>
      </c>
      <c r="T89" t="s">
        <v>137</v>
      </c>
      <c r="U89">
        <v>2</v>
      </c>
      <c r="V89" t="s">
        <v>127</v>
      </c>
      <c r="W89" t="s">
        <v>146</v>
      </c>
      <c r="X89" t="s">
        <v>147</v>
      </c>
      <c r="Y89">
        <v>2</v>
      </c>
      <c r="Z89">
        <v>1</v>
      </c>
      <c r="AA89">
        <v>48</v>
      </c>
      <c r="AB89">
        <v>2E-3</v>
      </c>
      <c r="AC89" t="s">
        <v>146</v>
      </c>
      <c r="AD89">
        <v>4</v>
      </c>
      <c r="AE89">
        <v>1</v>
      </c>
      <c r="AF89">
        <v>0</v>
      </c>
      <c r="AG89">
        <v>2.641</v>
      </c>
      <c r="AH89">
        <v>0.5</v>
      </c>
      <c r="AI89">
        <v>0</v>
      </c>
      <c r="AJ89">
        <v>1.0449900000000001</v>
      </c>
      <c r="AK89">
        <v>1.0449999999999999</v>
      </c>
      <c r="AL89">
        <f t="shared" si="24"/>
        <v>1.0449999999999999</v>
      </c>
      <c r="AM89">
        <f>VLOOKUP(TRIM(N89),'[1]All - Durations'!$E$2:$H$109,4,FALSE)</f>
        <v>0.96199999999999997</v>
      </c>
      <c r="AN89">
        <f t="shared" si="25"/>
        <v>8.2999999999999963E-2</v>
      </c>
      <c r="AO89">
        <f t="shared" si="26"/>
        <v>8.2999999999999963E-2</v>
      </c>
      <c r="AQ89" s="3" t="s">
        <v>334</v>
      </c>
      <c r="AR89" s="1"/>
      <c r="AS89" t="s">
        <v>59</v>
      </c>
      <c r="AT89" t="s">
        <v>92</v>
      </c>
      <c r="AU89" t="s">
        <v>52</v>
      </c>
      <c r="AV89" t="s">
        <v>43</v>
      </c>
      <c r="AW89" t="s">
        <v>59</v>
      </c>
      <c r="AX89" t="s">
        <v>92</v>
      </c>
      <c r="AY89" t="s">
        <v>52</v>
      </c>
      <c r="AZ89" t="s">
        <v>43</v>
      </c>
      <c r="BA89" t="s">
        <v>59</v>
      </c>
      <c r="BB89" t="s">
        <v>92</v>
      </c>
      <c r="BC89" t="s">
        <v>52</v>
      </c>
      <c r="BD89" t="s">
        <v>43</v>
      </c>
    </row>
    <row r="90" spans="1:56" x14ac:dyDescent="0.25">
      <c r="A90">
        <v>259</v>
      </c>
      <c r="B90" t="s">
        <v>35</v>
      </c>
      <c r="C90">
        <v>3</v>
      </c>
      <c r="D90" t="s">
        <v>36</v>
      </c>
      <c r="E90">
        <v>1</v>
      </c>
      <c r="F90" t="s">
        <v>37</v>
      </c>
      <c r="G90">
        <v>2</v>
      </c>
      <c r="H90">
        <v>4</v>
      </c>
      <c r="I90">
        <v>1</v>
      </c>
      <c r="J90">
        <v>17</v>
      </c>
      <c r="K90">
        <v>18</v>
      </c>
      <c r="L90">
        <v>62</v>
      </c>
      <c r="M90">
        <v>2</v>
      </c>
      <c r="N90" t="s">
        <v>142</v>
      </c>
      <c r="O90" t="s">
        <v>113</v>
      </c>
      <c r="P90" t="s">
        <v>114</v>
      </c>
      <c r="Q90" t="s">
        <v>126</v>
      </c>
      <c r="R90" t="s">
        <v>114</v>
      </c>
      <c r="S90" t="s">
        <v>52</v>
      </c>
      <c r="T90" t="s">
        <v>128</v>
      </c>
      <c r="U90">
        <v>4</v>
      </c>
      <c r="V90" t="s">
        <v>61</v>
      </c>
      <c r="W90" t="s">
        <v>82</v>
      </c>
      <c r="X90" t="s">
        <v>85</v>
      </c>
      <c r="Y90">
        <v>2</v>
      </c>
      <c r="Z90">
        <v>1</v>
      </c>
      <c r="AA90">
        <v>48</v>
      </c>
      <c r="AB90">
        <v>3.0000000000000001E-3</v>
      </c>
      <c r="AC90" t="s">
        <v>61</v>
      </c>
      <c r="AD90">
        <v>3</v>
      </c>
      <c r="AE90">
        <v>5</v>
      </c>
      <c r="AF90">
        <v>0</v>
      </c>
      <c r="AG90">
        <v>2.3340000000000001</v>
      </c>
      <c r="AH90">
        <v>0.75</v>
      </c>
      <c r="AI90">
        <v>0</v>
      </c>
      <c r="AJ90">
        <v>3.499E-2</v>
      </c>
      <c r="AK90">
        <v>1.2869999999999999</v>
      </c>
      <c r="AL90">
        <f t="shared" si="24"/>
        <v>1.2869999999999999</v>
      </c>
      <c r="AM90">
        <f>VLOOKUP(TRIM(N90),'[1]All - Durations'!$E$2:$H$109,4,FALSE)</f>
        <v>1.1259999999999999</v>
      </c>
      <c r="AN90">
        <f t="shared" si="25"/>
        <v>0.16100000000000003</v>
      </c>
      <c r="AO90">
        <f t="shared" si="26"/>
        <v>0.16100000000000003</v>
      </c>
      <c r="AQ90" s="9"/>
      <c r="AR90" s="10" t="s">
        <v>345</v>
      </c>
      <c r="AS90" s="11">
        <f>SUMIFS($AF:$AF,$G:$G,1,$O:$O,$AP$4,$S:$S,$AS$89)/6</f>
        <v>0.16666666666666666</v>
      </c>
      <c r="AT90" s="11">
        <f>SUMIFS($AF:$AF,$G:$G,1,$O:$O,$AP$4,$S:$S,$AT$89)/6</f>
        <v>0.16666666666666666</v>
      </c>
      <c r="AU90" s="11">
        <f>SUMIFS($AF:$AF,$G:$G,1,$O:$O,$AP$4,$S:$S,$AU$89)/6</f>
        <v>0.5</v>
      </c>
      <c r="AV90" s="11">
        <f>SUMIFS($AF:$AF,$G:$G,1,$O:$O,$AP$4,$S:$S,$AV$89)/6</f>
        <v>0</v>
      </c>
      <c r="AW90" s="11">
        <f>SUMIFS($AF:$AF,$G:$G,1,$O:$O,$AP$5,$S:$S,$AW$89)/6</f>
        <v>0</v>
      </c>
      <c r="AX90" s="11">
        <f>SUMIFS($AF:$AF,$G:$G,1,$O:$O,$AP$5,$S:$S,$AX$89)/6</f>
        <v>0.33333333333333331</v>
      </c>
      <c r="AY90" s="11">
        <f>SUMIFS($AF:$AF,$G:$G,1,$O:$O,$AP$5,$S:$S,$AY$89)/6</f>
        <v>0</v>
      </c>
      <c r="AZ90" s="11">
        <f>SUMIFS($AF:$AF,$G:$G,1,$O:$O,$AP$5,$S:$S,$AZ$89)/6</f>
        <v>0.33333333333333331</v>
      </c>
      <c r="BA90" s="11">
        <f>SUMIFS($AF:$AF,$G:$G,1,$O:$O,$AP$6,$S:$S,$BA$89)/6</f>
        <v>0.33333333333333331</v>
      </c>
      <c r="BB90" s="11">
        <f>SUMIFS($AF:$AF,$G:$G,1,$O:$O,$AP$6,$S:$S,$BB$89)/6</f>
        <v>0.16666666666666666</v>
      </c>
      <c r="BC90" s="11">
        <f>SUMIFS($AF:$AF,$G:$G,1,$O:$O,$AP$6,$S:$S,$BC$89)/6</f>
        <v>0.16666666666666666</v>
      </c>
      <c r="BD90" s="11">
        <f>SUMIFS($AF:$AF,$G:$G,1,$O:$O,$AP$6,$S:$S,$BD$89)/6</f>
        <v>0.16666666666666666</v>
      </c>
    </row>
    <row r="91" spans="1:56" x14ac:dyDescent="0.25">
      <c r="A91">
        <v>259</v>
      </c>
      <c r="B91" t="s">
        <v>35</v>
      </c>
      <c r="C91">
        <v>3</v>
      </c>
      <c r="D91" t="s">
        <v>36</v>
      </c>
      <c r="E91">
        <v>1</v>
      </c>
      <c r="F91" t="s">
        <v>37</v>
      </c>
      <c r="G91">
        <v>2</v>
      </c>
      <c r="H91">
        <v>4</v>
      </c>
      <c r="I91">
        <v>1</v>
      </c>
      <c r="J91">
        <v>18</v>
      </c>
      <c r="K91">
        <v>20</v>
      </c>
      <c r="L91">
        <v>64</v>
      </c>
      <c r="M91">
        <v>2</v>
      </c>
      <c r="N91" t="s">
        <v>133</v>
      </c>
      <c r="O91" t="s">
        <v>113</v>
      </c>
      <c r="P91" t="s">
        <v>114</v>
      </c>
      <c r="Q91" t="s">
        <v>134</v>
      </c>
      <c r="R91" t="s">
        <v>114</v>
      </c>
      <c r="S91" t="s">
        <v>43</v>
      </c>
      <c r="T91" t="s">
        <v>100</v>
      </c>
      <c r="U91">
        <v>4</v>
      </c>
      <c r="V91" t="s">
        <v>107</v>
      </c>
      <c r="W91" t="s">
        <v>75</v>
      </c>
      <c r="X91" t="s">
        <v>53</v>
      </c>
      <c r="Y91">
        <v>2</v>
      </c>
      <c r="Z91">
        <v>1</v>
      </c>
      <c r="AA91">
        <v>48</v>
      </c>
      <c r="AB91">
        <v>3.0000000000000001E-3</v>
      </c>
      <c r="AC91" t="s">
        <v>100</v>
      </c>
      <c r="AD91">
        <v>1</v>
      </c>
      <c r="AE91">
        <v>4</v>
      </c>
      <c r="AF91">
        <v>1</v>
      </c>
      <c r="AG91">
        <v>0.94299999999999995</v>
      </c>
      <c r="AH91">
        <v>0.56699999999999995</v>
      </c>
      <c r="AI91">
        <v>0</v>
      </c>
      <c r="AJ91">
        <v>0.96499000000000001</v>
      </c>
      <c r="AK91">
        <v>0.96499999999999997</v>
      </c>
      <c r="AL91">
        <f t="shared" si="24"/>
        <v>0.96499999999999997</v>
      </c>
      <c r="AM91">
        <f>VLOOKUP(TRIM(N91),'[1]All - Durations'!$E$2:$H$109,4,FALSE)</f>
        <v>0.80200000000000005</v>
      </c>
      <c r="AN91">
        <f t="shared" si="25"/>
        <v>0.16299999999999992</v>
      </c>
      <c r="AO91">
        <f t="shared" si="26"/>
        <v>0.16299999999999992</v>
      </c>
      <c r="AQ91" s="9"/>
      <c r="AR91" s="10" t="s">
        <v>346</v>
      </c>
      <c r="AS91" s="11">
        <f>SUMIFS($AF:$AF,$G:$G,2,$O:$O,$AP$4,$S:$S,$AS$89)/6</f>
        <v>0.5</v>
      </c>
      <c r="AT91" s="11">
        <f>SUMIFS($AF:$AF,$G:$G,2,$O:$O,$AP$4,$S:$S,$AT$89)/6</f>
        <v>0.16666666666666666</v>
      </c>
      <c r="AU91" s="11">
        <f>SUMIFS($AF:$AF,$G:$G,2,$O:$O,$AP$4,$S:$S,$AU$89)/6</f>
        <v>0</v>
      </c>
      <c r="AV91" s="11">
        <f>SUMIFS($AF:$AF,$G:$G,2,$O:$O,$AP$4,$S:$S,$AV$89)/6</f>
        <v>0</v>
      </c>
      <c r="AW91" s="11">
        <f>SUMIFS($AF:$AF,$G:$G,2,$O:$O,$AP$5,$S:$S,$AW$89)/6</f>
        <v>0.5</v>
      </c>
      <c r="AX91" s="11">
        <f>SUMIFS($AF:$AF,$G:$G,2,$O:$O,$AP$5,$S:$S,$AX$89)/6</f>
        <v>0.16666666666666666</v>
      </c>
      <c r="AY91" s="11">
        <f>SUMIFS($AF:$AF,$G:$G,2,$O:$O,$AP$5,$S:$S,$AY$89)/6</f>
        <v>0.16666666666666666</v>
      </c>
      <c r="AZ91" s="11">
        <f>SUMIFS($AF:$AF,$G:$G,2,$O:$O,$AP$5,$S:$S,$AZ$89)/6</f>
        <v>0.5</v>
      </c>
      <c r="BA91" s="11">
        <f>SUMIFS($AF:$AF,$G:$G,2,$O:$O,$AP$6,$S:$S,$BA$89)/6</f>
        <v>0</v>
      </c>
      <c r="BB91" s="11">
        <f>SUMIFS($AF:$AF,$G:$G,2,$O:$O,$AP$6,$S:$S,$BB$89)/6</f>
        <v>0.16666666666666666</v>
      </c>
      <c r="BC91" s="11">
        <f>SUMIFS($AF:$AF,$G:$G,2,$O:$O,$AP$6,$S:$S,$BC$89)/6</f>
        <v>0.33333333333333331</v>
      </c>
      <c r="BD91" s="11">
        <f>SUMIFS($AF:$AF,$G:$G,2,$O:$O,$AP$6,$S:$S,$BD$89)/6</f>
        <v>0.66666666666666663</v>
      </c>
    </row>
    <row r="92" spans="1:56" x14ac:dyDescent="0.25">
      <c r="A92">
        <v>259</v>
      </c>
      <c r="B92" t="s">
        <v>35</v>
      </c>
      <c r="C92">
        <v>3</v>
      </c>
      <c r="D92" t="s">
        <v>36</v>
      </c>
      <c r="E92">
        <v>1</v>
      </c>
      <c r="F92" t="s">
        <v>37</v>
      </c>
      <c r="G92">
        <v>2</v>
      </c>
      <c r="H92">
        <v>4</v>
      </c>
      <c r="I92">
        <v>1</v>
      </c>
      <c r="J92">
        <v>19</v>
      </c>
      <c r="K92">
        <v>13</v>
      </c>
      <c r="L92">
        <v>71</v>
      </c>
      <c r="M92">
        <v>2</v>
      </c>
      <c r="N92" t="s">
        <v>143</v>
      </c>
      <c r="O92" t="s">
        <v>113</v>
      </c>
      <c r="P92" t="s">
        <v>114</v>
      </c>
      <c r="Q92" t="s">
        <v>115</v>
      </c>
      <c r="R92" t="s">
        <v>114</v>
      </c>
      <c r="S92" t="s">
        <v>59</v>
      </c>
      <c r="T92" t="s">
        <v>46</v>
      </c>
      <c r="U92">
        <v>1</v>
      </c>
      <c r="V92" t="s">
        <v>104</v>
      </c>
      <c r="W92" t="s">
        <v>144</v>
      </c>
      <c r="X92" t="s">
        <v>86</v>
      </c>
      <c r="Y92">
        <v>1</v>
      </c>
      <c r="Z92">
        <v>1</v>
      </c>
      <c r="AA92">
        <v>48</v>
      </c>
      <c r="AB92">
        <v>3.0000000000000001E-3</v>
      </c>
      <c r="AC92" t="s">
        <v>144</v>
      </c>
      <c r="AD92">
        <v>4</v>
      </c>
      <c r="AE92">
        <v>2</v>
      </c>
      <c r="AF92">
        <v>0</v>
      </c>
      <c r="AG92">
        <v>2.5670000000000002</v>
      </c>
      <c r="AH92">
        <v>0.63300000000000001</v>
      </c>
      <c r="AI92">
        <v>0</v>
      </c>
      <c r="AJ92">
        <v>1.0249900000000001</v>
      </c>
      <c r="AK92">
        <v>1.0249999999999999</v>
      </c>
      <c r="AL92">
        <f t="shared" si="24"/>
        <v>1.0249999999999999</v>
      </c>
      <c r="AM92">
        <f>VLOOKUP(TRIM(N92),'[1]All - Durations'!$E$2:$H$109,4,FALSE)</f>
        <v>0.82799999999999996</v>
      </c>
      <c r="AN92">
        <f t="shared" si="25"/>
        <v>0.19699999999999995</v>
      </c>
      <c r="AO92">
        <f t="shared" si="26"/>
        <v>0.19699999999999995</v>
      </c>
      <c r="AQ92" s="9"/>
      <c r="AR92" s="2" t="s">
        <v>347</v>
      </c>
      <c r="AS92" s="11">
        <f>SUMIFS($AF:$AF,$G:$G,3,$O:$O,$AP$4,$S:$S,$AS$89)/6</f>
        <v>0.33333333333333331</v>
      </c>
      <c r="AT92" s="11">
        <f>SUMIFS($AF:$AF,$G:$G,3,$O:$O,$AP$4,$S:$S,$AT$89)/6</f>
        <v>0.16666666666666666</v>
      </c>
      <c r="AU92" s="11">
        <f>SUMIFS($AF:$AF,$G:$G,3,$O:$O,$AP$4,$S:$S,$AU$89)/6</f>
        <v>0.33333333333333331</v>
      </c>
      <c r="AV92" s="11">
        <f>SUMIFS($AF:$AF,$G:$G,3,$O:$O,$AP$4,$S:$S,$AV$89)/6</f>
        <v>0.33333333333333331</v>
      </c>
      <c r="AW92" s="11">
        <f>SUMIFS($AF:$AF,$G:$G,3,$O:$O,$AP$5,$S:$S,$AW$89)/6</f>
        <v>0.83333333333333337</v>
      </c>
      <c r="AX92" s="11">
        <f>SUMIFS($AF:$AF,$G:$G,3,$O:$O,$AP$5,$S:$S,$AX$89)/6</f>
        <v>0.5</v>
      </c>
      <c r="AY92" s="11">
        <f>SUMIFS($AF:$AF,$G:$G,3,$O:$O,$AP$5,$S:$S,$AY$89)/6</f>
        <v>0.33333333333333331</v>
      </c>
      <c r="AZ92" s="11">
        <f>SUMIFS($AF:$AF,$G:$G,3,$O:$O,$AP$5,$S:$S,$AZ$89)/6</f>
        <v>0.16666666666666666</v>
      </c>
      <c r="BA92" s="11">
        <f>SUMIFS($AF:$AF,$G:$G,3,$O:$O,$AP$6,$S:$S,$BA$89)/6</f>
        <v>0</v>
      </c>
      <c r="BB92" s="11">
        <f>SUMIFS($AF:$AF,$G:$G,3,$O:$O,$AP$6,$S:$S,$BB$89)/6</f>
        <v>0.5</v>
      </c>
      <c r="BC92" s="11">
        <f>SUMIFS($AF:$AF,$G:$G,3,$O:$O,$AP$6,$S:$S,$BC$89)/6</f>
        <v>0.33333333333333331</v>
      </c>
      <c r="BD92" s="11">
        <f>SUMIFS($AF:$AF,$G:$G,3,$O:$O,$AP$6,$S:$S,$BD$89)/6</f>
        <v>0.33333333333333331</v>
      </c>
    </row>
    <row r="93" spans="1:56" x14ac:dyDescent="0.25">
      <c r="A93">
        <v>259</v>
      </c>
      <c r="B93" t="s">
        <v>35</v>
      </c>
      <c r="C93">
        <v>3</v>
      </c>
      <c r="D93" t="s">
        <v>36</v>
      </c>
      <c r="E93">
        <v>1</v>
      </c>
      <c r="F93" t="s">
        <v>37</v>
      </c>
      <c r="G93">
        <v>2</v>
      </c>
      <c r="H93">
        <v>4</v>
      </c>
      <c r="I93">
        <v>1</v>
      </c>
      <c r="J93">
        <v>20</v>
      </c>
      <c r="K93">
        <v>21</v>
      </c>
      <c r="L93">
        <v>27</v>
      </c>
      <c r="M93">
        <v>1</v>
      </c>
      <c r="N93" t="s">
        <v>129</v>
      </c>
      <c r="O93" t="s">
        <v>113</v>
      </c>
      <c r="P93" t="s">
        <v>114</v>
      </c>
      <c r="Q93" t="s">
        <v>118</v>
      </c>
      <c r="R93" t="s">
        <v>114</v>
      </c>
      <c r="S93" t="s">
        <v>92</v>
      </c>
      <c r="T93" t="s">
        <v>120</v>
      </c>
      <c r="U93">
        <v>1</v>
      </c>
      <c r="V93" t="s">
        <v>130</v>
      </c>
      <c r="W93" t="s">
        <v>131</v>
      </c>
      <c r="X93" t="s">
        <v>132</v>
      </c>
      <c r="Y93">
        <v>2</v>
      </c>
      <c r="Z93">
        <v>1</v>
      </c>
      <c r="AA93">
        <v>48</v>
      </c>
      <c r="AB93">
        <v>2E-3</v>
      </c>
      <c r="AC93" t="s">
        <v>131</v>
      </c>
      <c r="AD93">
        <v>4</v>
      </c>
      <c r="AE93">
        <v>5</v>
      </c>
      <c r="AF93">
        <v>0</v>
      </c>
      <c r="AG93">
        <v>1.5449999999999999</v>
      </c>
      <c r="AH93">
        <v>0.55000000000000004</v>
      </c>
      <c r="AI93">
        <v>0</v>
      </c>
      <c r="AJ93">
        <v>3.499E-2</v>
      </c>
      <c r="AK93">
        <v>1.0149999999999999</v>
      </c>
      <c r="AL93">
        <f t="shared" si="24"/>
        <v>1.0149999999999999</v>
      </c>
      <c r="AM93">
        <f>VLOOKUP(TRIM(N93),'[1]All - Durations'!$E$2:$H$109,4,FALSE)</f>
        <v>0.92900000000000005</v>
      </c>
      <c r="AN93">
        <f t="shared" si="25"/>
        <v>8.5999999999999854E-2</v>
      </c>
      <c r="AO93">
        <f t="shared" si="26"/>
        <v>8.5999999999999854E-2</v>
      </c>
      <c r="AQ93" s="9"/>
      <c r="AR93" s="2" t="s">
        <v>348</v>
      </c>
      <c r="AS93" s="11">
        <f>SUMIFS($AF:$AF,$G:$G,4,$O:$O,$AP$4,$S:$S,$AS$89)/6</f>
        <v>0.5</v>
      </c>
      <c r="AT93" s="11">
        <f>SUMIFS($AF:$AF,$G:$G,4,$O:$O,$AP$4,$S:$S,$AT$89)/6</f>
        <v>0.5</v>
      </c>
      <c r="AU93" s="11">
        <f>SUMIFS($AF:$AF,$G:$G,4,$O:$O,$AP$4,$S:$S,$AU$89)/6</f>
        <v>0.33333333333333331</v>
      </c>
      <c r="AV93" s="11">
        <f>SUMIFS($AF:$AF,$G:$G,4,$O:$O,$AP$4,$S:$S,$AS$89)/6</f>
        <v>0.5</v>
      </c>
      <c r="AW93" s="11">
        <f>SUMIFS($AF:$AF,$G:$G,4,$O:$O,$AP$5,$S:$S,$AW$89)/6</f>
        <v>0.66666666666666663</v>
      </c>
      <c r="AX93" s="11">
        <f>SUMIFS($AF:$AF,$G:$G,4,$O:$O,$AP$5,$S:$S,$AX$89)/6</f>
        <v>0.5</v>
      </c>
      <c r="AY93" s="11">
        <f>SUMIFS($AF:$AF,$G:$G,4,$O:$O,$AP$5,$S:$S,$AY$89)/6</f>
        <v>0.33333333333333331</v>
      </c>
      <c r="AZ93" s="11">
        <f>SUMIFS($AF:$AF,$G:$G,4,$O:$O,$AP$5,$S:$S,$AZ$89)/6</f>
        <v>1</v>
      </c>
      <c r="BA93" s="11">
        <f>SUMIFS($AF:$AF,$G:$G,4,$O:$O,$AP$6,$S:$S,$BA$89)/6</f>
        <v>0.16666666666666666</v>
      </c>
      <c r="BB93" s="11">
        <f>SUMIFS($AF:$AF,$G:$G,4,$O:$O,$AP$6,$S:$S,$BB$89)/6</f>
        <v>0.66666666666666663</v>
      </c>
      <c r="BC93" s="11">
        <f>SUMIFS($AF:$AF,$G:$G,4,$O:$O,$AP$6,$S:$S,$BC$89)/6</f>
        <v>0.66666666666666663</v>
      </c>
      <c r="BD93" s="11">
        <f>SUMIFS($AF:$AF,$G:$G,4,$O:$O,$AP$6,$S:$S,$BD$89)/6</f>
        <v>0.5</v>
      </c>
    </row>
    <row r="94" spans="1:56" x14ac:dyDescent="0.25">
      <c r="A94">
        <v>259</v>
      </c>
      <c r="B94" t="s">
        <v>35</v>
      </c>
      <c r="C94">
        <v>3</v>
      </c>
      <c r="D94" t="s">
        <v>36</v>
      </c>
      <c r="E94">
        <v>1</v>
      </c>
      <c r="F94" t="s">
        <v>37</v>
      </c>
      <c r="G94">
        <v>2</v>
      </c>
      <c r="H94">
        <v>4</v>
      </c>
      <c r="I94">
        <v>1</v>
      </c>
      <c r="J94">
        <v>21</v>
      </c>
      <c r="K94">
        <v>19</v>
      </c>
      <c r="L94">
        <v>63</v>
      </c>
      <c r="M94">
        <v>2</v>
      </c>
      <c r="N94" t="s">
        <v>140</v>
      </c>
      <c r="O94" t="s">
        <v>113</v>
      </c>
      <c r="P94" t="s">
        <v>114</v>
      </c>
      <c r="Q94" t="s">
        <v>134</v>
      </c>
      <c r="R94" t="s">
        <v>114</v>
      </c>
      <c r="S94" t="s">
        <v>59</v>
      </c>
      <c r="T94" t="s">
        <v>95</v>
      </c>
      <c r="U94">
        <v>2</v>
      </c>
      <c r="V94" t="s">
        <v>100</v>
      </c>
      <c r="W94" t="s">
        <v>54</v>
      </c>
      <c r="X94" t="s">
        <v>141</v>
      </c>
      <c r="Y94">
        <v>1</v>
      </c>
      <c r="Z94">
        <v>1</v>
      </c>
      <c r="AA94">
        <v>48</v>
      </c>
      <c r="AB94">
        <v>1.2999999999999999E-2</v>
      </c>
      <c r="AC94" t="s">
        <v>141</v>
      </c>
      <c r="AD94">
        <v>4</v>
      </c>
      <c r="AE94">
        <v>4</v>
      </c>
      <c r="AF94">
        <v>0</v>
      </c>
      <c r="AG94">
        <v>3.1429999999999998</v>
      </c>
      <c r="AH94">
        <v>0.61699999999999999</v>
      </c>
      <c r="AI94">
        <v>0</v>
      </c>
      <c r="AJ94">
        <v>0.95499000000000001</v>
      </c>
      <c r="AK94">
        <v>0.95499999999999996</v>
      </c>
      <c r="AL94">
        <f t="shared" si="24"/>
        <v>0.95499999999999996</v>
      </c>
      <c r="AM94">
        <f>VLOOKUP(TRIM(N94),'[1]All - Durations'!$E$2:$H$109,4,FALSE)</f>
        <v>0.86099999999999999</v>
      </c>
      <c r="AN94">
        <f t="shared" si="25"/>
        <v>9.3999999999999972E-2</v>
      </c>
      <c r="AO94">
        <f t="shared" si="26"/>
        <v>9.3999999999999972E-2</v>
      </c>
      <c r="AQ94" s="9"/>
      <c r="AR94" s="2" t="s">
        <v>349</v>
      </c>
      <c r="AS94" s="11">
        <f>SUMIFS($AF:$AF,$G:$G,5,$O:$O,$AP$4,$S:$S,$AS$89)/6</f>
        <v>0.33333333333333331</v>
      </c>
      <c r="AT94" s="11">
        <f>SUMIFS($AF:$AF,$G:$G,5,$O:$O,$AP$4,$S:$S,$AT$89)/6</f>
        <v>0.33333333333333331</v>
      </c>
      <c r="AU94" s="11">
        <f>SUMIFS($AF:$AF,$G:$G,5,$O:$O,$AP$4,$S:$S,$AU$89)/6</f>
        <v>0.33333333333333331</v>
      </c>
      <c r="AV94" s="11">
        <f>SUMIFS($AF:$AF,$G:$G,5,$O:$O,$AP$4,$S:$S,$AV$89)/6</f>
        <v>0.16666666666666666</v>
      </c>
      <c r="AW94" s="11">
        <f>SUMIFS($AF:$AF,$G:$G,5,$O:$O,$AP$5,$S:$S,$AW$89)/6</f>
        <v>0.66666666666666663</v>
      </c>
      <c r="AX94" s="11">
        <f>SUMIFS($AF:$AF,$G:$G,5,$O:$O,$AP$5,$S:$S,$AX$89)/6</f>
        <v>0.33333333333333331</v>
      </c>
      <c r="AY94" s="11">
        <f>SUMIFS($AF:$AF,$G:$G,5,$O:$O,$AP$5,$S:$S,$AY$89)/6</f>
        <v>0.16666666666666666</v>
      </c>
      <c r="AZ94" s="11">
        <f>SUMIFS($AF:$AF,$G:$G,5,$O:$O,$AP$5,$S:$S,$AZ$89)/6</f>
        <v>1</v>
      </c>
      <c r="BA94" s="11">
        <f>SUMIFS($AF:$AF,$G:$G,5,$O:$O,$AP$6,$S:$S,$BA$89)/6</f>
        <v>0.16666666666666666</v>
      </c>
      <c r="BB94" s="11">
        <f>SUMIFS($AF:$AF,$G:$G,5,$O:$O,$AP$6,$S:$S,$BB$89)/6</f>
        <v>0.5</v>
      </c>
      <c r="BC94" s="11">
        <f>SUMIFS($AF:$AF,$G:$G,5,$O:$O,$AP$6,$S:$S,$BC$89)/6</f>
        <v>0.83333333333333337</v>
      </c>
      <c r="BD94" s="11">
        <f>SUMIFS($AF:$AF,$G:$G,5,$O:$O,$AP$6,$S:$S,$BD$89)/6</f>
        <v>0.66666666666666663</v>
      </c>
    </row>
    <row r="95" spans="1:56" x14ac:dyDescent="0.25">
      <c r="A95">
        <v>259</v>
      </c>
      <c r="B95" t="s">
        <v>35</v>
      </c>
      <c r="C95">
        <v>3</v>
      </c>
      <c r="D95" t="s">
        <v>36</v>
      </c>
      <c r="E95">
        <v>1</v>
      </c>
      <c r="F95" t="s">
        <v>37</v>
      </c>
      <c r="G95">
        <v>2</v>
      </c>
      <c r="H95">
        <v>4</v>
      </c>
      <c r="I95">
        <v>1</v>
      </c>
      <c r="J95">
        <v>22</v>
      </c>
      <c r="K95">
        <v>16</v>
      </c>
      <c r="L95">
        <v>26</v>
      </c>
      <c r="M95">
        <v>1</v>
      </c>
      <c r="N95" t="s">
        <v>148</v>
      </c>
      <c r="O95" t="s">
        <v>113</v>
      </c>
      <c r="P95" t="s">
        <v>114</v>
      </c>
      <c r="Q95" t="s">
        <v>123</v>
      </c>
      <c r="R95" t="s">
        <v>114</v>
      </c>
      <c r="S95" t="s">
        <v>92</v>
      </c>
      <c r="T95" t="s">
        <v>130</v>
      </c>
      <c r="U95">
        <v>5</v>
      </c>
      <c r="V95" t="s">
        <v>124</v>
      </c>
      <c r="W95" t="s">
        <v>149</v>
      </c>
      <c r="X95" t="s">
        <v>99</v>
      </c>
      <c r="Y95">
        <v>1</v>
      </c>
      <c r="Z95">
        <v>1</v>
      </c>
      <c r="AA95">
        <v>48</v>
      </c>
      <c r="AB95">
        <v>3.0000000000000001E-3</v>
      </c>
      <c r="AC95" t="s">
        <v>99</v>
      </c>
      <c r="AD95">
        <v>4</v>
      </c>
      <c r="AE95">
        <v>1</v>
      </c>
      <c r="AF95">
        <v>0</v>
      </c>
      <c r="AG95">
        <v>2.1419999999999999</v>
      </c>
      <c r="AH95">
        <v>0.76700000000000002</v>
      </c>
      <c r="AI95">
        <v>0</v>
      </c>
      <c r="AJ95">
        <v>3.499E-2</v>
      </c>
      <c r="AK95">
        <v>1.07</v>
      </c>
      <c r="AL95">
        <f t="shared" si="24"/>
        <v>1.07</v>
      </c>
      <c r="AM95">
        <f>VLOOKUP(TRIM(N95),'[1]All - Durations'!$E$2:$H$109,4,FALSE)</f>
        <v>0.90400000000000003</v>
      </c>
      <c r="AN95">
        <f t="shared" si="25"/>
        <v>0.16600000000000004</v>
      </c>
      <c r="AO95">
        <f t="shared" si="26"/>
        <v>0.16600000000000004</v>
      </c>
      <c r="AQ95" s="9"/>
      <c r="AR95" s="2" t="s">
        <v>350</v>
      </c>
      <c r="AS95" s="11">
        <f>SUMIFS($AF:$AF,$G:$G,6,$O:$O,$AP$4,$S:$S,$AS$89)/6</f>
        <v>0.66666666666666663</v>
      </c>
      <c r="AT95" s="11">
        <f>SUMIFS($AF:$AF,$G:$G,6,$O:$O,$AP$4,$S:$S,$AT$89)/6</f>
        <v>0.5</v>
      </c>
      <c r="AU95" s="11">
        <f>SUMIFS($AF:$AF,$G:$G,6,$O:$O,$AP$4,$S:$S,$AU$89)/6</f>
        <v>0.5</v>
      </c>
      <c r="AV95" s="11">
        <f>SUMIFS($AF:$AF,$G:$G,6,$O:$O,$AP$4,$S:$S,$AV$89)/6</f>
        <v>0.5</v>
      </c>
      <c r="AW95" s="11">
        <f>SUMIFS($AF:$AF,$G:$G,6,$O:$O,$AP$5,$S:$S,$AW$89)/6</f>
        <v>0.5</v>
      </c>
      <c r="AX95" s="11">
        <f>SUMIFS($AF:$AF,$G:$G,6,$O:$O,$AP$5,$S:$S,$AX$89)/6</f>
        <v>0.5</v>
      </c>
      <c r="AY95" s="11">
        <f>SUMIFS($AF:$AF,$G:$G,6,$O:$O,$AP$5,$S:$S,$AY$89)/6</f>
        <v>0.5</v>
      </c>
      <c r="AZ95" s="11">
        <f>SUMIFS($AF:$AF,$G:$G,6,$O:$O,$AP$5,$S:$S,$AZ$89)/6</f>
        <v>0.5</v>
      </c>
      <c r="BA95" s="11">
        <f>SUMIFS($AF:$AF,$G:$G,6,$O:$O,$AP$6,$S:$S,$BA$89)/6</f>
        <v>0.66666666666666663</v>
      </c>
      <c r="BB95" s="11">
        <f>SUMIFS($AF:$AF,$G:$G,6,$O:$O,$AP$6,$S:$S,$BB$89)/6</f>
        <v>0.66666666666666663</v>
      </c>
      <c r="BC95" s="11">
        <f>SUMIFS($AF:$AF,$G:$G,6,$O:$O,$AP$6,$S:$S,$BC$89)/6</f>
        <v>0.5</v>
      </c>
      <c r="BD95" s="11">
        <f>SUMIFS($AF:$AF,$G:$G,6,$O:$O,$AP$6,$S:$S,$BD$89)/6</f>
        <v>0.33333333333333331</v>
      </c>
    </row>
    <row r="96" spans="1:56" x14ac:dyDescent="0.25">
      <c r="A96">
        <v>259</v>
      </c>
      <c r="B96" t="s">
        <v>35</v>
      </c>
      <c r="C96">
        <v>3</v>
      </c>
      <c r="D96" t="s">
        <v>36</v>
      </c>
      <c r="E96">
        <v>1</v>
      </c>
      <c r="F96" t="s">
        <v>37</v>
      </c>
      <c r="G96">
        <v>2</v>
      </c>
      <c r="H96">
        <v>4</v>
      </c>
      <c r="I96">
        <v>1</v>
      </c>
      <c r="J96">
        <v>23</v>
      </c>
      <c r="K96">
        <v>17</v>
      </c>
      <c r="L96">
        <v>61</v>
      </c>
      <c r="M96">
        <v>2</v>
      </c>
      <c r="N96" t="s">
        <v>125</v>
      </c>
      <c r="O96" t="s">
        <v>113</v>
      </c>
      <c r="P96" t="s">
        <v>114</v>
      </c>
      <c r="Q96" t="s">
        <v>126</v>
      </c>
      <c r="R96" t="s">
        <v>114</v>
      </c>
      <c r="S96" t="s">
        <v>92</v>
      </c>
      <c r="T96" t="s">
        <v>127</v>
      </c>
      <c r="U96">
        <v>4</v>
      </c>
      <c r="V96" t="s">
        <v>128</v>
      </c>
      <c r="W96" t="s">
        <v>96</v>
      </c>
      <c r="X96" t="s">
        <v>66</v>
      </c>
      <c r="Y96">
        <v>1</v>
      </c>
      <c r="Z96">
        <v>1</v>
      </c>
      <c r="AA96">
        <v>48</v>
      </c>
      <c r="AB96">
        <v>2E-3</v>
      </c>
      <c r="AC96" t="s">
        <v>96</v>
      </c>
      <c r="AD96">
        <v>4</v>
      </c>
      <c r="AE96">
        <v>5</v>
      </c>
      <c r="AF96">
        <v>0</v>
      </c>
      <c r="AG96">
        <v>2.9910000000000001</v>
      </c>
      <c r="AH96">
        <v>0.6</v>
      </c>
      <c r="AI96">
        <v>0</v>
      </c>
      <c r="AJ96">
        <v>3.499E-2</v>
      </c>
      <c r="AK96">
        <v>1.2270000000000001</v>
      </c>
      <c r="AL96">
        <f t="shared" si="24"/>
        <v>1.2270000000000001</v>
      </c>
      <c r="AM96">
        <f>VLOOKUP(TRIM(N96),'[1]All - Durations'!$E$2:$H$109,4,FALSE)</f>
        <v>0.94899999999999995</v>
      </c>
      <c r="AN96">
        <f t="shared" si="25"/>
        <v>0.27800000000000014</v>
      </c>
      <c r="AO96">
        <f t="shared" si="26"/>
        <v>0.27800000000000014</v>
      </c>
      <c r="AQ96" s="9"/>
      <c r="AR96" s="2" t="s">
        <v>351</v>
      </c>
      <c r="AS96" s="11">
        <f>SUMIFS($AF:$AF,$G:$G,7,$O:$O,$AP$4,$S:$S,$AS$89)/6</f>
        <v>0.5</v>
      </c>
      <c r="AT96" s="11">
        <f>SUMIFS($AF:$AF,$G:$G,7,$O:$O,$AP$4,$S:$S,$AT$89)/6</f>
        <v>0.5</v>
      </c>
      <c r="AU96" s="11">
        <f>SUMIFS($AF:$AF,$G:$G,7,$O:$O,$AP$4,$S:$S,$AU$89)/6</f>
        <v>0.33333333333333331</v>
      </c>
      <c r="AV96" s="11">
        <f>SUMIFS($AF:$AF,$G:$G,7,$O:$O,$AP$4,$S:$S,$AV$89)/6</f>
        <v>0.5</v>
      </c>
      <c r="AW96" s="11">
        <f>SUMIFS($AF:$AF,$G:$G,7,$O:$O,$AP$5,$S:$S,$AW$89)/6</f>
        <v>0.5</v>
      </c>
      <c r="AX96" s="11">
        <f>SUMIFS($AF:$AF,$G:$G,7,$O:$O,$AP$5,$S:$S,$AX$89)/6</f>
        <v>0.33333333333333331</v>
      </c>
      <c r="AY96" s="11">
        <f>SUMIFS($AF:$AF,$G:$G,7,$O:$O,$AP$5,$S:$S,$AY$89)/6</f>
        <v>0.33333333333333331</v>
      </c>
      <c r="AZ96" s="11">
        <f>SUMIFS($AF:$AF,$G:$G,7,$O:$O,$AP$5,$S:$S,$AZ$89)/6</f>
        <v>0.5</v>
      </c>
      <c r="BA96" s="11">
        <f>SUMIFS($AF:$AF,$G:$G,7,$O:$O,$AP$6,$S:$S,$BA$89)/6</f>
        <v>0.5</v>
      </c>
      <c r="BB96" s="11">
        <f>SUMIFS($AF:$AF,$G:$G,7,$O:$O,$AP$6,$S:$S,$BB$89)/6</f>
        <v>0.5</v>
      </c>
      <c r="BC96" s="11">
        <f>SUMIFS($AF:$AF,$G:$G,7,$O:$O,$AP$6,$S:$S,$BC$89)/6</f>
        <v>0.5</v>
      </c>
      <c r="BD96" s="11">
        <f>SUMIFS($AF:$AF,$G:$G,7,$O:$O,$AP$6,$S:$S,$BD$89)/6</f>
        <v>0.16666666666666666</v>
      </c>
    </row>
    <row r="97" spans="1:56" x14ac:dyDescent="0.25">
      <c r="A97">
        <v>259</v>
      </c>
      <c r="B97" t="s">
        <v>35</v>
      </c>
      <c r="C97">
        <v>3</v>
      </c>
      <c r="D97" t="s">
        <v>36</v>
      </c>
      <c r="E97">
        <v>1</v>
      </c>
      <c r="F97" t="s">
        <v>37</v>
      </c>
      <c r="G97">
        <v>2</v>
      </c>
      <c r="H97">
        <v>4</v>
      </c>
      <c r="I97">
        <v>1</v>
      </c>
      <c r="J97">
        <v>24</v>
      </c>
      <c r="K97">
        <v>14</v>
      </c>
      <c r="L97">
        <v>72</v>
      </c>
      <c r="M97">
        <v>2</v>
      </c>
      <c r="N97" t="s">
        <v>112</v>
      </c>
      <c r="O97" t="s">
        <v>113</v>
      </c>
      <c r="P97" t="s">
        <v>114</v>
      </c>
      <c r="Q97" t="s">
        <v>115</v>
      </c>
      <c r="R97" t="s">
        <v>114</v>
      </c>
      <c r="S97" t="s">
        <v>43</v>
      </c>
      <c r="T97" t="s">
        <v>104</v>
      </c>
      <c r="U97">
        <v>1</v>
      </c>
      <c r="V97" t="s">
        <v>116</v>
      </c>
      <c r="W97" t="s">
        <v>47</v>
      </c>
      <c r="X97" t="s">
        <v>106</v>
      </c>
      <c r="Y97">
        <v>2</v>
      </c>
      <c r="Z97">
        <v>1</v>
      </c>
      <c r="AA97">
        <v>48</v>
      </c>
      <c r="AB97">
        <v>4.0000000000000001E-3</v>
      </c>
      <c r="AC97" t="s">
        <v>47</v>
      </c>
      <c r="AD97">
        <v>4</v>
      </c>
      <c r="AE97">
        <v>2</v>
      </c>
      <c r="AF97">
        <v>0</v>
      </c>
      <c r="AG97">
        <v>2.4020000000000001</v>
      </c>
      <c r="AH97">
        <v>0.51700000000000002</v>
      </c>
      <c r="AI97">
        <v>0</v>
      </c>
      <c r="AJ97">
        <v>4.4990000000000002E-2</v>
      </c>
      <c r="AK97">
        <v>1.23</v>
      </c>
      <c r="AL97">
        <f t="shared" si="24"/>
        <v>1.23</v>
      </c>
      <c r="AM97">
        <f>VLOOKUP(TRIM(N97),'[1]All - Durations'!$E$2:$H$109,4,FALSE)</f>
        <v>0.94499999999999995</v>
      </c>
      <c r="AN97">
        <f t="shared" si="25"/>
        <v>0.28500000000000003</v>
      </c>
      <c r="AO97">
        <f t="shared" si="26"/>
        <v>0.28500000000000003</v>
      </c>
      <c r="AQ97" s="9"/>
      <c r="AR97" s="2" t="s">
        <v>352</v>
      </c>
      <c r="AS97" s="11">
        <f>SUMIFS($AF:$AF,$G:$G,8,$O:$O,$AP$4,$S:$S,$AS$89)/6</f>
        <v>0.5</v>
      </c>
      <c r="AT97" s="11">
        <f>SUMIFS($AF:$AF,$G:$G,8,$O:$O,$AP$4,$S:$S,$AT$89)/6</f>
        <v>0.66666666666666663</v>
      </c>
      <c r="AU97" s="11">
        <f>SUMIFS($AF:$AF,$G:$G,8,$O:$O,$AP$4,$S:$S,$AU$89)/6</f>
        <v>0.33333333333333331</v>
      </c>
      <c r="AV97" s="11">
        <f>SUMIFS($AF:$AF,$G:$G,8,$O:$O,$AP$4,$S:$S,$AV$89)/6</f>
        <v>0.5</v>
      </c>
      <c r="AW97" s="11">
        <f>SUMIFS($AF:$AF,$G:$G,8,$O:$O,$AP$5,$S:$S,$AW$89)/6</f>
        <v>0.66666666666666663</v>
      </c>
      <c r="AX97" s="11">
        <f>SUMIFS($AF:$AF,$G:$G,8,$O:$O,$AP$5,$S:$S,$AX$89)/6</f>
        <v>0.16666666666666666</v>
      </c>
      <c r="AY97" s="11">
        <f>SUMIFS($AF:$AF,$G:$G,8,$O:$O,$AP$5,$S:$S,$AY$89)/6</f>
        <v>0.5</v>
      </c>
      <c r="AZ97" s="11">
        <f>SUMIFS($AF:$AF,$G:$G,8,$O:$O,$AP$5,$S:$S,$AZ$89)/6</f>
        <v>0.83333333333333337</v>
      </c>
      <c r="BA97" s="11">
        <f>SUMIFS($AF:$AF,$G:$G,8,$O:$O,$AP$6,$S:$S,$BA$89)/6</f>
        <v>0.33333333333333331</v>
      </c>
      <c r="BB97" s="11">
        <f>SUMIFS($AF:$AF,$G:$G,8,$O:$O,$AP$6,$S:$S,$BB$89)/6</f>
        <v>0.83333333333333337</v>
      </c>
      <c r="BC97" s="11">
        <f>SUMIFS($AF:$AF,$G:$G,8,$O:$O,$AP$6,$S:$S,$BC$89)/6</f>
        <v>0.66666666666666663</v>
      </c>
      <c r="BD97" s="11">
        <f>SUMIFS($AF:$AF,$G:$G,8,$O:$O,$AP$6,$S:$S,$BD$89)/6</f>
        <v>0.33333333333333331</v>
      </c>
    </row>
    <row r="98" spans="1:56" x14ac:dyDescent="0.25">
      <c r="A98">
        <v>259</v>
      </c>
      <c r="B98" t="s">
        <v>35</v>
      </c>
      <c r="C98">
        <v>3</v>
      </c>
      <c r="D98" t="s">
        <v>36</v>
      </c>
      <c r="E98">
        <v>1</v>
      </c>
      <c r="F98" t="s">
        <v>37</v>
      </c>
      <c r="G98">
        <v>2</v>
      </c>
      <c r="H98">
        <v>4</v>
      </c>
      <c r="I98">
        <v>1</v>
      </c>
      <c r="J98">
        <v>25</v>
      </c>
      <c r="K98">
        <v>27</v>
      </c>
      <c r="L98">
        <v>13</v>
      </c>
      <c r="M98">
        <v>1</v>
      </c>
      <c r="N98" t="s">
        <v>167</v>
      </c>
      <c r="O98" t="s">
        <v>151</v>
      </c>
      <c r="P98" t="s">
        <v>168</v>
      </c>
      <c r="Q98" t="s">
        <v>169</v>
      </c>
      <c r="R98" t="s">
        <v>170</v>
      </c>
      <c r="S98" t="s">
        <v>59</v>
      </c>
      <c r="T98" t="s">
        <v>96</v>
      </c>
      <c r="U98">
        <v>4</v>
      </c>
      <c r="V98" t="s">
        <v>103</v>
      </c>
      <c r="W98" t="s">
        <v>128</v>
      </c>
      <c r="X98" t="s">
        <v>93</v>
      </c>
      <c r="Y98">
        <v>2</v>
      </c>
      <c r="Z98">
        <v>1</v>
      </c>
      <c r="AA98">
        <v>48</v>
      </c>
      <c r="AB98">
        <v>2E-3</v>
      </c>
      <c r="AC98" t="s">
        <v>103</v>
      </c>
      <c r="AD98">
        <v>3</v>
      </c>
      <c r="AE98">
        <v>1</v>
      </c>
      <c r="AF98">
        <v>0</v>
      </c>
      <c r="AG98">
        <v>2.976</v>
      </c>
      <c r="AH98">
        <v>0.433</v>
      </c>
      <c r="AI98">
        <v>0</v>
      </c>
      <c r="AJ98">
        <v>8.4989999999999996E-2</v>
      </c>
      <c r="AK98">
        <v>1.127</v>
      </c>
      <c r="AL98">
        <f t="shared" si="24"/>
        <v>1.127</v>
      </c>
      <c r="AM98">
        <f>VLOOKUP(TRIM(N98),'[1]All - Durations'!$E$2:$H$109,4,FALSE)</f>
        <v>0.97399999999999998</v>
      </c>
      <c r="AN98">
        <f t="shared" si="25"/>
        <v>0.15300000000000002</v>
      </c>
      <c r="AO98">
        <f t="shared" si="26"/>
        <v>0.15300000000000002</v>
      </c>
    </row>
    <row r="99" spans="1:56" x14ac:dyDescent="0.25">
      <c r="A99">
        <v>259</v>
      </c>
      <c r="B99" t="s">
        <v>35</v>
      </c>
      <c r="C99">
        <v>3</v>
      </c>
      <c r="D99" t="s">
        <v>36</v>
      </c>
      <c r="E99">
        <v>1</v>
      </c>
      <c r="F99" t="s">
        <v>37</v>
      </c>
      <c r="G99">
        <v>2</v>
      </c>
      <c r="H99">
        <v>4</v>
      </c>
      <c r="I99">
        <v>1</v>
      </c>
      <c r="J99">
        <v>26</v>
      </c>
      <c r="K99">
        <v>25</v>
      </c>
      <c r="L99">
        <v>59</v>
      </c>
      <c r="M99">
        <v>2</v>
      </c>
      <c r="N99" t="s">
        <v>171</v>
      </c>
      <c r="O99" t="s">
        <v>151</v>
      </c>
      <c r="P99" t="s">
        <v>158</v>
      </c>
      <c r="Q99" t="s">
        <v>159</v>
      </c>
      <c r="R99" t="s">
        <v>170</v>
      </c>
      <c r="S99" t="s">
        <v>59</v>
      </c>
      <c r="T99" t="s">
        <v>103</v>
      </c>
      <c r="U99">
        <v>2</v>
      </c>
      <c r="V99" t="s">
        <v>161</v>
      </c>
      <c r="W99" t="s">
        <v>69</v>
      </c>
      <c r="X99" t="s">
        <v>172</v>
      </c>
      <c r="Y99">
        <v>1</v>
      </c>
      <c r="Z99">
        <v>1</v>
      </c>
      <c r="AA99">
        <v>48</v>
      </c>
      <c r="AB99">
        <v>4.0000000000000001E-3</v>
      </c>
      <c r="AC99" t="s">
        <v>103</v>
      </c>
      <c r="AD99">
        <v>1</v>
      </c>
      <c r="AE99">
        <v>2</v>
      </c>
      <c r="AF99">
        <v>1</v>
      </c>
      <c r="AG99">
        <v>1.8440000000000001</v>
      </c>
      <c r="AH99">
        <v>0.5</v>
      </c>
      <c r="AI99">
        <v>0</v>
      </c>
      <c r="AJ99">
        <v>5.4989999999999997E-2</v>
      </c>
      <c r="AK99">
        <v>0.96599999999999997</v>
      </c>
      <c r="AL99">
        <f t="shared" si="24"/>
        <v>0.96599999999999997</v>
      </c>
      <c r="AM99">
        <f>VLOOKUP(TRIM(N99),'[1]All - Durations'!$E$2:$H$109,4,FALSE)</f>
        <v>0.92300000000000004</v>
      </c>
      <c r="AN99">
        <f t="shared" si="25"/>
        <v>4.2999999999999927E-2</v>
      </c>
      <c r="AO99">
        <f t="shared" si="26"/>
        <v>4.2999999999999927E-2</v>
      </c>
      <c r="AQ99" s="4" t="s">
        <v>334</v>
      </c>
      <c r="AS99" s="4" t="s">
        <v>355</v>
      </c>
      <c r="AU99" s="4" t="s">
        <v>356</v>
      </c>
      <c r="AW99" s="4" t="s">
        <v>357</v>
      </c>
    </row>
    <row r="100" spans="1:56" x14ac:dyDescent="0.25">
      <c r="A100">
        <v>259</v>
      </c>
      <c r="B100" t="s">
        <v>35</v>
      </c>
      <c r="C100">
        <v>3</v>
      </c>
      <c r="D100" t="s">
        <v>36</v>
      </c>
      <c r="E100">
        <v>1</v>
      </c>
      <c r="F100" t="s">
        <v>37</v>
      </c>
      <c r="G100">
        <v>2</v>
      </c>
      <c r="H100">
        <v>4</v>
      </c>
      <c r="I100">
        <v>1</v>
      </c>
      <c r="J100">
        <v>27</v>
      </c>
      <c r="K100">
        <v>30</v>
      </c>
      <c r="L100">
        <v>50</v>
      </c>
      <c r="M100">
        <v>2</v>
      </c>
      <c r="N100" t="s">
        <v>186</v>
      </c>
      <c r="O100" t="s">
        <v>151</v>
      </c>
      <c r="P100" t="s">
        <v>181</v>
      </c>
      <c r="Q100" t="s">
        <v>182</v>
      </c>
      <c r="R100" t="s">
        <v>174</v>
      </c>
      <c r="S100" t="s">
        <v>52</v>
      </c>
      <c r="T100" t="s">
        <v>187</v>
      </c>
      <c r="U100">
        <v>4</v>
      </c>
      <c r="V100" t="s">
        <v>183</v>
      </c>
      <c r="W100" t="s">
        <v>45</v>
      </c>
      <c r="X100" t="s">
        <v>116</v>
      </c>
      <c r="Y100">
        <v>1</v>
      </c>
      <c r="Z100">
        <v>1</v>
      </c>
      <c r="AA100">
        <v>48</v>
      </c>
      <c r="AB100">
        <v>2E-3</v>
      </c>
      <c r="AC100" t="s">
        <v>116</v>
      </c>
      <c r="AD100">
        <v>4</v>
      </c>
      <c r="AE100">
        <v>1</v>
      </c>
      <c r="AF100">
        <v>0</v>
      </c>
      <c r="AG100">
        <v>3.0569999999999999</v>
      </c>
      <c r="AH100">
        <v>0.73299999999999998</v>
      </c>
      <c r="AI100">
        <v>0</v>
      </c>
      <c r="AJ100">
        <v>3.499E-2</v>
      </c>
      <c r="AK100">
        <v>1.006</v>
      </c>
      <c r="AL100">
        <f t="shared" si="24"/>
        <v>1.006</v>
      </c>
      <c r="AM100">
        <f>VLOOKUP(TRIM(N100),'[1]All - Durations'!$E$2:$H$109,4,FALSE)</f>
        <v>0.89100000000000001</v>
      </c>
      <c r="AN100">
        <f t="shared" si="25"/>
        <v>0.11499999999999999</v>
      </c>
      <c r="AO100">
        <f t="shared" si="26"/>
        <v>0.11499999999999999</v>
      </c>
      <c r="AR100" s="1"/>
      <c r="AS100" t="s">
        <v>358</v>
      </c>
      <c r="AT100" t="s">
        <v>359</v>
      </c>
      <c r="AU100" t="s">
        <v>358</v>
      </c>
      <c r="AV100" t="s">
        <v>359</v>
      </c>
      <c r="AW100" t="s">
        <v>358</v>
      </c>
      <c r="AX100" t="s">
        <v>359</v>
      </c>
    </row>
    <row r="101" spans="1:56" x14ac:dyDescent="0.25">
      <c r="A101">
        <v>259</v>
      </c>
      <c r="B101" t="s">
        <v>35</v>
      </c>
      <c r="C101">
        <v>3</v>
      </c>
      <c r="D101" t="s">
        <v>36</v>
      </c>
      <c r="E101">
        <v>1</v>
      </c>
      <c r="F101" t="s">
        <v>37</v>
      </c>
      <c r="G101">
        <v>2</v>
      </c>
      <c r="H101">
        <v>4</v>
      </c>
      <c r="I101">
        <v>1</v>
      </c>
      <c r="J101">
        <v>28</v>
      </c>
      <c r="K101">
        <v>31</v>
      </c>
      <c r="L101">
        <v>51</v>
      </c>
      <c r="M101">
        <v>2</v>
      </c>
      <c r="N101" t="s">
        <v>176</v>
      </c>
      <c r="O101" t="s">
        <v>151</v>
      </c>
      <c r="P101" t="s">
        <v>177</v>
      </c>
      <c r="Q101" t="s">
        <v>178</v>
      </c>
      <c r="R101" t="s">
        <v>170</v>
      </c>
      <c r="S101" t="s">
        <v>59</v>
      </c>
      <c r="T101" t="s">
        <v>139</v>
      </c>
      <c r="U101">
        <v>2</v>
      </c>
      <c r="V101" t="s">
        <v>108</v>
      </c>
      <c r="W101" t="s">
        <v>179</v>
      </c>
      <c r="X101" t="s">
        <v>144</v>
      </c>
      <c r="Y101">
        <v>1</v>
      </c>
      <c r="Z101">
        <v>1</v>
      </c>
      <c r="AA101">
        <v>48</v>
      </c>
      <c r="AB101">
        <v>2E-3</v>
      </c>
      <c r="AC101" t="s">
        <v>139</v>
      </c>
      <c r="AD101">
        <v>1</v>
      </c>
      <c r="AE101">
        <v>2</v>
      </c>
      <c r="AF101">
        <v>1</v>
      </c>
      <c r="AG101">
        <v>1.7350000000000001</v>
      </c>
      <c r="AH101">
        <v>0.51600000000000001</v>
      </c>
      <c r="AI101">
        <v>0</v>
      </c>
      <c r="AJ101">
        <v>1.0349900000000001</v>
      </c>
      <c r="AK101">
        <v>1.0349999999999999</v>
      </c>
      <c r="AL101">
        <f t="shared" si="24"/>
        <v>1.0349999999999999</v>
      </c>
      <c r="AM101">
        <f>VLOOKUP(TRIM(N101),'[1]All - Durations'!$E$2:$H$109,4,FALSE)</f>
        <v>0.879</v>
      </c>
      <c r="AN101">
        <f t="shared" si="25"/>
        <v>0.15599999999999992</v>
      </c>
      <c r="AO101">
        <f t="shared" si="26"/>
        <v>0.15599999999999992</v>
      </c>
      <c r="AR101" s="10" t="s">
        <v>345</v>
      </c>
      <c r="AS101" s="11">
        <f>SUM($AS$90*6+$AU$90*6)/12</f>
        <v>0.33333333333333331</v>
      </c>
      <c r="AT101" s="11">
        <f>SUM($AT$90*6+$AV$90*6)/12</f>
        <v>8.3333333333333329E-2</v>
      </c>
      <c r="AU101" s="11">
        <f>SUM($AW$90*6+$AY$90*6)/12</f>
        <v>0</v>
      </c>
      <c r="AV101" s="11">
        <f>SUM($AX$90*6+$AZ$90*6)/12</f>
        <v>0.33333333333333331</v>
      </c>
      <c r="AW101" s="11">
        <f>SUM($BA$90*6+$BC$90*6)/12</f>
        <v>0.25</v>
      </c>
      <c r="AX101" s="11">
        <f>SUM($BB$90*6+$BD$90*6)/12</f>
        <v>0.16666666666666666</v>
      </c>
    </row>
    <row r="102" spans="1:56" x14ac:dyDescent="0.25">
      <c r="A102">
        <v>259</v>
      </c>
      <c r="B102" t="s">
        <v>35</v>
      </c>
      <c r="C102">
        <v>3</v>
      </c>
      <c r="D102" t="s">
        <v>36</v>
      </c>
      <c r="E102">
        <v>1</v>
      </c>
      <c r="F102" t="s">
        <v>37</v>
      </c>
      <c r="G102">
        <v>2</v>
      </c>
      <c r="H102">
        <v>4</v>
      </c>
      <c r="I102">
        <v>1</v>
      </c>
      <c r="J102">
        <v>29</v>
      </c>
      <c r="K102">
        <v>35</v>
      </c>
      <c r="L102">
        <v>55</v>
      </c>
      <c r="M102">
        <v>2</v>
      </c>
      <c r="N102" t="s">
        <v>163</v>
      </c>
      <c r="O102" t="s">
        <v>151</v>
      </c>
      <c r="P102" t="s">
        <v>164</v>
      </c>
      <c r="Q102" t="s">
        <v>165</v>
      </c>
      <c r="R102" t="s">
        <v>154</v>
      </c>
      <c r="S102" t="s">
        <v>92</v>
      </c>
      <c r="T102" t="s">
        <v>86</v>
      </c>
      <c r="U102">
        <v>5</v>
      </c>
      <c r="V102" t="s">
        <v>166</v>
      </c>
      <c r="W102" t="s">
        <v>85</v>
      </c>
      <c r="X102" t="s">
        <v>95</v>
      </c>
      <c r="Y102">
        <v>1</v>
      </c>
      <c r="Z102">
        <v>1</v>
      </c>
      <c r="AA102">
        <v>48</v>
      </c>
      <c r="AB102">
        <v>2E-3</v>
      </c>
      <c r="AC102" t="s">
        <v>86</v>
      </c>
      <c r="AD102">
        <v>1</v>
      </c>
      <c r="AE102">
        <v>5</v>
      </c>
      <c r="AF102">
        <v>1</v>
      </c>
      <c r="AG102">
        <v>2.5619999999999998</v>
      </c>
      <c r="AH102">
        <v>0.55000000000000004</v>
      </c>
      <c r="AI102">
        <v>0</v>
      </c>
      <c r="AJ102">
        <v>1.0949899999999999</v>
      </c>
      <c r="AK102">
        <v>1.095</v>
      </c>
      <c r="AL102">
        <f t="shared" si="24"/>
        <v>1.095</v>
      </c>
      <c r="AM102">
        <f>VLOOKUP(TRIM(N102),'[1]All - Durations'!$E$2:$H$109,4,FALSE)</f>
        <v>0.877</v>
      </c>
      <c r="AN102">
        <f t="shared" si="25"/>
        <v>0.21799999999999997</v>
      </c>
      <c r="AO102">
        <f t="shared" si="26"/>
        <v>0.21799999999999997</v>
      </c>
      <c r="AR102" s="10" t="s">
        <v>346</v>
      </c>
      <c r="AS102" s="11">
        <f>SUM($AS$91*6+$AU$91*6)/12</f>
        <v>0.25</v>
      </c>
      <c r="AT102" s="11">
        <f>SUM($AT$91*6+$AV$91*6)/12</f>
        <v>8.3333333333333329E-2</v>
      </c>
      <c r="AU102" s="11">
        <f>SUM($AW$91*6+$AY$91*6)/12</f>
        <v>0.33333333333333331</v>
      </c>
      <c r="AV102" s="11">
        <f>SUM($AX$91*6+$AZ$91*6)/12</f>
        <v>0.33333333333333331</v>
      </c>
      <c r="AW102" s="11">
        <f>SUM($BA$91*6+$BC$91*6)/12</f>
        <v>0.16666666666666666</v>
      </c>
      <c r="AX102" s="11">
        <f>SUM($BB$91*6+$BD$91*6)/12</f>
        <v>0.41666666666666669</v>
      </c>
    </row>
    <row r="103" spans="1:56" x14ac:dyDescent="0.25">
      <c r="A103">
        <v>259</v>
      </c>
      <c r="B103" t="s">
        <v>35</v>
      </c>
      <c r="C103">
        <v>3</v>
      </c>
      <c r="D103" t="s">
        <v>36</v>
      </c>
      <c r="E103">
        <v>1</v>
      </c>
      <c r="F103" t="s">
        <v>37</v>
      </c>
      <c r="G103">
        <v>2</v>
      </c>
      <c r="H103">
        <v>4</v>
      </c>
      <c r="I103">
        <v>1</v>
      </c>
      <c r="J103">
        <v>30</v>
      </c>
      <c r="K103">
        <v>32</v>
      </c>
      <c r="L103">
        <v>52</v>
      </c>
      <c r="M103">
        <v>2</v>
      </c>
      <c r="N103" t="s">
        <v>188</v>
      </c>
      <c r="O103" t="s">
        <v>151</v>
      </c>
      <c r="P103" t="s">
        <v>177</v>
      </c>
      <c r="Q103" t="s">
        <v>178</v>
      </c>
      <c r="R103" t="s">
        <v>160</v>
      </c>
      <c r="S103" t="s">
        <v>43</v>
      </c>
      <c r="T103" t="s">
        <v>108</v>
      </c>
      <c r="U103">
        <v>5</v>
      </c>
      <c r="V103" t="s">
        <v>55</v>
      </c>
      <c r="W103" t="s">
        <v>56</v>
      </c>
      <c r="X103" t="s">
        <v>138</v>
      </c>
      <c r="Y103">
        <v>2</v>
      </c>
      <c r="Z103">
        <v>1</v>
      </c>
      <c r="AA103">
        <v>48</v>
      </c>
      <c r="AB103">
        <v>4.0000000000000001E-3</v>
      </c>
      <c r="AC103" t="s">
        <v>108</v>
      </c>
      <c r="AD103">
        <v>1</v>
      </c>
      <c r="AE103">
        <v>5</v>
      </c>
      <c r="AF103">
        <v>1</v>
      </c>
      <c r="AG103">
        <v>1.1200000000000001</v>
      </c>
      <c r="AH103">
        <v>0.8</v>
      </c>
      <c r="AI103">
        <v>0</v>
      </c>
      <c r="AJ103">
        <v>1.0549900000000001</v>
      </c>
      <c r="AK103">
        <v>1.0549999999999999</v>
      </c>
      <c r="AL103">
        <f t="shared" si="24"/>
        <v>1.0549999999999999</v>
      </c>
      <c r="AM103">
        <f>VLOOKUP(TRIM(N103),'[1]All - Durations'!$E$2:$H$109,4,FALSE)</f>
        <v>0.90400000000000003</v>
      </c>
      <c r="AN103">
        <f t="shared" si="25"/>
        <v>0.15099999999999991</v>
      </c>
      <c r="AO103">
        <f t="shared" si="26"/>
        <v>0.15099999999999991</v>
      </c>
      <c r="AR103" s="2" t="s">
        <v>347</v>
      </c>
      <c r="AS103" s="11">
        <f>SUM($AS$92*6+$AU$92*6)/12</f>
        <v>0.33333333333333331</v>
      </c>
      <c r="AT103" s="11">
        <f>SUM($AT$92*6+$AV$92*6)/12</f>
        <v>0.25</v>
      </c>
      <c r="AU103" s="11">
        <f>SUM($AW$92*6+$AY$92*6)/12</f>
        <v>0.58333333333333337</v>
      </c>
      <c r="AV103" s="11">
        <f>SUM($AX$92*6+$AZ$92*6)/12</f>
        <v>0.33333333333333331</v>
      </c>
      <c r="AW103" s="11">
        <f>SUM($BA$92*6+$BC$92*6)/12</f>
        <v>0.16666666666666666</v>
      </c>
      <c r="AX103" s="11">
        <f>SUM($BB$92*6+$BD$92*6)/12</f>
        <v>0.41666666666666669</v>
      </c>
    </row>
    <row r="104" spans="1:56" x14ac:dyDescent="0.25">
      <c r="A104">
        <v>259</v>
      </c>
      <c r="B104" t="s">
        <v>35</v>
      </c>
      <c r="C104">
        <v>3</v>
      </c>
      <c r="D104" t="s">
        <v>36</v>
      </c>
      <c r="E104">
        <v>1</v>
      </c>
      <c r="F104" t="s">
        <v>37</v>
      </c>
      <c r="G104">
        <v>2</v>
      </c>
      <c r="H104">
        <v>4</v>
      </c>
      <c r="I104">
        <v>1</v>
      </c>
      <c r="J104">
        <v>31</v>
      </c>
      <c r="K104">
        <v>36</v>
      </c>
      <c r="L104">
        <v>56</v>
      </c>
      <c r="M104">
        <v>2</v>
      </c>
      <c r="N104" t="s">
        <v>175</v>
      </c>
      <c r="O104" t="s">
        <v>151</v>
      </c>
      <c r="P104" t="s">
        <v>164</v>
      </c>
      <c r="Q104" t="s">
        <v>165</v>
      </c>
      <c r="R104" t="s">
        <v>174</v>
      </c>
      <c r="S104" t="s">
        <v>52</v>
      </c>
      <c r="T104" t="s">
        <v>166</v>
      </c>
      <c r="U104">
        <v>1</v>
      </c>
      <c r="V104" t="s">
        <v>132</v>
      </c>
      <c r="W104" t="s">
        <v>100</v>
      </c>
      <c r="X104" t="s">
        <v>80</v>
      </c>
      <c r="Y104">
        <v>2</v>
      </c>
      <c r="Z104">
        <v>1</v>
      </c>
      <c r="AA104">
        <v>48</v>
      </c>
      <c r="AB104">
        <v>3.0000000000000001E-3</v>
      </c>
      <c r="AC104" t="s">
        <v>132</v>
      </c>
      <c r="AD104">
        <v>3</v>
      </c>
      <c r="AE104">
        <v>5</v>
      </c>
      <c r="AF104">
        <v>0</v>
      </c>
      <c r="AG104">
        <v>2.5329999999999999</v>
      </c>
      <c r="AH104">
        <v>0.48299999999999998</v>
      </c>
      <c r="AI104">
        <v>0</v>
      </c>
      <c r="AJ104">
        <v>3.499E-2</v>
      </c>
      <c r="AK104">
        <v>1.0940000000000001</v>
      </c>
      <c r="AL104">
        <f t="shared" si="24"/>
        <v>1.0940000000000001</v>
      </c>
      <c r="AM104">
        <f>VLOOKUP(TRIM(N104),'[1]All - Durations'!$E$2:$H$109,4,FALSE)</f>
        <v>0.97099999999999997</v>
      </c>
      <c r="AN104">
        <f t="shared" si="25"/>
        <v>0.12300000000000011</v>
      </c>
      <c r="AO104">
        <f t="shared" si="26"/>
        <v>0.12300000000000011</v>
      </c>
      <c r="AR104" s="2" t="s">
        <v>348</v>
      </c>
      <c r="AS104" s="11">
        <f>SUM($AS$93*6+$AU$93*6)/12</f>
        <v>0.41666666666666669</v>
      </c>
      <c r="AT104" s="11">
        <f>SUM($AT$93*6+$AV$93*6)/12</f>
        <v>0.5</v>
      </c>
      <c r="AU104" s="11">
        <f>SUM($AW$93*6+$AY$93*6)/12</f>
        <v>0.5</v>
      </c>
      <c r="AV104" s="11">
        <f>SUM($AX$93*6+$AZ$93*6)/12</f>
        <v>0.75</v>
      </c>
      <c r="AW104" s="11">
        <f>SUM($BA$93*6+$BC$93*6)/12</f>
        <v>0.41666666666666669</v>
      </c>
      <c r="AX104" s="11">
        <f>SUM($BB$93*6+$BD$93*6)/12</f>
        <v>0.58333333333333337</v>
      </c>
    </row>
    <row r="105" spans="1:56" x14ac:dyDescent="0.25">
      <c r="A105">
        <v>259</v>
      </c>
      <c r="B105" t="s">
        <v>35</v>
      </c>
      <c r="C105">
        <v>3</v>
      </c>
      <c r="D105" t="s">
        <v>36</v>
      </c>
      <c r="E105">
        <v>1</v>
      </c>
      <c r="F105" t="s">
        <v>37</v>
      </c>
      <c r="G105">
        <v>2</v>
      </c>
      <c r="H105">
        <v>4</v>
      </c>
      <c r="I105">
        <v>1</v>
      </c>
      <c r="J105">
        <v>32</v>
      </c>
      <c r="K105">
        <v>28</v>
      </c>
      <c r="L105">
        <v>14</v>
      </c>
      <c r="M105">
        <v>1</v>
      </c>
      <c r="N105" t="s">
        <v>184</v>
      </c>
      <c r="O105" t="s">
        <v>151</v>
      </c>
      <c r="P105" t="s">
        <v>168</v>
      </c>
      <c r="Q105" t="s">
        <v>169</v>
      </c>
      <c r="R105" t="s">
        <v>154</v>
      </c>
      <c r="S105" t="s">
        <v>92</v>
      </c>
      <c r="T105" t="s">
        <v>141</v>
      </c>
      <c r="U105">
        <v>5</v>
      </c>
      <c r="V105" t="s">
        <v>96</v>
      </c>
      <c r="W105" t="s">
        <v>185</v>
      </c>
      <c r="X105" t="s">
        <v>107</v>
      </c>
      <c r="Y105">
        <v>1</v>
      </c>
      <c r="Z105">
        <v>1</v>
      </c>
      <c r="AA105">
        <v>48</v>
      </c>
      <c r="AB105">
        <v>3.0000000000000001E-3</v>
      </c>
      <c r="AC105" t="s">
        <v>185</v>
      </c>
      <c r="AD105">
        <v>4</v>
      </c>
      <c r="AE105">
        <v>2</v>
      </c>
      <c r="AF105">
        <v>0</v>
      </c>
      <c r="AG105">
        <v>2.859</v>
      </c>
      <c r="AH105">
        <v>0.45</v>
      </c>
      <c r="AI105">
        <v>0</v>
      </c>
      <c r="AJ105">
        <v>0.86499000000000004</v>
      </c>
      <c r="AK105">
        <v>0.86499999999999999</v>
      </c>
      <c r="AL105">
        <f t="shared" si="24"/>
        <v>0.86499999999999999</v>
      </c>
      <c r="AM105">
        <f>VLOOKUP(TRIM(N105),'[1]All - Durations'!$E$2:$H$109,4,FALSE)</f>
        <v>0.91</v>
      </c>
      <c r="AN105">
        <f t="shared" si="25"/>
        <v>-4.500000000000004E-2</v>
      </c>
      <c r="AO105">
        <f t="shared" si="26"/>
        <v>-4.500000000000004E-2</v>
      </c>
      <c r="AR105" s="2" t="s">
        <v>349</v>
      </c>
      <c r="AS105" s="11">
        <f>SUM($AS$94*6+$AU$94*6)/12</f>
        <v>0.33333333333333331</v>
      </c>
      <c r="AT105" s="11">
        <f>SUM($AT$94*6+$AV$94*6)/12</f>
        <v>0.25</v>
      </c>
      <c r="AU105" s="11">
        <f>SUM($AW$94*6+$AY$94*6)/12</f>
        <v>0.41666666666666669</v>
      </c>
      <c r="AV105" s="11">
        <f>SUM($AX$94*6+$AZ$94*6)/12</f>
        <v>0.66666666666666663</v>
      </c>
      <c r="AW105" s="11">
        <f>SUM($BA$94*6+$BC$94*6)/12</f>
        <v>0.5</v>
      </c>
      <c r="AX105" s="11">
        <f>SUM($BB$94*6+$BD$94*6)/12</f>
        <v>0.58333333333333337</v>
      </c>
    </row>
    <row r="106" spans="1:56" x14ac:dyDescent="0.25">
      <c r="A106">
        <v>259</v>
      </c>
      <c r="B106" t="s">
        <v>35</v>
      </c>
      <c r="C106">
        <v>3</v>
      </c>
      <c r="D106" t="s">
        <v>36</v>
      </c>
      <c r="E106">
        <v>1</v>
      </c>
      <c r="F106" t="s">
        <v>37</v>
      </c>
      <c r="G106">
        <v>2</v>
      </c>
      <c r="H106">
        <v>4</v>
      </c>
      <c r="I106">
        <v>1</v>
      </c>
      <c r="J106">
        <v>33</v>
      </c>
      <c r="K106">
        <v>26</v>
      </c>
      <c r="L106">
        <v>60</v>
      </c>
      <c r="M106">
        <v>2</v>
      </c>
      <c r="N106" t="s">
        <v>157</v>
      </c>
      <c r="O106" t="s">
        <v>151</v>
      </c>
      <c r="P106" t="s">
        <v>158</v>
      </c>
      <c r="Q106" t="s">
        <v>159</v>
      </c>
      <c r="R106" t="s">
        <v>160</v>
      </c>
      <c r="S106" t="s">
        <v>43</v>
      </c>
      <c r="T106" t="s">
        <v>161</v>
      </c>
      <c r="U106">
        <v>1</v>
      </c>
      <c r="V106" t="s">
        <v>121</v>
      </c>
      <c r="W106" t="s">
        <v>94</v>
      </c>
      <c r="X106" t="s">
        <v>162</v>
      </c>
      <c r="Y106">
        <v>2</v>
      </c>
      <c r="Z106">
        <v>1</v>
      </c>
      <c r="AA106">
        <v>48</v>
      </c>
      <c r="AB106">
        <v>3.0000000000000001E-3</v>
      </c>
      <c r="AC106" t="s">
        <v>162</v>
      </c>
      <c r="AD106">
        <v>4</v>
      </c>
      <c r="AE106">
        <v>5</v>
      </c>
      <c r="AF106">
        <v>0</v>
      </c>
      <c r="AG106">
        <v>1.7410000000000001</v>
      </c>
      <c r="AH106">
        <v>0.83299999999999996</v>
      </c>
      <c r="AI106">
        <v>0</v>
      </c>
      <c r="AJ106">
        <v>1.14499</v>
      </c>
      <c r="AK106">
        <v>1.145</v>
      </c>
      <c r="AL106">
        <f t="shared" si="24"/>
        <v>1.145</v>
      </c>
      <c r="AM106">
        <f>VLOOKUP(TRIM(N106),'[1]All - Durations'!$E$2:$H$109,4,FALSE)</f>
        <v>1.0549999999999999</v>
      </c>
      <c r="AN106">
        <f t="shared" si="25"/>
        <v>9.000000000000008E-2</v>
      </c>
      <c r="AO106">
        <f t="shared" si="26"/>
        <v>9.000000000000008E-2</v>
      </c>
      <c r="AR106" s="2" t="s">
        <v>350</v>
      </c>
      <c r="AS106" s="11">
        <f>SUM($AS$95*6+$AU$95*6)/12</f>
        <v>0.58333333333333337</v>
      </c>
      <c r="AT106" s="11">
        <f>SUM($AT$95*6+$AV$95*6)/12</f>
        <v>0.5</v>
      </c>
      <c r="AU106" s="11">
        <f>SUM($AW$95*6+$AY$95*6)/12</f>
        <v>0.5</v>
      </c>
      <c r="AV106" s="11">
        <f>SUM($AX$95*6+$AZ$95*6)/12</f>
        <v>0.5</v>
      </c>
      <c r="AW106" s="11">
        <f>SUM($BA$95*6+$BC$95*6)/12</f>
        <v>0.58333333333333337</v>
      </c>
      <c r="AX106" s="11">
        <f>SUM($BB$95*6+$BD$95*6)/12</f>
        <v>0.5</v>
      </c>
    </row>
    <row r="107" spans="1:56" x14ac:dyDescent="0.25">
      <c r="A107">
        <v>259</v>
      </c>
      <c r="B107" t="s">
        <v>35</v>
      </c>
      <c r="C107">
        <v>3</v>
      </c>
      <c r="D107" t="s">
        <v>36</v>
      </c>
      <c r="E107">
        <v>1</v>
      </c>
      <c r="F107" t="s">
        <v>37</v>
      </c>
      <c r="G107">
        <v>2</v>
      </c>
      <c r="H107">
        <v>4</v>
      </c>
      <c r="I107">
        <v>1</v>
      </c>
      <c r="J107">
        <v>34</v>
      </c>
      <c r="K107">
        <v>34</v>
      </c>
      <c r="L107">
        <v>16</v>
      </c>
      <c r="M107">
        <v>1</v>
      </c>
      <c r="N107" t="s">
        <v>173</v>
      </c>
      <c r="O107" t="s">
        <v>151</v>
      </c>
      <c r="P107" t="s">
        <v>152</v>
      </c>
      <c r="Q107" t="s">
        <v>153</v>
      </c>
      <c r="R107" t="s">
        <v>174</v>
      </c>
      <c r="S107" t="s">
        <v>52</v>
      </c>
      <c r="T107" t="s">
        <v>99</v>
      </c>
      <c r="U107">
        <v>4</v>
      </c>
      <c r="V107" t="s">
        <v>155</v>
      </c>
      <c r="W107" t="s">
        <v>66</v>
      </c>
      <c r="X107" t="s">
        <v>81</v>
      </c>
      <c r="Y107">
        <v>1</v>
      </c>
      <c r="Z107">
        <v>1</v>
      </c>
      <c r="AA107">
        <v>48</v>
      </c>
      <c r="AB107">
        <v>3.0000000000000001E-3</v>
      </c>
      <c r="AC107" t="s">
        <v>81</v>
      </c>
      <c r="AD107">
        <v>4</v>
      </c>
      <c r="AE107">
        <v>5</v>
      </c>
      <c r="AF107">
        <v>0</v>
      </c>
      <c r="AG107">
        <v>2.1760000000000002</v>
      </c>
      <c r="AH107">
        <v>0.6</v>
      </c>
      <c r="AI107">
        <v>0</v>
      </c>
      <c r="AJ107">
        <v>5.4989999999999997E-2</v>
      </c>
      <c r="AK107">
        <v>1.0409999999999999</v>
      </c>
      <c r="AL107">
        <f t="shared" si="24"/>
        <v>1.0409999999999999</v>
      </c>
      <c r="AM107">
        <f>VLOOKUP(TRIM(N107),'[1]All - Durations'!$E$2:$H$109,4,FALSE)</f>
        <v>0.996</v>
      </c>
      <c r="AN107">
        <f t="shared" si="25"/>
        <v>4.4999999999999929E-2</v>
      </c>
      <c r="AO107">
        <f t="shared" si="26"/>
        <v>4.4999999999999929E-2</v>
      </c>
      <c r="AR107" s="2" t="s">
        <v>351</v>
      </c>
      <c r="AS107" s="11">
        <f>SUM($AS$96*6+$AU$96*6)/12</f>
        <v>0.41666666666666669</v>
      </c>
      <c r="AT107" s="11">
        <f>SUM($AT$96*6+$AV$96*6)/12</f>
        <v>0.5</v>
      </c>
      <c r="AU107" s="11">
        <f>SUM($AW$96*6+$AY$96*6)/12</f>
        <v>0.41666666666666669</v>
      </c>
      <c r="AV107" s="11">
        <f>SUM($AX$96*6+$AZ$96*6)/12</f>
        <v>0.41666666666666669</v>
      </c>
      <c r="AW107" s="11">
        <f>SUM($BA$96*6+$BC$96*6)/12</f>
        <v>0.5</v>
      </c>
      <c r="AX107" s="11">
        <f>SUM($BB$96*6+$BD$96*6)/12</f>
        <v>0.33333333333333331</v>
      </c>
    </row>
    <row r="108" spans="1:56" x14ac:dyDescent="0.25">
      <c r="A108">
        <v>259</v>
      </c>
      <c r="B108" t="s">
        <v>35</v>
      </c>
      <c r="C108">
        <v>3</v>
      </c>
      <c r="D108" t="s">
        <v>36</v>
      </c>
      <c r="E108">
        <v>1</v>
      </c>
      <c r="F108" t="s">
        <v>37</v>
      </c>
      <c r="G108">
        <v>2</v>
      </c>
      <c r="H108">
        <v>4</v>
      </c>
      <c r="I108">
        <v>1</v>
      </c>
      <c r="J108">
        <v>35</v>
      </c>
      <c r="K108">
        <v>29</v>
      </c>
      <c r="L108">
        <v>49</v>
      </c>
      <c r="M108">
        <v>2</v>
      </c>
      <c r="N108" t="s">
        <v>180</v>
      </c>
      <c r="O108" t="s">
        <v>151</v>
      </c>
      <c r="P108" t="s">
        <v>181</v>
      </c>
      <c r="Q108" t="s">
        <v>182</v>
      </c>
      <c r="R108" t="s">
        <v>154</v>
      </c>
      <c r="S108" t="s">
        <v>92</v>
      </c>
      <c r="T108" t="s">
        <v>183</v>
      </c>
      <c r="U108">
        <v>2</v>
      </c>
      <c r="V108" t="s">
        <v>86</v>
      </c>
      <c r="W108" t="s">
        <v>60</v>
      </c>
      <c r="X108" t="s">
        <v>61</v>
      </c>
      <c r="Y108">
        <v>2</v>
      </c>
      <c r="Z108">
        <v>1</v>
      </c>
      <c r="AA108">
        <v>48</v>
      </c>
      <c r="AB108">
        <v>4.0000000000000001E-3</v>
      </c>
      <c r="AC108" t="s">
        <v>61</v>
      </c>
      <c r="AD108">
        <v>4</v>
      </c>
      <c r="AE108">
        <v>1</v>
      </c>
      <c r="AF108">
        <v>0</v>
      </c>
      <c r="AG108">
        <v>2.57</v>
      </c>
      <c r="AH108">
        <v>0.63300000000000001</v>
      </c>
      <c r="AI108">
        <v>0</v>
      </c>
      <c r="AJ108">
        <v>3.499E-2</v>
      </c>
      <c r="AK108">
        <v>1.0640000000000001</v>
      </c>
      <c r="AL108">
        <f t="shared" si="24"/>
        <v>1.0640000000000001</v>
      </c>
      <c r="AM108">
        <f>VLOOKUP(TRIM(N108),'[1]All - Durations'!$E$2:$H$109,4,FALSE)</f>
        <v>0.81799999999999995</v>
      </c>
      <c r="AN108">
        <f t="shared" si="25"/>
        <v>0.24600000000000011</v>
      </c>
      <c r="AO108">
        <f t="shared" si="26"/>
        <v>0.24600000000000011</v>
      </c>
      <c r="AR108" s="2" t="s">
        <v>352</v>
      </c>
      <c r="AS108" s="11">
        <f>SUM($AS$97*6+$AU$97*6)/12</f>
        <v>0.41666666666666669</v>
      </c>
      <c r="AT108" s="11">
        <f>SUM($AT$97*6+$AV$97*6)/12</f>
        <v>0.58333333333333337</v>
      </c>
      <c r="AU108" s="11">
        <f>SUM($AW$97*6+$AY$97*6)/12</f>
        <v>0.58333333333333337</v>
      </c>
      <c r="AV108" s="11">
        <f>SUM($AX$97*6+$AZ$97*6)/12</f>
        <v>0.5</v>
      </c>
      <c r="AW108" s="11">
        <f>SUM($BA$97*6+$BC$97*6)/12</f>
        <v>0.5</v>
      </c>
      <c r="AX108" s="11">
        <f>SUM($BB$97*6+$BD$97*6)/12</f>
        <v>0.58333333333333337</v>
      </c>
    </row>
    <row r="109" spans="1:56" x14ac:dyDescent="0.25">
      <c r="A109">
        <v>259</v>
      </c>
      <c r="B109" t="s">
        <v>35</v>
      </c>
      <c r="C109">
        <v>3</v>
      </c>
      <c r="D109" t="s">
        <v>36</v>
      </c>
      <c r="E109">
        <v>1</v>
      </c>
      <c r="F109" t="s">
        <v>37</v>
      </c>
      <c r="G109">
        <v>2</v>
      </c>
      <c r="H109">
        <v>4</v>
      </c>
      <c r="I109">
        <v>1</v>
      </c>
      <c r="J109">
        <v>36</v>
      </c>
      <c r="K109">
        <v>33</v>
      </c>
      <c r="L109">
        <v>15</v>
      </c>
      <c r="M109">
        <v>1</v>
      </c>
      <c r="N109" t="s">
        <v>150</v>
      </c>
      <c r="O109" t="s">
        <v>151</v>
      </c>
      <c r="P109" t="s">
        <v>152</v>
      </c>
      <c r="Q109" t="s">
        <v>153</v>
      </c>
      <c r="R109" t="s">
        <v>154</v>
      </c>
      <c r="S109" t="s">
        <v>92</v>
      </c>
      <c r="T109" t="s">
        <v>155</v>
      </c>
      <c r="U109">
        <v>4</v>
      </c>
      <c r="V109" t="s">
        <v>141</v>
      </c>
      <c r="W109" t="s">
        <v>124</v>
      </c>
      <c r="X109" t="s">
        <v>156</v>
      </c>
      <c r="Y109">
        <v>2</v>
      </c>
      <c r="Z109">
        <v>1</v>
      </c>
      <c r="AA109">
        <v>48</v>
      </c>
      <c r="AB109">
        <v>3.0000000000000001E-3</v>
      </c>
      <c r="AC109" t="s">
        <v>124</v>
      </c>
      <c r="AD109">
        <v>4</v>
      </c>
      <c r="AE109">
        <v>5</v>
      </c>
      <c r="AF109">
        <v>0</v>
      </c>
      <c r="AG109">
        <v>1.8180000000000001</v>
      </c>
      <c r="AH109">
        <v>0.63300000000000001</v>
      </c>
      <c r="AI109">
        <v>0</v>
      </c>
      <c r="AJ109">
        <v>1.1249899999999999</v>
      </c>
      <c r="AK109">
        <v>1.125</v>
      </c>
      <c r="AL109">
        <f t="shared" si="24"/>
        <v>1.125</v>
      </c>
      <c r="AM109">
        <f>VLOOKUP(TRIM(N109),'[1]All - Durations'!$E$2:$H$109,4,FALSE)</f>
        <v>0.94299999999999995</v>
      </c>
      <c r="AN109">
        <f t="shared" si="25"/>
        <v>0.18200000000000005</v>
      </c>
      <c r="AO109">
        <f t="shared" si="26"/>
        <v>0.18200000000000005</v>
      </c>
    </row>
    <row r="110" spans="1:56" x14ac:dyDescent="0.25">
      <c r="A110">
        <v>259</v>
      </c>
      <c r="B110" t="s">
        <v>35</v>
      </c>
      <c r="C110">
        <v>3</v>
      </c>
      <c r="D110" t="s">
        <v>36</v>
      </c>
      <c r="E110">
        <v>1</v>
      </c>
      <c r="F110" t="s">
        <v>37</v>
      </c>
      <c r="G110">
        <v>2</v>
      </c>
      <c r="H110">
        <v>4</v>
      </c>
      <c r="I110">
        <v>1</v>
      </c>
      <c r="J110">
        <v>37</v>
      </c>
      <c r="K110">
        <v>45</v>
      </c>
      <c r="L110">
        <v>45</v>
      </c>
      <c r="M110">
        <v>2</v>
      </c>
      <c r="N110" t="s">
        <v>210</v>
      </c>
      <c r="O110" t="s">
        <v>39</v>
      </c>
      <c r="P110" t="s">
        <v>190</v>
      </c>
      <c r="Q110" t="s">
        <v>191</v>
      </c>
      <c r="R110" t="s">
        <v>51</v>
      </c>
      <c r="S110" t="s">
        <v>52</v>
      </c>
      <c r="T110" t="s">
        <v>149</v>
      </c>
      <c r="U110">
        <v>4</v>
      </c>
      <c r="V110" t="s">
        <v>79</v>
      </c>
      <c r="W110" t="s">
        <v>211</v>
      </c>
      <c r="X110" t="s">
        <v>120</v>
      </c>
      <c r="Y110">
        <v>2</v>
      </c>
      <c r="Z110">
        <v>1</v>
      </c>
      <c r="AA110">
        <v>48</v>
      </c>
      <c r="AB110">
        <v>3.0000000000000001E-3</v>
      </c>
      <c r="AC110" t="s">
        <v>211</v>
      </c>
      <c r="AD110">
        <v>4</v>
      </c>
      <c r="AE110">
        <v>5</v>
      </c>
      <c r="AF110">
        <v>0</v>
      </c>
      <c r="AG110">
        <v>2.4049999999999998</v>
      </c>
      <c r="AH110">
        <v>0.55000000000000004</v>
      </c>
      <c r="AI110">
        <v>0</v>
      </c>
      <c r="AJ110">
        <v>1.1249899999999999</v>
      </c>
      <c r="AK110">
        <v>1.125</v>
      </c>
      <c r="AL110">
        <f t="shared" si="24"/>
        <v>1.125</v>
      </c>
      <c r="AM110">
        <f>VLOOKUP(TRIM(N110),'[1]All - Durations'!$E$2:$H$109,4,FALSE)</f>
        <v>1.004</v>
      </c>
      <c r="AN110">
        <f t="shared" si="25"/>
        <v>0.121</v>
      </c>
      <c r="AO110">
        <f t="shared" si="26"/>
        <v>0.121</v>
      </c>
    </row>
    <row r="111" spans="1:56" x14ac:dyDescent="0.25">
      <c r="A111">
        <v>259</v>
      </c>
      <c r="B111" t="s">
        <v>35</v>
      </c>
      <c r="C111">
        <v>3</v>
      </c>
      <c r="D111" t="s">
        <v>36</v>
      </c>
      <c r="E111">
        <v>1</v>
      </c>
      <c r="F111" t="s">
        <v>37</v>
      </c>
      <c r="G111">
        <v>2</v>
      </c>
      <c r="H111">
        <v>4</v>
      </c>
      <c r="I111">
        <v>1</v>
      </c>
      <c r="J111">
        <v>38</v>
      </c>
      <c r="K111">
        <v>48</v>
      </c>
      <c r="L111">
        <v>10</v>
      </c>
      <c r="M111">
        <v>1</v>
      </c>
      <c r="N111" t="s">
        <v>201</v>
      </c>
      <c r="O111" t="s">
        <v>39</v>
      </c>
      <c r="P111" t="s">
        <v>202</v>
      </c>
      <c r="Q111" t="s">
        <v>203</v>
      </c>
      <c r="R111" t="s">
        <v>51</v>
      </c>
      <c r="S111" t="s">
        <v>52</v>
      </c>
      <c r="T111" t="s">
        <v>172</v>
      </c>
      <c r="U111">
        <v>2</v>
      </c>
      <c r="V111" t="s">
        <v>102</v>
      </c>
      <c r="W111" t="s">
        <v>162</v>
      </c>
      <c r="X111" t="s">
        <v>204</v>
      </c>
      <c r="Y111">
        <v>2</v>
      </c>
      <c r="Z111">
        <v>1</v>
      </c>
      <c r="AA111">
        <v>48</v>
      </c>
      <c r="AB111">
        <v>3.0000000000000001E-3</v>
      </c>
      <c r="AC111" t="s">
        <v>204</v>
      </c>
      <c r="AD111">
        <v>4</v>
      </c>
      <c r="AE111">
        <v>1</v>
      </c>
      <c r="AF111">
        <v>0</v>
      </c>
      <c r="AG111">
        <v>2.363</v>
      </c>
      <c r="AH111">
        <v>0.85</v>
      </c>
      <c r="AI111">
        <v>0</v>
      </c>
      <c r="AJ111">
        <v>3.499E-2</v>
      </c>
      <c r="AK111">
        <v>1.117</v>
      </c>
      <c r="AL111">
        <f t="shared" si="24"/>
        <v>1.117</v>
      </c>
      <c r="AM111">
        <f>VLOOKUP(TRIM(N111),'[1]All - Durations'!$E$2:$H$109,4,FALSE)</f>
        <v>0.997</v>
      </c>
      <c r="AN111">
        <f t="shared" si="25"/>
        <v>0.12</v>
      </c>
      <c r="AO111">
        <f t="shared" si="26"/>
        <v>0.12</v>
      </c>
    </row>
    <row r="112" spans="1:56" x14ac:dyDescent="0.25">
      <c r="A112">
        <v>259</v>
      </c>
      <c r="B112" t="s">
        <v>35</v>
      </c>
      <c r="C112">
        <v>3</v>
      </c>
      <c r="D112" t="s">
        <v>36</v>
      </c>
      <c r="E112">
        <v>1</v>
      </c>
      <c r="F112" t="s">
        <v>37</v>
      </c>
      <c r="G112">
        <v>2</v>
      </c>
      <c r="H112">
        <v>4</v>
      </c>
      <c r="I112">
        <v>1</v>
      </c>
      <c r="J112">
        <v>39</v>
      </c>
      <c r="K112">
        <v>44</v>
      </c>
      <c r="L112">
        <v>6</v>
      </c>
      <c r="M112">
        <v>1</v>
      </c>
      <c r="N112" t="s">
        <v>215</v>
      </c>
      <c r="O112" t="s">
        <v>39</v>
      </c>
      <c r="P112" t="s">
        <v>193</v>
      </c>
      <c r="Q112" t="s">
        <v>194</v>
      </c>
      <c r="R112" t="s">
        <v>42</v>
      </c>
      <c r="S112" t="s">
        <v>43</v>
      </c>
      <c r="T112" t="s">
        <v>185</v>
      </c>
      <c r="U112">
        <v>1</v>
      </c>
      <c r="V112" t="s">
        <v>144</v>
      </c>
      <c r="W112" t="s">
        <v>127</v>
      </c>
      <c r="X112" t="s">
        <v>146</v>
      </c>
      <c r="Y112">
        <v>1</v>
      </c>
      <c r="Z112">
        <v>1</v>
      </c>
      <c r="AA112">
        <v>48</v>
      </c>
      <c r="AB112">
        <v>2E-3</v>
      </c>
      <c r="AC112" t="s">
        <v>127</v>
      </c>
      <c r="AD112">
        <v>4</v>
      </c>
      <c r="AE112">
        <v>4</v>
      </c>
      <c r="AF112">
        <v>0</v>
      </c>
      <c r="AG112">
        <v>2.4060000000000001</v>
      </c>
      <c r="AH112">
        <v>0.46600000000000003</v>
      </c>
      <c r="AI112">
        <v>0</v>
      </c>
      <c r="AJ112">
        <v>3.499E-2</v>
      </c>
      <c r="AK112">
        <v>1.0089999999999999</v>
      </c>
      <c r="AL112">
        <f t="shared" si="24"/>
        <v>1.0089999999999999</v>
      </c>
      <c r="AM112">
        <f>VLOOKUP(TRIM(N112),'[1]All - Durations'!$E$2:$H$109,4,FALSE)</f>
        <v>0.88200000000000001</v>
      </c>
      <c r="AN112">
        <f t="shared" si="25"/>
        <v>0.12699999999999989</v>
      </c>
      <c r="AO112">
        <f t="shared" si="26"/>
        <v>0.12699999999999989</v>
      </c>
    </row>
    <row r="113" spans="1:41" x14ac:dyDescent="0.25">
      <c r="A113">
        <v>259</v>
      </c>
      <c r="B113" t="s">
        <v>35</v>
      </c>
      <c r="C113">
        <v>3</v>
      </c>
      <c r="D113" t="s">
        <v>36</v>
      </c>
      <c r="E113">
        <v>1</v>
      </c>
      <c r="F113" t="s">
        <v>37</v>
      </c>
      <c r="G113">
        <v>2</v>
      </c>
      <c r="H113">
        <v>4</v>
      </c>
      <c r="I113">
        <v>1</v>
      </c>
      <c r="J113">
        <v>40</v>
      </c>
      <c r="K113">
        <v>39</v>
      </c>
      <c r="L113">
        <v>7</v>
      </c>
      <c r="M113">
        <v>1</v>
      </c>
      <c r="N113" t="s">
        <v>205</v>
      </c>
      <c r="O113" t="s">
        <v>39</v>
      </c>
      <c r="P113" t="s">
        <v>196</v>
      </c>
      <c r="Q113" t="s">
        <v>197</v>
      </c>
      <c r="R113" t="s">
        <v>58</v>
      </c>
      <c r="S113" t="s">
        <v>59</v>
      </c>
      <c r="T113" t="s">
        <v>156</v>
      </c>
      <c r="U113">
        <v>2</v>
      </c>
      <c r="V113" t="s">
        <v>147</v>
      </c>
      <c r="W113" t="s">
        <v>130</v>
      </c>
      <c r="X113" t="s">
        <v>166</v>
      </c>
      <c r="Y113">
        <v>2</v>
      </c>
      <c r="Z113">
        <v>1</v>
      </c>
      <c r="AA113">
        <v>48</v>
      </c>
      <c r="AB113">
        <v>1.2999999999999999E-2</v>
      </c>
      <c r="AC113" t="s">
        <v>130</v>
      </c>
      <c r="AD113">
        <v>4</v>
      </c>
      <c r="AE113">
        <v>1</v>
      </c>
      <c r="AF113">
        <v>0</v>
      </c>
      <c r="AG113">
        <v>2.5859999999999999</v>
      </c>
      <c r="AH113">
        <v>0.5</v>
      </c>
      <c r="AI113">
        <v>0</v>
      </c>
      <c r="AJ113">
        <v>0.98499000000000003</v>
      </c>
      <c r="AK113">
        <v>0.98499999999999999</v>
      </c>
      <c r="AL113">
        <f t="shared" si="24"/>
        <v>0.98499999999999999</v>
      </c>
      <c r="AM113">
        <f>VLOOKUP(TRIM(N113),'[1]All - Durations'!$E$2:$H$109,4,FALSE)</f>
        <v>0.94499999999999995</v>
      </c>
      <c r="AN113">
        <f t="shared" si="25"/>
        <v>4.0000000000000036E-2</v>
      </c>
      <c r="AO113">
        <f t="shared" si="26"/>
        <v>4.0000000000000036E-2</v>
      </c>
    </row>
    <row r="114" spans="1:41" x14ac:dyDescent="0.25">
      <c r="A114">
        <v>259</v>
      </c>
      <c r="B114" t="s">
        <v>35</v>
      </c>
      <c r="C114">
        <v>3</v>
      </c>
      <c r="D114" t="s">
        <v>36</v>
      </c>
      <c r="E114">
        <v>1</v>
      </c>
      <c r="F114" t="s">
        <v>37</v>
      </c>
      <c r="G114">
        <v>2</v>
      </c>
      <c r="H114">
        <v>4</v>
      </c>
      <c r="I114">
        <v>1</v>
      </c>
      <c r="J114">
        <v>41</v>
      </c>
      <c r="K114">
        <v>46</v>
      </c>
      <c r="L114">
        <v>46</v>
      </c>
      <c r="M114">
        <v>2</v>
      </c>
      <c r="N114" t="s">
        <v>189</v>
      </c>
      <c r="O114" t="s">
        <v>39</v>
      </c>
      <c r="P114" t="s">
        <v>190</v>
      </c>
      <c r="Q114" t="s">
        <v>191</v>
      </c>
      <c r="R114" t="s">
        <v>42</v>
      </c>
      <c r="S114" t="s">
        <v>43</v>
      </c>
      <c r="T114" t="s">
        <v>45</v>
      </c>
      <c r="U114">
        <v>1</v>
      </c>
      <c r="V114" t="s">
        <v>149</v>
      </c>
      <c r="W114" t="s">
        <v>139</v>
      </c>
      <c r="X114" t="s">
        <v>124</v>
      </c>
      <c r="Y114">
        <v>1</v>
      </c>
      <c r="Z114">
        <v>1</v>
      </c>
      <c r="AA114">
        <v>48</v>
      </c>
      <c r="AB114">
        <v>4.0000000000000001E-3</v>
      </c>
      <c r="AC114" t="s">
        <v>139</v>
      </c>
      <c r="AD114">
        <v>4</v>
      </c>
      <c r="AE114">
        <v>2</v>
      </c>
      <c r="AF114">
        <v>0</v>
      </c>
      <c r="AG114">
        <v>1.403</v>
      </c>
      <c r="AH114">
        <v>3.0329999999999999</v>
      </c>
      <c r="AI114">
        <v>0</v>
      </c>
      <c r="AJ114">
        <v>0.15498999999999999</v>
      </c>
      <c r="AK114">
        <v>1.4670000000000001</v>
      </c>
      <c r="AL114">
        <f t="shared" si="24"/>
        <v>1.4670000000000001</v>
      </c>
      <c r="AM114">
        <f>VLOOKUP(TRIM(N114),'[1]All - Durations'!$E$2:$H$109,4,FALSE)</f>
        <v>1.091</v>
      </c>
      <c r="AN114">
        <f t="shared" si="25"/>
        <v>0.37600000000000011</v>
      </c>
      <c r="AO114">
        <f t="shared" si="26"/>
        <v>0.37600000000000011</v>
      </c>
    </row>
    <row r="115" spans="1:41" x14ac:dyDescent="0.25">
      <c r="A115">
        <v>259</v>
      </c>
      <c r="B115" t="s">
        <v>35</v>
      </c>
      <c r="C115">
        <v>3</v>
      </c>
      <c r="D115" t="s">
        <v>36</v>
      </c>
      <c r="E115">
        <v>1</v>
      </c>
      <c r="F115" t="s">
        <v>37</v>
      </c>
      <c r="G115">
        <v>2</v>
      </c>
      <c r="H115">
        <v>4</v>
      </c>
      <c r="I115">
        <v>1</v>
      </c>
      <c r="J115">
        <v>42</v>
      </c>
      <c r="K115">
        <v>41</v>
      </c>
      <c r="L115">
        <v>41</v>
      </c>
      <c r="M115">
        <v>2</v>
      </c>
      <c r="N115" t="s">
        <v>198</v>
      </c>
      <c r="O115" t="s">
        <v>39</v>
      </c>
      <c r="P115" t="s">
        <v>199</v>
      </c>
      <c r="Q115" t="s">
        <v>200</v>
      </c>
      <c r="R115" t="s">
        <v>58</v>
      </c>
      <c r="S115" t="s">
        <v>59</v>
      </c>
      <c r="T115" t="s">
        <v>138</v>
      </c>
      <c r="U115">
        <v>1</v>
      </c>
      <c r="V115" t="s">
        <v>66</v>
      </c>
      <c r="W115" t="s">
        <v>121</v>
      </c>
      <c r="X115" t="s">
        <v>137</v>
      </c>
      <c r="Y115">
        <v>2</v>
      </c>
      <c r="Z115">
        <v>1</v>
      </c>
      <c r="AA115">
        <v>48</v>
      </c>
      <c r="AB115">
        <v>3.0000000000000001E-3</v>
      </c>
      <c r="AC115" t="s">
        <v>138</v>
      </c>
      <c r="AD115">
        <v>1</v>
      </c>
      <c r="AE115">
        <v>1</v>
      </c>
      <c r="AF115">
        <v>1</v>
      </c>
      <c r="AG115">
        <v>2.0619999999999998</v>
      </c>
      <c r="AH115">
        <v>0.55000000000000004</v>
      </c>
      <c r="AI115">
        <v>0</v>
      </c>
      <c r="AJ115">
        <v>1.1249899999999999</v>
      </c>
      <c r="AK115">
        <v>1.125</v>
      </c>
      <c r="AL115">
        <f t="shared" si="24"/>
        <v>1.125</v>
      </c>
      <c r="AM115">
        <f>VLOOKUP(TRIM(N115),'[1]All - Durations'!$E$2:$H$109,4,FALSE)</f>
        <v>0.97199999999999998</v>
      </c>
      <c r="AN115">
        <f t="shared" si="25"/>
        <v>0.15300000000000002</v>
      </c>
      <c r="AO115">
        <f t="shared" si="26"/>
        <v>0.15300000000000002</v>
      </c>
    </row>
    <row r="116" spans="1:41" x14ac:dyDescent="0.25">
      <c r="A116">
        <v>259</v>
      </c>
      <c r="B116" t="s">
        <v>35</v>
      </c>
      <c r="C116">
        <v>3</v>
      </c>
      <c r="D116" t="s">
        <v>36</v>
      </c>
      <c r="E116">
        <v>1</v>
      </c>
      <c r="F116" t="s">
        <v>37</v>
      </c>
      <c r="G116">
        <v>2</v>
      </c>
      <c r="H116">
        <v>4</v>
      </c>
      <c r="I116">
        <v>1</v>
      </c>
      <c r="J116">
        <v>43</v>
      </c>
      <c r="K116">
        <v>40</v>
      </c>
      <c r="L116">
        <v>8</v>
      </c>
      <c r="M116">
        <v>1</v>
      </c>
      <c r="N116" t="s">
        <v>195</v>
      </c>
      <c r="O116" t="s">
        <v>39</v>
      </c>
      <c r="P116" t="s">
        <v>196</v>
      </c>
      <c r="Q116" t="s">
        <v>197</v>
      </c>
      <c r="R116" t="s">
        <v>42</v>
      </c>
      <c r="S116" t="s">
        <v>43</v>
      </c>
      <c r="T116" t="s">
        <v>85</v>
      </c>
      <c r="U116">
        <v>4</v>
      </c>
      <c r="V116" t="s">
        <v>156</v>
      </c>
      <c r="W116" t="s">
        <v>119</v>
      </c>
      <c r="X116" t="s">
        <v>155</v>
      </c>
      <c r="Y116">
        <v>1</v>
      </c>
      <c r="Z116">
        <v>1</v>
      </c>
      <c r="AA116">
        <v>48</v>
      </c>
      <c r="AB116">
        <v>2E-3</v>
      </c>
      <c r="AC116" t="s">
        <v>156</v>
      </c>
      <c r="AD116">
        <v>2</v>
      </c>
      <c r="AE116">
        <v>5</v>
      </c>
      <c r="AF116">
        <v>0</v>
      </c>
      <c r="AG116">
        <v>2.484</v>
      </c>
      <c r="AH116">
        <v>0.48299999999999998</v>
      </c>
      <c r="AI116">
        <v>0</v>
      </c>
      <c r="AJ116">
        <v>7.4990000000000001E-2</v>
      </c>
      <c r="AK116">
        <v>1.0389999999999999</v>
      </c>
      <c r="AL116">
        <f t="shared" si="24"/>
        <v>1.0389999999999999</v>
      </c>
      <c r="AM116">
        <f>VLOOKUP(TRIM(N116),'[1]All - Durations'!$E$2:$H$109,4,FALSE)</f>
        <v>0.92600000000000005</v>
      </c>
      <c r="AN116">
        <f t="shared" si="25"/>
        <v>0.11299999999999988</v>
      </c>
      <c r="AO116">
        <f t="shared" si="26"/>
        <v>0.11299999999999988</v>
      </c>
    </row>
    <row r="117" spans="1:41" x14ac:dyDescent="0.25">
      <c r="A117">
        <v>259</v>
      </c>
      <c r="B117" t="s">
        <v>35</v>
      </c>
      <c r="C117">
        <v>3</v>
      </c>
      <c r="D117" t="s">
        <v>36</v>
      </c>
      <c r="E117">
        <v>1</v>
      </c>
      <c r="F117" t="s">
        <v>37</v>
      </c>
      <c r="G117">
        <v>2</v>
      </c>
      <c r="H117">
        <v>4</v>
      </c>
      <c r="I117">
        <v>1</v>
      </c>
      <c r="J117">
        <v>44</v>
      </c>
      <c r="K117">
        <v>37</v>
      </c>
      <c r="L117">
        <v>11</v>
      </c>
      <c r="M117">
        <v>1</v>
      </c>
      <c r="N117" t="s">
        <v>213</v>
      </c>
      <c r="O117" t="s">
        <v>39</v>
      </c>
      <c r="P117" t="s">
        <v>207</v>
      </c>
      <c r="Q117" t="s">
        <v>208</v>
      </c>
      <c r="R117" t="s">
        <v>91</v>
      </c>
      <c r="S117" t="s">
        <v>92</v>
      </c>
      <c r="T117" t="s">
        <v>106</v>
      </c>
      <c r="U117">
        <v>5</v>
      </c>
      <c r="V117" t="s">
        <v>131</v>
      </c>
      <c r="W117" t="s">
        <v>187</v>
      </c>
      <c r="X117" t="s">
        <v>214</v>
      </c>
      <c r="Y117">
        <v>1</v>
      </c>
      <c r="Z117">
        <v>1</v>
      </c>
      <c r="AA117">
        <v>48</v>
      </c>
      <c r="AB117">
        <v>4.0000000000000001E-3</v>
      </c>
      <c r="AC117" t="s">
        <v>106</v>
      </c>
      <c r="AD117">
        <v>1</v>
      </c>
      <c r="AE117">
        <v>5</v>
      </c>
      <c r="AF117">
        <v>1</v>
      </c>
      <c r="AG117">
        <v>1.3160000000000001</v>
      </c>
      <c r="AH117">
        <v>0.433</v>
      </c>
      <c r="AI117">
        <v>0</v>
      </c>
      <c r="AJ117">
        <v>3.499E-2</v>
      </c>
      <c r="AK117">
        <v>1.036</v>
      </c>
      <c r="AL117">
        <f t="shared" si="24"/>
        <v>1.036</v>
      </c>
      <c r="AM117">
        <f>VLOOKUP(TRIM(N117),'[1]All - Durations'!$E$2:$H$109,4,FALSE)</f>
        <v>0.86599999999999999</v>
      </c>
      <c r="AN117">
        <f t="shared" si="25"/>
        <v>0.17000000000000004</v>
      </c>
      <c r="AO117">
        <f t="shared" si="26"/>
        <v>0.17000000000000004</v>
      </c>
    </row>
    <row r="118" spans="1:41" x14ac:dyDescent="0.25">
      <c r="A118">
        <v>259</v>
      </c>
      <c r="B118" t="s">
        <v>35</v>
      </c>
      <c r="C118">
        <v>3</v>
      </c>
      <c r="D118" t="s">
        <v>36</v>
      </c>
      <c r="E118">
        <v>1</v>
      </c>
      <c r="F118" t="s">
        <v>37</v>
      </c>
      <c r="G118">
        <v>2</v>
      </c>
      <c r="H118">
        <v>4</v>
      </c>
      <c r="I118">
        <v>1</v>
      </c>
      <c r="J118">
        <v>45</v>
      </c>
      <c r="K118">
        <v>43</v>
      </c>
      <c r="L118">
        <v>5</v>
      </c>
      <c r="M118">
        <v>1</v>
      </c>
      <c r="N118" t="s">
        <v>192</v>
      </c>
      <c r="O118" t="s">
        <v>39</v>
      </c>
      <c r="P118" t="s">
        <v>193</v>
      </c>
      <c r="Q118" t="s">
        <v>194</v>
      </c>
      <c r="R118" t="s">
        <v>51</v>
      </c>
      <c r="S118" t="s">
        <v>52</v>
      </c>
      <c r="T118" t="s">
        <v>144</v>
      </c>
      <c r="U118">
        <v>2</v>
      </c>
      <c r="V118" t="s">
        <v>53</v>
      </c>
      <c r="W118" t="s">
        <v>116</v>
      </c>
      <c r="X118" t="s">
        <v>161</v>
      </c>
      <c r="Y118">
        <v>2</v>
      </c>
      <c r="Z118">
        <v>1</v>
      </c>
      <c r="AA118">
        <v>48</v>
      </c>
      <c r="AB118">
        <v>1.2999999999999999E-2</v>
      </c>
      <c r="AC118" t="s">
        <v>116</v>
      </c>
      <c r="AD118">
        <v>4</v>
      </c>
      <c r="AE118">
        <v>1</v>
      </c>
      <c r="AF118">
        <v>0</v>
      </c>
      <c r="AG118">
        <v>2.7789999999999999</v>
      </c>
      <c r="AH118">
        <v>0.75</v>
      </c>
      <c r="AI118">
        <v>0</v>
      </c>
      <c r="AJ118">
        <v>3.499E-2</v>
      </c>
      <c r="AK118">
        <v>1.1499999999999999</v>
      </c>
      <c r="AL118">
        <f t="shared" si="24"/>
        <v>1.1499999999999999</v>
      </c>
      <c r="AM118">
        <f>VLOOKUP(TRIM(N118),'[1]All - Durations'!$E$2:$H$109,4,FALSE)</f>
        <v>1.0669999999999999</v>
      </c>
      <c r="AN118">
        <f t="shared" si="25"/>
        <v>8.2999999999999963E-2</v>
      </c>
      <c r="AO118">
        <f t="shared" si="26"/>
        <v>8.2999999999999963E-2</v>
      </c>
    </row>
    <row r="119" spans="1:41" x14ac:dyDescent="0.25">
      <c r="A119">
        <v>259</v>
      </c>
      <c r="B119" t="s">
        <v>35</v>
      </c>
      <c r="C119">
        <v>3</v>
      </c>
      <c r="D119" t="s">
        <v>36</v>
      </c>
      <c r="E119">
        <v>1</v>
      </c>
      <c r="F119" t="s">
        <v>37</v>
      </c>
      <c r="G119">
        <v>2</v>
      </c>
      <c r="H119">
        <v>4</v>
      </c>
      <c r="I119">
        <v>1</v>
      </c>
      <c r="J119">
        <v>46</v>
      </c>
      <c r="K119">
        <v>42</v>
      </c>
      <c r="L119">
        <v>42</v>
      </c>
      <c r="M119">
        <v>2</v>
      </c>
      <c r="N119" t="s">
        <v>216</v>
      </c>
      <c r="O119" t="s">
        <v>39</v>
      </c>
      <c r="P119" t="s">
        <v>199</v>
      </c>
      <c r="Q119" t="s">
        <v>200</v>
      </c>
      <c r="R119" t="s">
        <v>91</v>
      </c>
      <c r="S119" t="s">
        <v>92</v>
      </c>
      <c r="T119" t="s">
        <v>98</v>
      </c>
      <c r="U119">
        <v>5</v>
      </c>
      <c r="V119" t="s">
        <v>138</v>
      </c>
      <c r="W119" t="s">
        <v>132</v>
      </c>
      <c r="X119" t="s">
        <v>128</v>
      </c>
      <c r="Y119">
        <v>1</v>
      </c>
      <c r="Z119">
        <v>1</v>
      </c>
      <c r="AA119">
        <v>48</v>
      </c>
      <c r="AB119">
        <v>3.0000000000000001E-3</v>
      </c>
      <c r="AC119" t="s">
        <v>138</v>
      </c>
      <c r="AD119">
        <v>2</v>
      </c>
      <c r="AE119">
        <v>1</v>
      </c>
      <c r="AF119">
        <v>0</v>
      </c>
      <c r="AG119">
        <v>2.8159999999999998</v>
      </c>
      <c r="AH119">
        <v>0.433</v>
      </c>
      <c r="AI119">
        <v>0</v>
      </c>
      <c r="AJ119">
        <v>4.4990000000000002E-2</v>
      </c>
      <c r="AK119">
        <v>0.98399999999999999</v>
      </c>
      <c r="AL119">
        <f t="shared" si="24"/>
        <v>0.98399999999999999</v>
      </c>
      <c r="AM119">
        <f>VLOOKUP(TRIM(N119),'[1]All - Durations'!$E$2:$H$109,4,FALSE)</f>
        <v>0.85899999999999999</v>
      </c>
      <c r="AN119">
        <f t="shared" si="25"/>
        <v>0.125</v>
      </c>
      <c r="AO119">
        <f t="shared" si="26"/>
        <v>0.125</v>
      </c>
    </row>
    <row r="120" spans="1:41" x14ac:dyDescent="0.25">
      <c r="A120">
        <v>259</v>
      </c>
      <c r="B120" t="s">
        <v>35</v>
      </c>
      <c r="C120">
        <v>3</v>
      </c>
      <c r="D120" t="s">
        <v>36</v>
      </c>
      <c r="E120">
        <v>1</v>
      </c>
      <c r="F120" t="s">
        <v>37</v>
      </c>
      <c r="G120">
        <v>2</v>
      </c>
      <c r="H120">
        <v>4</v>
      </c>
      <c r="I120">
        <v>1</v>
      </c>
      <c r="J120">
        <v>47</v>
      </c>
      <c r="K120">
        <v>38</v>
      </c>
      <c r="L120">
        <v>12</v>
      </c>
      <c r="M120">
        <v>1</v>
      </c>
      <c r="N120" t="s">
        <v>206</v>
      </c>
      <c r="O120" t="s">
        <v>39</v>
      </c>
      <c r="P120" t="s">
        <v>207</v>
      </c>
      <c r="Q120" t="s">
        <v>208</v>
      </c>
      <c r="R120" t="s">
        <v>42</v>
      </c>
      <c r="S120" t="s">
        <v>43</v>
      </c>
      <c r="T120" t="s">
        <v>131</v>
      </c>
      <c r="U120">
        <v>4</v>
      </c>
      <c r="V120" t="s">
        <v>185</v>
      </c>
      <c r="W120" t="s">
        <v>209</v>
      </c>
      <c r="X120" t="s">
        <v>183</v>
      </c>
      <c r="Y120">
        <v>2</v>
      </c>
      <c r="Z120">
        <v>1</v>
      </c>
      <c r="AA120">
        <v>48</v>
      </c>
      <c r="AB120">
        <v>3.0000000000000001E-3</v>
      </c>
      <c r="AC120" t="s">
        <v>185</v>
      </c>
      <c r="AD120">
        <v>3</v>
      </c>
      <c r="AE120">
        <v>2</v>
      </c>
      <c r="AF120">
        <v>0</v>
      </c>
      <c r="AG120">
        <v>2.8570000000000002</v>
      </c>
      <c r="AH120">
        <v>0.58299999999999996</v>
      </c>
      <c r="AI120">
        <v>0</v>
      </c>
      <c r="AJ120">
        <v>0.91498999999999997</v>
      </c>
      <c r="AK120">
        <v>0.91500000000000004</v>
      </c>
      <c r="AL120">
        <f t="shared" si="24"/>
        <v>0.91500000000000004</v>
      </c>
      <c r="AM120">
        <f>VLOOKUP(TRIM(N120),'[1]All - Durations'!$E$2:$H$109,4,FALSE)</f>
        <v>0.82699999999999996</v>
      </c>
      <c r="AN120">
        <f t="shared" si="25"/>
        <v>8.8000000000000078E-2</v>
      </c>
      <c r="AO120">
        <f t="shared" si="26"/>
        <v>8.8000000000000078E-2</v>
      </c>
    </row>
    <row r="121" spans="1:41" x14ac:dyDescent="0.25">
      <c r="A121">
        <v>259</v>
      </c>
      <c r="B121" t="s">
        <v>35</v>
      </c>
      <c r="C121">
        <v>3</v>
      </c>
      <c r="D121" t="s">
        <v>36</v>
      </c>
      <c r="E121">
        <v>1</v>
      </c>
      <c r="F121" t="s">
        <v>37</v>
      </c>
      <c r="G121">
        <v>2</v>
      </c>
      <c r="H121">
        <v>4</v>
      </c>
      <c r="I121">
        <v>1</v>
      </c>
      <c r="J121">
        <v>48</v>
      </c>
      <c r="K121">
        <v>47</v>
      </c>
      <c r="L121">
        <v>9</v>
      </c>
      <c r="M121">
        <v>1</v>
      </c>
      <c r="N121" t="s">
        <v>212</v>
      </c>
      <c r="O121" t="s">
        <v>39</v>
      </c>
      <c r="P121" t="s">
        <v>202</v>
      </c>
      <c r="Q121" t="s">
        <v>203</v>
      </c>
      <c r="R121" t="s">
        <v>58</v>
      </c>
      <c r="S121" t="s">
        <v>59</v>
      </c>
      <c r="T121" t="s">
        <v>147</v>
      </c>
      <c r="U121">
        <v>2</v>
      </c>
      <c r="V121" t="s">
        <v>172</v>
      </c>
      <c r="W121" t="s">
        <v>141</v>
      </c>
      <c r="X121" t="s">
        <v>179</v>
      </c>
      <c r="Y121">
        <v>1</v>
      </c>
      <c r="Z121">
        <v>1</v>
      </c>
      <c r="AA121">
        <v>48</v>
      </c>
      <c r="AB121">
        <v>2E-3</v>
      </c>
      <c r="AC121" t="s">
        <v>172</v>
      </c>
      <c r="AD121">
        <v>2</v>
      </c>
      <c r="AE121">
        <v>4</v>
      </c>
      <c r="AF121">
        <v>0</v>
      </c>
      <c r="AG121">
        <v>2.3969999999999998</v>
      </c>
      <c r="AH121">
        <v>0.5</v>
      </c>
      <c r="AI121">
        <v>0</v>
      </c>
      <c r="AJ121">
        <v>1.0349900000000001</v>
      </c>
      <c r="AK121">
        <v>1.0349999999999999</v>
      </c>
      <c r="AL121">
        <f t="shared" si="24"/>
        <v>1.0349999999999999</v>
      </c>
      <c r="AM121">
        <f>VLOOKUP(TRIM(N121),'[1]All - Durations'!$E$2:$H$109,4,FALSE)</f>
        <v>0.93500000000000005</v>
      </c>
      <c r="AN121">
        <f t="shared" si="25"/>
        <v>9.9999999999999867E-2</v>
      </c>
      <c r="AO121">
        <f t="shared" si="26"/>
        <v>9.9999999999999867E-2</v>
      </c>
    </row>
    <row r="122" spans="1:41" x14ac:dyDescent="0.25">
      <c r="A122">
        <v>259</v>
      </c>
      <c r="B122" t="s">
        <v>35</v>
      </c>
      <c r="C122">
        <v>3</v>
      </c>
      <c r="D122" t="s">
        <v>36</v>
      </c>
      <c r="E122">
        <v>1</v>
      </c>
      <c r="F122" t="s">
        <v>37</v>
      </c>
      <c r="G122">
        <v>2</v>
      </c>
      <c r="H122">
        <v>4</v>
      </c>
      <c r="I122">
        <v>1</v>
      </c>
      <c r="J122">
        <v>49</v>
      </c>
      <c r="K122">
        <v>54</v>
      </c>
      <c r="L122">
        <v>66</v>
      </c>
      <c r="M122">
        <v>2</v>
      </c>
      <c r="N122" t="s">
        <v>229</v>
      </c>
      <c r="O122" t="s">
        <v>113</v>
      </c>
      <c r="P122" t="s">
        <v>114</v>
      </c>
      <c r="Q122" t="s">
        <v>226</v>
      </c>
      <c r="R122" t="s">
        <v>114</v>
      </c>
      <c r="S122" t="s">
        <v>92</v>
      </c>
      <c r="T122" t="s">
        <v>209</v>
      </c>
      <c r="U122">
        <v>1</v>
      </c>
      <c r="V122" t="s">
        <v>87</v>
      </c>
      <c r="W122" t="s">
        <v>161</v>
      </c>
      <c r="X122" t="s">
        <v>102</v>
      </c>
      <c r="Y122">
        <v>1</v>
      </c>
      <c r="Z122">
        <v>1</v>
      </c>
      <c r="AA122">
        <v>48</v>
      </c>
      <c r="AB122">
        <v>2E-3</v>
      </c>
      <c r="AC122" t="s">
        <v>209</v>
      </c>
      <c r="AD122">
        <v>1</v>
      </c>
      <c r="AE122">
        <v>1</v>
      </c>
      <c r="AF122">
        <v>1</v>
      </c>
      <c r="AG122">
        <v>2.9409999999999998</v>
      </c>
      <c r="AH122">
        <v>0.53300000000000003</v>
      </c>
      <c r="AI122">
        <v>0</v>
      </c>
      <c r="AJ122">
        <v>3.499E-2</v>
      </c>
      <c r="AK122">
        <v>0.94799999999999995</v>
      </c>
      <c r="AL122">
        <f t="shared" si="24"/>
        <v>0.94799999999999995</v>
      </c>
      <c r="AM122">
        <f>VLOOKUP(TRIM(N122),'[1]All - Durations'!$E$2:$H$109,4,FALSE)</f>
        <v>0.88600000000000001</v>
      </c>
      <c r="AN122">
        <f t="shared" si="25"/>
        <v>6.1999999999999944E-2</v>
      </c>
      <c r="AO122">
        <f t="shared" si="26"/>
        <v>6.1999999999999944E-2</v>
      </c>
    </row>
    <row r="123" spans="1:41" x14ac:dyDescent="0.25">
      <c r="A123">
        <v>259</v>
      </c>
      <c r="B123" t="s">
        <v>35</v>
      </c>
      <c r="C123">
        <v>3</v>
      </c>
      <c r="D123" t="s">
        <v>36</v>
      </c>
      <c r="E123">
        <v>1</v>
      </c>
      <c r="F123" t="s">
        <v>37</v>
      </c>
      <c r="G123">
        <v>2</v>
      </c>
      <c r="H123">
        <v>4</v>
      </c>
      <c r="I123">
        <v>1</v>
      </c>
      <c r="J123">
        <v>50</v>
      </c>
      <c r="K123">
        <v>59</v>
      </c>
      <c r="L123">
        <v>33</v>
      </c>
      <c r="M123">
        <v>1</v>
      </c>
      <c r="N123" t="s">
        <v>223</v>
      </c>
      <c r="O123" t="s">
        <v>113</v>
      </c>
      <c r="P123" t="s">
        <v>114</v>
      </c>
      <c r="Q123" t="s">
        <v>224</v>
      </c>
      <c r="R123" t="s">
        <v>114</v>
      </c>
      <c r="S123" t="s">
        <v>59</v>
      </c>
      <c r="T123" t="s">
        <v>56</v>
      </c>
      <c r="U123">
        <v>1</v>
      </c>
      <c r="V123" t="s">
        <v>95</v>
      </c>
      <c r="W123" t="s">
        <v>44</v>
      </c>
      <c r="X123" t="s">
        <v>68</v>
      </c>
      <c r="Y123">
        <v>2</v>
      </c>
      <c r="Z123">
        <v>1</v>
      </c>
      <c r="AA123">
        <v>48</v>
      </c>
      <c r="AB123">
        <v>3.0000000000000001E-3</v>
      </c>
      <c r="AC123" t="s">
        <v>68</v>
      </c>
      <c r="AD123">
        <v>4</v>
      </c>
      <c r="AE123">
        <v>5</v>
      </c>
      <c r="AF123">
        <v>0</v>
      </c>
      <c r="AG123">
        <v>2.3929999999999998</v>
      </c>
      <c r="AH123">
        <v>0.75</v>
      </c>
      <c r="AI123">
        <v>0</v>
      </c>
      <c r="AJ123">
        <v>1.15499</v>
      </c>
      <c r="AK123">
        <v>1.155</v>
      </c>
      <c r="AL123">
        <f t="shared" si="24"/>
        <v>1.155</v>
      </c>
      <c r="AM123">
        <f>VLOOKUP(TRIM(N123),'[1]All - Durations'!$E$2:$H$109,4,FALSE)</f>
        <v>1.0089999999999999</v>
      </c>
      <c r="AN123">
        <f t="shared" si="25"/>
        <v>0.14600000000000013</v>
      </c>
      <c r="AO123">
        <f t="shared" si="26"/>
        <v>0.14600000000000013</v>
      </c>
    </row>
    <row r="124" spans="1:41" x14ac:dyDescent="0.25">
      <c r="A124">
        <v>259</v>
      </c>
      <c r="B124" t="s">
        <v>35</v>
      </c>
      <c r="C124">
        <v>3</v>
      </c>
      <c r="D124" t="s">
        <v>36</v>
      </c>
      <c r="E124">
        <v>1</v>
      </c>
      <c r="F124" t="s">
        <v>37</v>
      </c>
      <c r="G124">
        <v>2</v>
      </c>
      <c r="H124">
        <v>4</v>
      </c>
      <c r="I124">
        <v>1</v>
      </c>
      <c r="J124">
        <v>51</v>
      </c>
      <c r="K124">
        <v>53</v>
      </c>
      <c r="L124">
        <v>65</v>
      </c>
      <c r="M124">
        <v>2</v>
      </c>
      <c r="N124" t="s">
        <v>225</v>
      </c>
      <c r="O124" t="s">
        <v>113</v>
      </c>
      <c r="P124" t="s">
        <v>114</v>
      </c>
      <c r="Q124" t="s">
        <v>226</v>
      </c>
      <c r="R124" t="s">
        <v>114</v>
      </c>
      <c r="S124" t="s">
        <v>59</v>
      </c>
      <c r="T124" t="s">
        <v>87</v>
      </c>
      <c r="U124">
        <v>5</v>
      </c>
      <c r="V124" t="s">
        <v>162</v>
      </c>
      <c r="W124" t="s">
        <v>80</v>
      </c>
      <c r="X124" t="s">
        <v>187</v>
      </c>
      <c r="Y124">
        <v>2</v>
      </c>
      <c r="Z124">
        <v>1</v>
      </c>
      <c r="AA124">
        <v>48</v>
      </c>
      <c r="AB124">
        <v>2E-3</v>
      </c>
      <c r="AC124" t="s">
        <v>162</v>
      </c>
      <c r="AD124">
        <v>3</v>
      </c>
      <c r="AE124">
        <v>4</v>
      </c>
      <c r="AF124">
        <v>0</v>
      </c>
      <c r="AG124">
        <v>2.496</v>
      </c>
      <c r="AH124">
        <v>0.63300000000000001</v>
      </c>
      <c r="AI124">
        <v>0</v>
      </c>
      <c r="AJ124">
        <v>3.499E-2</v>
      </c>
      <c r="AK124">
        <v>1.081</v>
      </c>
      <c r="AL124">
        <f t="shared" si="24"/>
        <v>1.081</v>
      </c>
      <c r="AM124">
        <f>VLOOKUP(TRIM(N124),'[1]All - Durations'!$E$2:$H$109,4,FALSE)</f>
        <v>0.97099999999999997</v>
      </c>
      <c r="AN124">
        <f t="shared" si="25"/>
        <v>0.10999999999999999</v>
      </c>
      <c r="AO124">
        <f t="shared" si="26"/>
        <v>0.10999999999999999</v>
      </c>
    </row>
    <row r="125" spans="1:41" x14ac:dyDescent="0.25">
      <c r="A125">
        <v>259</v>
      </c>
      <c r="B125" t="s">
        <v>35</v>
      </c>
      <c r="C125">
        <v>3</v>
      </c>
      <c r="D125" t="s">
        <v>36</v>
      </c>
      <c r="E125">
        <v>1</v>
      </c>
      <c r="F125" t="s">
        <v>37</v>
      </c>
      <c r="G125">
        <v>2</v>
      </c>
      <c r="H125">
        <v>4</v>
      </c>
      <c r="I125">
        <v>1</v>
      </c>
      <c r="J125">
        <v>52</v>
      </c>
      <c r="K125">
        <v>49</v>
      </c>
      <c r="L125">
        <v>35</v>
      </c>
      <c r="M125">
        <v>1</v>
      </c>
      <c r="N125" t="s">
        <v>219</v>
      </c>
      <c r="O125" t="s">
        <v>113</v>
      </c>
      <c r="P125" t="s">
        <v>114</v>
      </c>
      <c r="Q125" t="s">
        <v>220</v>
      </c>
      <c r="R125" t="s">
        <v>114</v>
      </c>
      <c r="S125" t="s">
        <v>92</v>
      </c>
      <c r="T125" t="s">
        <v>179</v>
      </c>
      <c r="U125">
        <v>1</v>
      </c>
      <c r="V125" t="s">
        <v>209</v>
      </c>
      <c r="W125" t="s">
        <v>67</v>
      </c>
      <c r="X125" t="s">
        <v>55</v>
      </c>
      <c r="Y125">
        <v>2</v>
      </c>
      <c r="Z125">
        <v>1</v>
      </c>
      <c r="AA125">
        <v>48</v>
      </c>
      <c r="AB125">
        <v>3.0000000000000001E-3</v>
      </c>
      <c r="AC125" t="s">
        <v>67</v>
      </c>
      <c r="AD125">
        <v>4</v>
      </c>
      <c r="AE125">
        <v>4</v>
      </c>
      <c r="AF125">
        <v>0</v>
      </c>
      <c r="AG125">
        <v>2.6</v>
      </c>
      <c r="AH125">
        <v>0.53300000000000003</v>
      </c>
      <c r="AI125">
        <v>0</v>
      </c>
      <c r="AJ125">
        <v>3.499E-2</v>
      </c>
      <c r="AK125">
        <v>1.125</v>
      </c>
      <c r="AL125">
        <f t="shared" si="24"/>
        <v>1.125</v>
      </c>
      <c r="AM125">
        <f>VLOOKUP(TRIM(N125),'[1]All - Durations'!$E$2:$H$109,4,FALSE)</f>
        <v>0.99299999999999999</v>
      </c>
      <c r="AN125">
        <f t="shared" si="25"/>
        <v>0.13200000000000001</v>
      </c>
      <c r="AO125">
        <f t="shared" si="26"/>
        <v>0.13200000000000001</v>
      </c>
    </row>
    <row r="126" spans="1:41" x14ac:dyDescent="0.25">
      <c r="A126">
        <v>259</v>
      </c>
      <c r="B126" t="s">
        <v>35</v>
      </c>
      <c r="C126">
        <v>3</v>
      </c>
      <c r="D126" t="s">
        <v>36</v>
      </c>
      <c r="E126">
        <v>1</v>
      </c>
      <c r="F126" t="s">
        <v>37</v>
      </c>
      <c r="G126">
        <v>2</v>
      </c>
      <c r="H126">
        <v>4</v>
      </c>
      <c r="I126">
        <v>1</v>
      </c>
      <c r="J126">
        <v>53</v>
      </c>
      <c r="K126">
        <v>60</v>
      </c>
      <c r="L126">
        <v>34</v>
      </c>
      <c r="M126">
        <v>1</v>
      </c>
      <c r="N126" t="s">
        <v>228</v>
      </c>
      <c r="O126" t="s">
        <v>113</v>
      </c>
      <c r="P126" t="s">
        <v>114</v>
      </c>
      <c r="Q126" t="s">
        <v>224</v>
      </c>
      <c r="R126" t="s">
        <v>114</v>
      </c>
      <c r="S126" t="s">
        <v>52</v>
      </c>
      <c r="T126" t="s">
        <v>61</v>
      </c>
      <c r="U126">
        <v>2</v>
      </c>
      <c r="V126" t="s">
        <v>56</v>
      </c>
      <c r="W126" t="s">
        <v>93</v>
      </c>
      <c r="X126" t="s">
        <v>110</v>
      </c>
      <c r="Y126">
        <v>1</v>
      </c>
      <c r="Z126">
        <v>1</v>
      </c>
      <c r="AA126">
        <v>48</v>
      </c>
      <c r="AB126">
        <v>3.0000000000000001E-3</v>
      </c>
      <c r="AC126" t="s">
        <v>93</v>
      </c>
      <c r="AD126">
        <v>4</v>
      </c>
      <c r="AE126">
        <v>1</v>
      </c>
      <c r="AF126">
        <v>0</v>
      </c>
      <c r="AG126">
        <v>1.702</v>
      </c>
      <c r="AH126">
        <v>0.63300000000000001</v>
      </c>
      <c r="AI126">
        <v>0</v>
      </c>
      <c r="AJ126">
        <v>1.0249900000000001</v>
      </c>
      <c r="AK126">
        <v>1.0249999999999999</v>
      </c>
      <c r="AL126">
        <f t="shared" si="24"/>
        <v>1.0249999999999999</v>
      </c>
      <c r="AM126">
        <f>VLOOKUP(TRIM(N126),'[1]All - Durations'!$E$2:$H$109,4,FALSE)</f>
        <v>0.93300000000000005</v>
      </c>
      <c r="AN126">
        <f t="shared" si="25"/>
        <v>9.199999999999986E-2</v>
      </c>
      <c r="AO126">
        <f t="shared" si="26"/>
        <v>9.199999999999986E-2</v>
      </c>
    </row>
    <row r="127" spans="1:41" x14ac:dyDescent="0.25">
      <c r="A127">
        <v>259</v>
      </c>
      <c r="B127" t="s">
        <v>35</v>
      </c>
      <c r="C127">
        <v>3</v>
      </c>
      <c r="D127" t="s">
        <v>36</v>
      </c>
      <c r="E127">
        <v>1</v>
      </c>
      <c r="F127" t="s">
        <v>37</v>
      </c>
      <c r="G127">
        <v>2</v>
      </c>
      <c r="H127">
        <v>4</v>
      </c>
      <c r="I127">
        <v>1</v>
      </c>
      <c r="J127">
        <v>54</v>
      </c>
      <c r="K127">
        <v>56</v>
      </c>
      <c r="L127">
        <v>30</v>
      </c>
      <c r="M127">
        <v>1</v>
      </c>
      <c r="N127" t="s">
        <v>233</v>
      </c>
      <c r="O127" t="s">
        <v>113</v>
      </c>
      <c r="P127" t="s">
        <v>114</v>
      </c>
      <c r="Q127" t="s">
        <v>218</v>
      </c>
      <c r="R127" t="s">
        <v>114</v>
      </c>
      <c r="S127" t="s">
        <v>43</v>
      </c>
      <c r="T127" t="s">
        <v>107</v>
      </c>
      <c r="U127">
        <v>2</v>
      </c>
      <c r="V127" t="s">
        <v>214</v>
      </c>
      <c r="W127" t="s">
        <v>156</v>
      </c>
      <c r="X127" t="s">
        <v>103</v>
      </c>
      <c r="Y127">
        <v>1</v>
      </c>
      <c r="Z127">
        <v>1</v>
      </c>
      <c r="AA127">
        <v>48</v>
      </c>
      <c r="AB127">
        <v>3.0000000000000001E-3</v>
      </c>
      <c r="AC127" t="s">
        <v>107</v>
      </c>
      <c r="AD127">
        <v>1</v>
      </c>
      <c r="AE127">
        <v>2</v>
      </c>
      <c r="AF127">
        <v>1</v>
      </c>
      <c r="AG127">
        <v>3.3639999999999999</v>
      </c>
      <c r="AH127">
        <v>0.6</v>
      </c>
      <c r="AI127">
        <v>0</v>
      </c>
      <c r="AJ127">
        <v>1.0449900000000001</v>
      </c>
      <c r="AK127">
        <v>1.0449999999999999</v>
      </c>
      <c r="AL127">
        <f t="shared" si="24"/>
        <v>1.0449999999999999</v>
      </c>
      <c r="AM127">
        <f>VLOOKUP(TRIM(N127),'[1]All - Durations'!$E$2:$H$109,4,FALSE)</f>
        <v>0.85599999999999998</v>
      </c>
      <c r="AN127">
        <f t="shared" si="25"/>
        <v>0.18899999999999995</v>
      </c>
      <c r="AO127">
        <f t="shared" si="26"/>
        <v>0.18899999999999995</v>
      </c>
    </row>
    <row r="128" spans="1:41" x14ac:dyDescent="0.25">
      <c r="A128">
        <v>259</v>
      </c>
      <c r="B128" t="s">
        <v>35</v>
      </c>
      <c r="C128">
        <v>3</v>
      </c>
      <c r="D128" t="s">
        <v>36</v>
      </c>
      <c r="E128">
        <v>1</v>
      </c>
      <c r="F128" t="s">
        <v>37</v>
      </c>
      <c r="G128">
        <v>2</v>
      </c>
      <c r="H128">
        <v>4</v>
      </c>
      <c r="I128">
        <v>1</v>
      </c>
      <c r="J128">
        <v>55</v>
      </c>
      <c r="K128">
        <v>52</v>
      </c>
      <c r="L128">
        <v>32</v>
      </c>
      <c r="M128">
        <v>1</v>
      </c>
      <c r="N128" t="s">
        <v>234</v>
      </c>
      <c r="O128" t="s">
        <v>113</v>
      </c>
      <c r="P128" t="s">
        <v>114</v>
      </c>
      <c r="Q128" t="s">
        <v>231</v>
      </c>
      <c r="R128" t="s">
        <v>114</v>
      </c>
      <c r="S128" t="s">
        <v>43</v>
      </c>
      <c r="T128" t="s">
        <v>111</v>
      </c>
      <c r="U128">
        <v>2</v>
      </c>
      <c r="V128" t="s">
        <v>81</v>
      </c>
      <c r="W128" t="s">
        <v>62</v>
      </c>
      <c r="X128" t="s">
        <v>98</v>
      </c>
      <c r="Y128">
        <v>2</v>
      </c>
      <c r="Z128">
        <v>1</v>
      </c>
      <c r="AA128">
        <v>48</v>
      </c>
      <c r="AB128">
        <v>3.0000000000000001E-3</v>
      </c>
      <c r="AC128" t="s">
        <v>81</v>
      </c>
      <c r="AD128">
        <v>3</v>
      </c>
      <c r="AE128">
        <v>5</v>
      </c>
      <c r="AF128">
        <v>0</v>
      </c>
      <c r="AG128">
        <v>3.141</v>
      </c>
      <c r="AH128">
        <v>0.86599999999999999</v>
      </c>
      <c r="AI128">
        <v>0</v>
      </c>
      <c r="AJ128">
        <v>1.00499</v>
      </c>
      <c r="AK128">
        <v>1.0049999999999999</v>
      </c>
      <c r="AL128">
        <f t="shared" si="24"/>
        <v>1.0049999999999999</v>
      </c>
      <c r="AM128">
        <f>VLOOKUP(TRIM(N128),'[1]All - Durations'!$E$2:$H$109,4,FALSE)</f>
        <v>0.9</v>
      </c>
      <c r="AN128">
        <f t="shared" si="25"/>
        <v>0.10499999999999987</v>
      </c>
      <c r="AO128">
        <f t="shared" si="26"/>
        <v>0.10499999999999987</v>
      </c>
    </row>
    <row r="129" spans="1:41" x14ac:dyDescent="0.25">
      <c r="A129">
        <v>259</v>
      </c>
      <c r="B129" t="s">
        <v>35</v>
      </c>
      <c r="C129">
        <v>3</v>
      </c>
      <c r="D129" t="s">
        <v>36</v>
      </c>
      <c r="E129">
        <v>1</v>
      </c>
      <c r="F129" t="s">
        <v>37</v>
      </c>
      <c r="G129">
        <v>2</v>
      </c>
      <c r="H129">
        <v>4</v>
      </c>
      <c r="I129">
        <v>1</v>
      </c>
      <c r="J129">
        <v>56</v>
      </c>
      <c r="K129">
        <v>58</v>
      </c>
      <c r="L129">
        <v>70</v>
      </c>
      <c r="M129">
        <v>2</v>
      </c>
      <c r="N129" t="s">
        <v>232</v>
      </c>
      <c r="O129" t="s">
        <v>113</v>
      </c>
      <c r="P129" t="s">
        <v>114</v>
      </c>
      <c r="Q129" t="s">
        <v>222</v>
      </c>
      <c r="R129" t="s">
        <v>114</v>
      </c>
      <c r="S129" t="s">
        <v>43</v>
      </c>
      <c r="T129" t="s">
        <v>81</v>
      </c>
      <c r="U129">
        <v>1</v>
      </c>
      <c r="V129" t="s">
        <v>69</v>
      </c>
      <c r="W129" t="s">
        <v>183</v>
      </c>
      <c r="X129" t="s">
        <v>60</v>
      </c>
      <c r="Y129">
        <v>1</v>
      </c>
      <c r="Z129">
        <v>1</v>
      </c>
      <c r="AA129">
        <v>48</v>
      </c>
      <c r="AB129">
        <v>4.0000000000000001E-3</v>
      </c>
      <c r="AC129" t="s">
        <v>81</v>
      </c>
      <c r="AD129">
        <v>1</v>
      </c>
      <c r="AE129">
        <v>1</v>
      </c>
      <c r="AF129">
        <v>1</v>
      </c>
      <c r="AG129">
        <v>3.1669999999999998</v>
      </c>
      <c r="AH129">
        <v>0.78300000000000003</v>
      </c>
      <c r="AI129">
        <v>0</v>
      </c>
      <c r="AJ129">
        <v>3.499E-2</v>
      </c>
      <c r="AK129">
        <v>1.319</v>
      </c>
      <c r="AL129">
        <f t="shared" si="24"/>
        <v>1.319</v>
      </c>
      <c r="AM129">
        <f>VLOOKUP(TRIM(N129),'[1]All - Durations'!$E$2:$H$109,4,FALSE)</f>
        <v>1.0269999999999999</v>
      </c>
      <c r="AN129">
        <f t="shared" si="25"/>
        <v>0.29200000000000004</v>
      </c>
      <c r="AO129">
        <f t="shared" si="26"/>
        <v>0.29200000000000004</v>
      </c>
    </row>
    <row r="130" spans="1:41" x14ac:dyDescent="0.25">
      <c r="A130">
        <v>259</v>
      </c>
      <c r="B130" t="s">
        <v>35</v>
      </c>
      <c r="C130">
        <v>3</v>
      </c>
      <c r="D130" t="s">
        <v>36</v>
      </c>
      <c r="E130">
        <v>1</v>
      </c>
      <c r="F130" t="s">
        <v>37</v>
      </c>
      <c r="G130">
        <v>2</v>
      </c>
      <c r="H130">
        <v>4</v>
      </c>
      <c r="I130">
        <v>1</v>
      </c>
      <c r="J130">
        <v>57</v>
      </c>
      <c r="K130">
        <v>51</v>
      </c>
      <c r="L130">
        <v>31</v>
      </c>
      <c r="M130">
        <v>1</v>
      </c>
      <c r="N130" t="s">
        <v>230</v>
      </c>
      <c r="O130" t="s">
        <v>113</v>
      </c>
      <c r="P130" t="s">
        <v>114</v>
      </c>
      <c r="Q130" t="s">
        <v>231</v>
      </c>
      <c r="R130" t="s">
        <v>114</v>
      </c>
      <c r="S130" t="s">
        <v>59</v>
      </c>
      <c r="T130" t="s">
        <v>162</v>
      </c>
      <c r="U130">
        <v>2</v>
      </c>
      <c r="V130" t="s">
        <v>111</v>
      </c>
      <c r="W130" t="s">
        <v>166</v>
      </c>
      <c r="X130" t="s">
        <v>79</v>
      </c>
      <c r="Y130">
        <v>1</v>
      </c>
      <c r="Z130">
        <v>1</v>
      </c>
      <c r="AA130">
        <v>48</v>
      </c>
      <c r="AB130">
        <v>3.0000000000000001E-3</v>
      </c>
      <c r="AC130" t="s">
        <v>166</v>
      </c>
      <c r="AD130">
        <v>4</v>
      </c>
      <c r="AE130">
        <v>5</v>
      </c>
      <c r="AF130">
        <v>0</v>
      </c>
      <c r="AG130">
        <v>3.226</v>
      </c>
      <c r="AH130">
        <v>0.53300000000000003</v>
      </c>
      <c r="AI130">
        <v>0</v>
      </c>
      <c r="AJ130">
        <v>3.499E-2</v>
      </c>
      <c r="AK130">
        <v>1.1779999999999999</v>
      </c>
      <c r="AL130">
        <f t="shared" si="24"/>
        <v>1.1779999999999999</v>
      </c>
      <c r="AM130">
        <f>VLOOKUP(TRIM(N130),'[1]All - Durations'!$E$2:$H$109,4,FALSE)</f>
        <v>0.92100000000000004</v>
      </c>
      <c r="AN130">
        <f t="shared" si="25"/>
        <v>0.2569999999999999</v>
      </c>
      <c r="AO130">
        <f t="shared" si="26"/>
        <v>0.2569999999999999</v>
      </c>
    </row>
    <row r="131" spans="1:41" x14ac:dyDescent="0.25">
      <c r="A131">
        <v>259</v>
      </c>
      <c r="B131" t="s">
        <v>35</v>
      </c>
      <c r="C131">
        <v>3</v>
      </c>
      <c r="D131" t="s">
        <v>36</v>
      </c>
      <c r="E131">
        <v>1</v>
      </c>
      <c r="F131" t="s">
        <v>37</v>
      </c>
      <c r="G131">
        <v>2</v>
      </c>
      <c r="H131">
        <v>4</v>
      </c>
      <c r="I131">
        <v>1</v>
      </c>
      <c r="J131">
        <v>58</v>
      </c>
      <c r="K131">
        <v>55</v>
      </c>
      <c r="L131">
        <v>29</v>
      </c>
      <c r="M131">
        <v>1</v>
      </c>
      <c r="N131" t="s">
        <v>217</v>
      </c>
      <c r="O131" t="s">
        <v>113</v>
      </c>
      <c r="P131" t="s">
        <v>114</v>
      </c>
      <c r="Q131" t="s">
        <v>218</v>
      </c>
      <c r="R131" t="s">
        <v>114</v>
      </c>
      <c r="S131" t="s">
        <v>52</v>
      </c>
      <c r="T131" t="s">
        <v>214</v>
      </c>
      <c r="U131">
        <v>2</v>
      </c>
      <c r="V131" t="s">
        <v>74</v>
      </c>
      <c r="W131" t="s">
        <v>204</v>
      </c>
      <c r="X131" t="s">
        <v>94</v>
      </c>
      <c r="Y131">
        <v>2</v>
      </c>
      <c r="Z131">
        <v>1</v>
      </c>
      <c r="AA131">
        <v>48</v>
      </c>
      <c r="AB131">
        <v>3.0000000000000001E-3</v>
      </c>
      <c r="AC131" t="s">
        <v>204</v>
      </c>
      <c r="AD131">
        <v>4</v>
      </c>
      <c r="AE131">
        <v>5</v>
      </c>
      <c r="AF131">
        <v>0</v>
      </c>
      <c r="AG131">
        <v>2.7349999999999999</v>
      </c>
      <c r="AH131">
        <v>0.73299999999999998</v>
      </c>
      <c r="AI131">
        <v>0</v>
      </c>
      <c r="AJ131">
        <v>1.1349899999999999</v>
      </c>
      <c r="AK131">
        <v>1.135</v>
      </c>
      <c r="AL131">
        <f t="shared" ref="AL131:AL194" si="33">IF(ISNUMBER(AK131), AK131, IF(AND(AK131="",AJ131=""),"",IF(AK131="",AJ131,"")))</f>
        <v>1.135</v>
      </c>
      <c r="AM131">
        <f>VLOOKUP(TRIM(N131),'[1]All - Durations'!$E$2:$H$109,4,FALSE)</f>
        <v>0.76300000000000001</v>
      </c>
      <c r="AN131">
        <f t="shared" ref="AN131:AN194" si="34">AL131-AM131</f>
        <v>0.372</v>
      </c>
      <c r="AO131">
        <f t="shared" ref="AO131:AO194" si="35">IF(ISNUMBER(AN131), AN131, "")</f>
        <v>0.372</v>
      </c>
    </row>
    <row r="132" spans="1:41" x14ac:dyDescent="0.25">
      <c r="A132">
        <v>259</v>
      </c>
      <c r="B132" t="s">
        <v>35</v>
      </c>
      <c r="C132">
        <v>3</v>
      </c>
      <c r="D132" t="s">
        <v>36</v>
      </c>
      <c r="E132">
        <v>1</v>
      </c>
      <c r="F132" t="s">
        <v>37</v>
      </c>
      <c r="G132">
        <v>2</v>
      </c>
      <c r="H132">
        <v>4</v>
      </c>
      <c r="I132">
        <v>1</v>
      </c>
      <c r="J132">
        <v>59</v>
      </c>
      <c r="K132">
        <v>57</v>
      </c>
      <c r="L132">
        <v>69</v>
      </c>
      <c r="M132">
        <v>2</v>
      </c>
      <c r="N132" t="s">
        <v>221</v>
      </c>
      <c r="O132" t="s">
        <v>113</v>
      </c>
      <c r="P132" t="s">
        <v>114</v>
      </c>
      <c r="Q132" t="s">
        <v>222</v>
      </c>
      <c r="R132" t="s">
        <v>114</v>
      </c>
      <c r="S132" t="s">
        <v>52</v>
      </c>
      <c r="T132" t="s">
        <v>69</v>
      </c>
      <c r="U132">
        <v>1</v>
      </c>
      <c r="V132" t="s">
        <v>119</v>
      </c>
      <c r="W132" t="s">
        <v>155</v>
      </c>
      <c r="X132" t="s">
        <v>185</v>
      </c>
      <c r="Y132">
        <v>2</v>
      </c>
      <c r="Z132">
        <v>1</v>
      </c>
      <c r="AA132">
        <v>48</v>
      </c>
      <c r="AB132">
        <v>2E-3</v>
      </c>
      <c r="AC132" t="s">
        <v>69</v>
      </c>
      <c r="AD132">
        <v>1</v>
      </c>
      <c r="AE132">
        <v>1</v>
      </c>
      <c r="AF132">
        <v>1</v>
      </c>
      <c r="AG132">
        <v>1.0129999999999999</v>
      </c>
      <c r="AH132">
        <v>1.016</v>
      </c>
      <c r="AI132">
        <v>0</v>
      </c>
      <c r="AJ132">
        <v>4.4990000000000002E-2</v>
      </c>
      <c r="AK132">
        <v>1.0760000000000001</v>
      </c>
      <c r="AL132">
        <f t="shared" si="33"/>
        <v>1.0760000000000001</v>
      </c>
      <c r="AM132">
        <f>VLOOKUP(TRIM(N132),'[1]All - Durations'!$E$2:$H$109,4,FALSE)</f>
        <v>0.79100000000000004</v>
      </c>
      <c r="AN132">
        <f t="shared" si="34"/>
        <v>0.28500000000000003</v>
      </c>
      <c r="AO132">
        <f t="shared" si="35"/>
        <v>0.28500000000000003</v>
      </c>
    </row>
    <row r="133" spans="1:41" x14ac:dyDescent="0.25">
      <c r="A133">
        <v>259</v>
      </c>
      <c r="B133" t="s">
        <v>35</v>
      </c>
      <c r="C133">
        <v>3</v>
      </c>
      <c r="D133" t="s">
        <v>36</v>
      </c>
      <c r="E133">
        <v>1</v>
      </c>
      <c r="F133" t="s">
        <v>37</v>
      </c>
      <c r="G133">
        <v>2</v>
      </c>
      <c r="H133">
        <v>4</v>
      </c>
      <c r="I133">
        <v>1</v>
      </c>
      <c r="J133">
        <v>60</v>
      </c>
      <c r="K133">
        <v>50</v>
      </c>
      <c r="L133">
        <v>36</v>
      </c>
      <c r="M133">
        <v>1</v>
      </c>
      <c r="N133" t="s">
        <v>227</v>
      </c>
      <c r="O133" t="s">
        <v>113</v>
      </c>
      <c r="P133" t="s">
        <v>114</v>
      </c>
      <c r="Q133" t="s">
        <v>220</v>
      </c>
      <c r="R133" t="s">
        <v>114</v>
      </c>
      <c r="S133" t="s">
        <v>43</v>
      </c>
      <c r="T133" t="s">
        <v>116</v>
      </c>
      <c r="U133">
        <v>5</v>
      </c>
      <c r="V133" t="s">
        <v>179</v>
      </c>
      <c r="W133" t="s">
        <v>172</v>
      </c>
      <c r="X133" t="s">
        <v>211</v>
      </c>
      <c r="Y133">
        <v>1</v>
      </c>
      <c r="Z133">
        <v>1</v>
      </c>
      <c r="AA133">
        <v>48</v>
      </c>
      <c r="AB133">
        <v>3.0000000000000001E-3</v>
      </c>
      <c r="AC133" t="s">
        <v>116</v>
      </c>
      <c r="AD133">
        <v>1</v>
      </c>
      <c r="AE133">
        <v>5</v>
      </c>
      <c r="AF133">
        <v>1</v>
      </c>
      <c r="AG133">
        <v>3.1709999999999998</v>
      </c>
      <c r="AH133">
        <v>0.5</v>
      </c>
      <c r="AI133">
        <v>0</v>
      </c>
      <c r="AJ133">
        <v>1.0549900000000001</v>
      </c>
      <c r="AK133">
        <v>1.0549999999999999</v>
      </c>
      <c r="AL133">
        <f t="shared" si="33"/>
        <v>1.0549999999999999</v>
      </c>
      <c r="AM133">
        <f>VLOOKUP(TRIM(N133),'[1]All - Durations'!$E$2:$H$109,4,FALSE)</f>
        <v>0.95299999999999996</v>
      </c>
      <c r="AN133">
        <f t="shared" si="34"/>
        <v>0.10199999999999998</v>
      </c>
      <c r="AO133">
        <f t="shared" si="35"/>
        <v>0.10199999999999998</v>
      </c>
    </row>
    <row r="134" spans="1:41" x14ac:dyDescent="0.25">
      <c r="A134">
        <v>259</v>
      </c>
      <c r="B134" t="s">
        <v>35</v>
      </c>
      <c r="C134">
        <v>3</v>
      </c>
      <c r="D134" t="s">
        <v>36</v>
      </c>
      <c r="E134">
        <v>1</v>
      </c>
      <c r="F134" t="s">
        <v>37</v>
      </c>
      <c r="G134">
        <v>2</v>
      </c>
      <c r="H134">
        <v>4</v>
      </c>
      <c r="I134">
        <v>1</v>
      </c>
      <c r="J134">
        <v>61</v>
      </c>
      <c r="K134">
        <v>61</v>
      </c>
      <c r="L134">
        <v>23</v>
      </c>
      <c r="M134">
        <v>1</v>
      </c>
      <c r="N134" t="s">
        <v>244</v>
      </c>
      <c r="O134" t="s">
        <v>151</v>
      </c>
      <c r="P134" t="s">
        <v>245</v>
      </c>
      <c r="Q134" t="s">
        <v>246</v>
      </c>
      <c r="R134" t="s">
        <v>154</v>
      </c>
      <c r="S134" t="s">
        <v>92</v>
      </c>
      <c r="T134" t="s">
        <v>62</v>
      </c>
      <c r="U134">
        <v>4</v>
      </c>
      <c r="V134" t="s">
        <v>68</v>
      </c>
      <c r="W134" t="s">
        <v>87</v>
      </c>
      <c r="X134" t="s">
        <v>73</v>
      </c>
      <c r="Y134">
        <v>2</v>
      </c>
      <c r="Z134">
        <v>1</v>
      </c>
      <c r="AA134">
        <v>48</v>
      </c>
      <c r="AB134">
        <v>2E-3</v>
      </c>
      <c r="AC134" t="s">
        <v>73</v>
      </c>
      <c r="AD134">
        <v>4</v>
      </c>
      <c r="AE134">
        <v>1</v>
      </c>
      <c r="AF134">
        <v>0</v>
      </c>
      <c r="AG134">
        <v>2.9009999999999998</v>
      </c>
      <c r="AH134">
        <v>0.6</v>
      </c>
      <c r="AI134">
        <v>0</v>
      </c>
      <c r="AJ134">
        <v>4.4990000000000002E-2</v>
      </c>
      <c r="AK134">
        <v>1.054</v>
      </c>
      <c r="AL134">
        <f t="shared" si="33"/>
        <v>1.054</v>
      </c>
      <c r="AM134">
        <f>VLOOKUP(TRIM(N134),'[1]All - Durations'!$E$2:$H$109,4,FALSE)</f>
        <v>0.88300000000000001</v>
      </c>
      <c r="AN134">
        <f t="shared" si="34"/>
        <v>0.17100000000000004</v>
      </c>
      <c r="AO134">
        <f t="shared" si="35"/>
        <v>0.17100000000000004</v>
      </c>
    </row>
    <row r="135" spans="1:41" x14ac:dyDescent="0.25">
      <c r="A135">
        <v>259</v>
      </c>
      <c r="B135" t="s">
        <v>35</v>
      </c>
      <c r="C135">
        <v>3</v>
      </c>
      <c r="D135" t="s">
        <v>36</v>
      </c>
      <c r="E135">
        <v>1</v>
      </c>
      <c r="F135" t="s">
        <v>37</v>
      </c>
      <c r="G135">
        <v>2</v>
      </c>
      <c r="H135">
        <v>4</v>
      </c>
      <c r="I135">
        <v>1</v>
      </c>
      <c r="J135">
        <v>62</v>
      </c>
      <c r="K135">
        <v>69</v>
      </c>
      <c r="L135">
        <v>57</v>
      </c>
      <c r="M135">
        <v>2</v>
      </c>
      <c r="N135" t="s">
        <v>247</v>
      </c>
      <c r="O135" t="s">
        <v>151</v>
      </c>
      <c r="P135" t="s">
        <v>236</v>
      </c>
      <c r="Q135" t="s">
        <v>237</v>
      </c>
      <c r="R135" t="s">
        <v>174</v>
      </c>
      <c r="S135" t="s">
        <v>52</v>
      </c>
      <c r="T135" t="s">
        <v>75</v>
      </c>
      <c r="U135">
        <v>4</v>
      </c>
      <c r="V135" t="s">
        <v>99</v>
      </c>
      <c r="W135" t="s">
        <v>147</v>
      </c>
      <c r="X135" t="s">
        <v>46</v>
      </c>
      <c r="Y135">
        <v>2</v>
      </c>
      <c r="Z135">
        <v>1</v>
      </c>
      <c r="AA135">
        <v>48</v>
      </c>
      <c r="AB135">
        <v>3.0000000000000001E-3</v>
      </c>
      <c r="AC135" t="s">
        <v>75</v>
      </c>
      <c r="AD135">
        <v>1</v>
      </c>
      <c r="AE135">
        <v>4</v>
      </c>
      <c r="AF135">
        <v>1</v>
      </c>
      <c r="AG135">
        <v>2.3929999999999998</v>
      </c>
      <c r="AH135">
        <v>0.55000000000000004</v>
      </c>
      <c r="AI135">
        <v>0</v>
      </c>
      <c r="AJ135">
        <v>1.16499</v>
      </c>
      <c r="AK135">
        <v>1.165</v>
      </c>
      <c r="AL135">
        <f t="shared" si="33"/>
        <v>1.165</v>
      </c>
      <c r="AM135">
        <f>VLOOKUP(TRIM(N135),'[1]All - Durations'!$E$2:$H$109,4,FALSE)</f>
        <v>0.94399999999999995</v>
      </c>
      <c r="AN135">
        <f t="shared" si="34"/>
        <v>0.22100000000000009</v>
      </c>
      <c r="AO135">
        <f t="shared" si="35"/>
        <v>0.22100000000000009</v>
      </c>
    </row>
    <row r="136" spans="1:41" x14ac:dyDescent="0.25">
      <c r="A136">
        <v>259</v>
      </c>
      <c r="B136" t="s">
        <v>35</v>
      </c>
      <c r="C136">
        <v>3</v>
      </c>
      <c r="D136" t="s">
        <v>36</v>
      </c>
      <c r="E136">
        <v>1</v>
      </c>
      <c r="F136" t="s">
        <v>37</v>
      </c>
      <c r="G136">
        <v>2</v>
      </c>
      <c r="H136">
        <v>4</v>
      </c>
      <c r="I136">
        <v>1</v>
      </c>
      <c r="J136">
        <v>63</v>
      </c>
      <c r="K136">
        <v>72</v>
      </c>
      <c r="L136">
        <v>22</v>
      </c>
      <c r="M136">
        <v>1</v>
      </c>
      <c r="N136" t="s">
        <v>241</v>
      </c>
      <c r="O136" t="s">
        <v>151</v>
      </c>
      <c r="P136" t="s">
        <v>242</v>
      </c>
      <c r="Q136" t="s">
        <v>243</v>
      </c>
      <c r="R136" t="s">
        <v>174</v>
      </c>
      <c r="S136" t="s">
        <v>52</v>
      </c>
      <c r="T136" t="s">
        <v>132</v>
      </c>
      <c r="U136">
        <v>1</v>
      </c>
      <c r="V136" t="s">
        <v>146</v>
      </c>
      <c r="W136" t="s">
        <v>120</v>
      </c>
      <c r="X136" t="s">
        <v>44</v>
      </c>
      <c r="Y136">
        <v>1</v>
      </c>
      <c r="Z136">
        <v>1</v>
      </c>
      <c r="AA136">
        <v>48</v>
      </c>
      <c r="AB136">
        <v>4.0000000000000001E-3</v>
      </c>
      <c r="AC136" t="s">
        <v>120</v>
      </c>
      <c r="AD136">
        <v>4</v>
      </c>
      <c r="AE136">
        <v>2</v>
      </c>
      <c r="AF136">
        <v>0</v>
      </c>
      <c r="AG136">
        <v>2.75</v>
      </c>
      <c r="AH136">
        <v>0.56699999999999995</v>
      </c>
      <c r="AI136">
        <v>0</v>
      </c>
      <c r="AJ136">
        <v>3.499E-2</v>
      </c>
      <c r="AK136">
        <v>1.125</v>
      </c>
      <c r="AL136">
        <f t="shared" si="33"/>
        <v>1.125</v>
      </c>
      <c r="AM136">
        <f>VLOOKUP(TRIM(N136),'[1]All - Durations'!$E$2:$H$109,4,FALSE)</f>
        <v>0.97099999999999997</v>
      </c>
      <c r="AN136">
        <f t="shared" si="34"/>
        <v>0.15400000000000003</v>
      </c>
      <c r="AO136">
        <f t="shared" si="35"/>
        <v>0.15400000000000003</v>
      </c>
    </row>
    <row r="137" spans="1:41" x14ac:dyDescent="0.25">
      <c r="A137">
        <v>259</v>
      </c>
      <c r="B137" t="s">
        <v>35</v>
      </c>
      <c r="C137">
        <v>3</v>
      </c>
      <c r="D137" t="s">
        <v>36</v>
      </c>
      <c r="E137">
        <v>1</v>
      </c>
      <c r="F137" t="s">
        <v>37</v>
      </c>
      <c r="G137">
        <v>2</v>
      </c>
      <c r="H137">
        <v>4</v>
      </c>
      <c r="I137">
        <v>1</v>
      </c>
      <c r="J137">
        <v>64</v>
      </c>
      <c r="K137">
        <v>68</v>
      </c>
      <c r="L137">
        <v>18</v>
      </c>
      <c r="M137">
        <v>1</v>
      </c>
      <c r="N137" t="s">
        <v>258</v>
      </c>
      <c r="O137" t="s">
        <v>151</v>
      </c>
      <c r="P137" t="s">
        <v>255</v>
      </c>
      <c r="Q137" t="s">
        <v>256</v>
      </c>
      <c r="R137" t="s">
        <v>160</v>
      </c>
      <c r="S137" t="s">
        <v>43</v>
      </c>
      <c r="T137" t="s">
        <v>110</v>
      </c>
      <c r="U137">
        <v>4</v>
      </c>
      <c r="V137" t="s">
        <v>47</v>
      </c>
      <c r="W137" t="s">
        <v>98</v>
      </c>
      <c r="X137" t="s">
        <v>130</v>
      </c>
      <c r="Y137">
        <v>1</v>
      </c>
      <c r="Z137">
        <v>1</v>
      </c>
      <c r="AA137">
        <v>48</v>
      </c>
      <c r="AB137">
        <v>4.0000000000000001E-3</v>
      </c>
      <c r="AC137" t="s">
        <v>110</v>
      </c>
      <c r="AD137">
        <v>1</v>
      </c>
      <c r="AE137">
        <v>4</v>
      </c>
      <c r="AF137">
        <v>1</v>
      </c>
      <c r="AG137">
        <v>2.8570000000000002</v>
      </c>
      <c r="AH137">
        <v>0.53300000000000003</v>
      </c>
      <c r="AI137">
        <v>0</v>
      </c>
      <c r="AJ137">
        <v>5.4989999999999997E-2</v>
      </c>
      <c r="AK137">
        <v>1.0529999999999999</v>
      </c>
      <c r="AL137">
        <f t="shared" si="33"/>
        <v>1.0529999999999999</v>
      </c>
      <c r="AM137">
        <f>VLOOKUP(TRIM(N137),'[1]All - Durations'!$E$2:$H$109,4,FALSE)</f>
        <v>0.86299999999999999</v>
      </c>
      <c r="AN137">
        <f t="shared" si="34"/>
        <v>0.18999999999999995</v>
      </c>
      <c r="AO137">
        <f t="shared" si="35"/>
        <v>0.18999999999999995</v>
      </c>
    </row>
    <row r="138" spans="1:41" x14ac:dyDescent="0.25">
      <c r="A138">
        <v>259</v>
      </c>
      <c r="B138" t="s">
        <v>35</v>
      </c>
      <c r="C138">
        <v>3</v>
      </c>
      <c r="D138" t="s">
        <v>36</v>
      </c>
      <c r="E138">
        <v>1</v>
      </c>
      <c r="F138" t="s">
        <v>37</v>
      </c>
      <c r="G138">
        <v>2</v>
      </c>
      <c r="H138">
        <v>4</v>
      </c>
      <c r="I138">
        <v>1</v>
      </c>
      <c r="J138">
        <v>65</v>
      </c>
      <c r="K138">
        <v>64</v>
      </c>
      <c r="L138">
        <v>20</v>
      </c>
      <c r="M138">
        <v>1</v>
      </c>
      <c r="N138" t="s">
        <v>238</v>
      </c>
      <c r="O138" t="s">
        <v>151</v>
      </c>
      <c r="P138" t="s">
        <v>239</v>
      </c>
      <c r="Q138" t="s">
        <v>240</v>
      </c>
      <c r="R138" t="s">
        <v>160</v>
      </c>
      <c r="S138" t="s">
        <v>43</v>
      </c>
      <c r="T138" t="s">
        <v>82</v>
      </c>
      <c r="U138">
        <v>1</v>
      </c>
      <c r="V138" t="s">
        <v>110</v>
      </c>
      <c r="W138" t="s">
        <v>137</v>
      </c>
      <c r="X138" t="s">
        <v>149</v>
      </c>
      <c r="Y138">
        <v>2</v>
      </c>
      <c r="Z138">
        <v>1</v>
      </c>
      <c r="AA138">
        <v>48</v>
      </c>
      <c r="AB138">
        <v>2E-3</v>
      </c>
      <c r="AC138" t="s">
        <v>149</v>
      </c>
      <c r="AD138">
        <v>4</v>
      </c>
      <c r="AE138">
        <v>5</v>
      </c>
      <c r="AF138">
        <v>0</v>
      </c>
      <c r="AG138">
        <v>2.855</v>
      </c>
      <c r="AH138">
        <v>0.53300000000000003</v>
      </c>
      <c r="AI138">
        <v>0</v>
      </c>
      <c r="AJ138">
        <v>0.96499000000000001</v>
      </c>
      <c r="AK138">
        <v>0.96499999999999997</v>
      </c>
      <c r="AL138">
        <f t="shared" si="33"/>
        <v>0.96499999999999997</v>
      </c>
      <c r="AM138">
        <f>VLOOKUP(TRIM(N138),'[1]All - Durations'!$E$2:$H$109,4,FALSE)</f>
        <v>0.9</v>
      </c>
      <c r="AN138">
        <f t="shared" si="34"/>
        <v>6.4999999999999947E-2</v>
      </c>
      <c r="AO138">
        <f t="shared" si="35"/>
        <v>6.4999999999999947E-2</v>
      </c>
    </row>
    <row r="139" spans="1:41" x14ac:dyDescent="0.25">
      <c r="A139">
        <v>259</v>
      </c>
      <c r="B139" t="s">
        <v>35</v>
      </c>
      <c r="C139">
        <v>3</v>
      </c>
      <c r="D139" t="s">
        <v>36</v>
      </c>
      <c r="E139">
        <v>1</v>
      </c>
      <c r="F139" t="s">
        <v>37</v>
      </c>
      <c r="G139">
        <v>2</v>
      </c>
      <c r="H139">
        <v>4</v>
      </c>
      <c r="I139">
        <v>1</v>
      </c>
      <c r="J139">
        <v>66</v>
      </c>
      <c r="K139">
        <v>66</v>
      </c>
      <c r="L139">
        <v>54</v>
      </c>
      <c r="M139">
        <v>2</v>
      </c>
      <c r="N139" t="s">
        <v>248</v>
      </c>
      <c r="O139" t="s">
        <v>151</v>
      </c>
      <c r="P139" t="s">
        <v>249</v>
      </c>
      <c r="Q139" t="s">
        <v>250</v>
      </c>
      <c r="R139" t="s">
        <v>154</v>
      </c>
      <c r="S139" t="s">
        <v>92</v>
      </c>
      <c r="T139" t="s">
        <v>68</v>
      </c>
      <c r="U139">
        <v>2</v>
      </c>
      <c r="V139" t="s">
        <v>204</v>
      </c>
      <c r="W139" t="s">
        <v>214</v>
      </c>
      <c r="X139" t="s">
        <v>131</v>
      </c>
      <c r="Y139">
        <v>1</v>
      </c>
      <c r="Z139">
        <v>1</v>
      </c>
      <c r="AA139">
        <v>48</v>
      </c>
      <c r="AB139">
        <v>3.0000000000000001E-3</v>
      </c>
      <c r="AC139" t="s">
        <v>204</v>
      </c>
      <c r="AD139">
        <v>2</v>
      </c>
      <c r="AE139">
        <v>4</v>
      </c>
      <c r="AF139">
        <v>0</v>
      </c>
      <c r="AG139">
        <v>3.42</v>
      </c>
      <c r="AH139">
        <v>0.56699999999999995</v>
      </c>
      <c r="AI139">
        <v>0</v>
      </c>
      <c r="AJ139">
        <v>6.4990000000000006E-2</v>
      </c>
      <c r="AK139">
        <v>1.0429999999999999</v>
      </c>
      <c r="AL139">
        <f t="shared" si="33"/>
        <v>1.0429999999999999</v>
      </c>
      <c r="AM139">
        <f>VLOOKUP(TRIM(N139),'[1]All - Durations'!$E$2:$H$109,4,FALSE)</f>
        <v>0.94199999999999995</v>
      </c>
      <c r="AN139">
        <f t="shared" si="34"/>
        <v>0.10099999999999998</v>
      </c>
      <c r="AO139">
        <f t="shared" si="35"/>
        <v>0.10099999999999998</v>
      </c>
    </row>
    <row r="140" spans="1:41" x14ac:dyDescent="0.25">
      <c r="A140">
        <v>259</v>
      </c>
      <c r="B140" t="s">
        <v>35</v>
      </c>
      <c r="C140">
        <v>3</v>
      </c>
      <c r="D140" t="s">
        <v>36</v>
      </c>
      <c r="E140">
        <v>1</v>
      </c>
      <c r="F140" t="s">
        <v>37</v>
      </c>
      <c r="G140">
        <v>2</v>
      </c>
      <c r="H140">
        <v>4</v>
      </c>
      <c r="I140">
        <v>1</v>
      </c>
      <c r="J140">
        <v>67</v>
      </c>
      <c r="K140">
        <v>67</v>
      </c>
      <c r="L140">
        <v>17</v>
      </c>
      <c r="M140">
        <v>1</v>
      </c>
      <c r="N140" t="s">
        <v>254</v>
      </c>
      <c r="O140" t="s">
        <v>151</v>
      </c>
      <c r="P140" t="s">
        <v>255</v>
      </c>
      <c r="Q140" t="s">
        <v>256</v>
      </c>
      <c r="R140" t="s">
        <v>174</v>
      </c>
      <c r="S140" t="s">
        <v>52</v>
      </c>
      <c r="T140" t="s">
        <v>47</v>
      </c>
      <c r="U140">
        <v>1</v>
      </c>
      <c r="V140" t="s">
        <v>187</v>
      </c>
      <c r="W140" t="s">
        <v>111</v>
      </c>
      <c r="X140" t="s">
        <v>67</v>
      </c>
      <c r="Y140">
        <v>2</v>
      </c>
      <c r="Z140">
        <v>1</v>
      </c>
      <c r="AA140">
        <v>48</v>
      </c>
      <c r="AB140">
        <v>4.0000000000000001E-3</v>
      </c>
      <c r="AC140" t="s">
        <v>187</v>
      </c>
      <c r="AD140">
        <v>3</v>
      </c>
      <c r="AE140">
        <v>2</v>
      </c>
      <c r="AF140">
        <v>0</v>
      </c>
      <c r="AG140">
        <v>3.13</v>
      </c>
      <c r="AH140">
        <v>0.55000000000000004</v>
      </c>
      <c r="AI140">
        <v>0</v>
      </c>
      <c r="AJ140">
        <v>6.4990000000000006E-2</v>
      </c>
      <c r="AK140">
        <v>1.181</v>
      </c>
      <c r="AL140">
        <f t="shared" si="33"/>
        <v>1.181</v>
      </c>
      <c r="AM140">
        <f>VLOOKUP(TRIM(N140),'[1]All - Durations'!$E$2:$H$109,4,FALSE)</f>
        <v>0.97499999999999998</v>
      </c>
      <c r="AN140">
        <f t="shared" si="34"/>
        <v>0.20600000000000007</v>
      </c>
      <c r="AO140">
        <f t="shared" si="35"/>
        <v>0.20600000000000007</v>
      </c>
    </row>
    <row r="141" spans="1:41" x14ac:dyDescent="0.25">
      <c r="A141">
        <v>259</v>
      </c>
      <c r="B141" t="s">
        <v>35</v>
      </c>
      <c r="C141">
        <v>3</v>
      </c>
      <c r="D141" t="s">
        <v>36</v>
      </c>
      <c r="E141">
        <v>1</v>
      </c>
      <c r="F141" t="s">
        <v>37</v>
      </c>
      <c r="G141">
        <v>2</v>
      </c>
      <c r="H141">
        <v>4</v>
      </c>
      <c r="I141">
        <v>1</v>
      </c>
      <c r="J141">
        <v>68</v>
      </c>
      <c r="K141">
        <v>70</v>
      </c>
      <c r="L141">
        <v>58</v>
      </c>
      <c r="M141">
        <v>2</v>
      </c>
      <c r="N141" t="s">
        <v>235</v>
      </c>
      <c r="O141" t="s">
        <v>151</v>
      </c>
      <c r="P141" t="s">
        <v>236</v>
      </c>
      <c r="Q141" t="s">
        <v>237</v>
      </c>
      <c r="R141" t="s">
        <v>160</v>
      </c>
      <c r="S141" t="s">
        <v>43</v>
      </c>
      <c r="T141" t="s">
        <v>55</v>
      </c>
      <c r="U141">
        <v>1</v>
      </c>
      <c r="V141" t="s">
        <v>75</v>
      </c>
      <c r="W141" t="s">
        <v>106</v>
      </c>
      <c r="X141" t="s">
        <v>127</v>
      </c>
      <c r="Y141">
        <v>1</v>
      </c>
      <c r="Z141">
        <v>1</v>
      </c>
      <c r="AA141">
        <v>48</v>
      </c>
      <c r="AB141">
        <v>2E-3</v>
      </c>
      <c r="AC141" t="s">
        <v>55</v>
      </c>
      <c r="AD141">
        <v>1</v>
      </c>
      <c r="AE141">
        <v>1</v>
      </c>
      <c r="AF141">
        <v>1</v>
      </c>
      <c r="AG141">
        <v>2.9620000000000002</v>
      </c>
      <c r="AH141">
        <v>0.55000000000000004</v>
      </c>
      <c r="AI141">
        <v>0</v>
      </c>
      <c r="AJ141">
        <v>5.4989999999999997E-2</v>
      </c>
      <c r="AK141">
        <v>1.0589999999999999</v>
      </c>
      <c r="AL141">
        <f t="shared" si="33"/>
        <v>1.0589999999999999</v>
      </c>
      <c r="AM141">
        <f>VLOOKUP(TRIM(N141),'[1]All - Durations'!$E$2:$H$109,4,FALSE)</f>
        <v>0.85899999999999999</v>
      </c>
      <c r="AN141">
        <f t="shared" si="34"/>
        <v>0.19999999999999996</v>
      </c>
      <c r="AO141">
        <f t="shared" si="35"/>
        <v>0.19999999999999996</v>
      </c>
    </row>
    <row r="142" spans="1:41" x14ac:dyDescent="0.25">
      <c r="A142">
        <v>259</v>
      </c>
      <c r="B142" t="s">
        <v>35</v>
      </c>
      <c r="C142">
        <v>3</v>
      </c>
      <c r="D142" t="s">
        <v>36</v>
      </c>
      <c r="E142">
        <v>1</v>
      </c>
      <c r="F142" t="s">
        <v>37</v>
      </c>
      <c r="G142">
        <v>2</v>
      </c>
      <c r="H142">
        <v>4</v>
      </c>
      <c r="I142">
        <v>1</v>
      </c>
      <c r="J142">
        <v>69</v>
      </c>
      <c r="K142">
        <v>71</v>
      </c>
      <c r="L142">
        <v>21</v>
      </c>
      <c r="M142">
        <v>1</v>
      </c>
      <c r="N142" t="s">
        <v>252</v>
      </c>
      <c r="O142" t="s">
        <v>151</v>
      </c>
      <c r="P142" t="s">
        <v>242</v>
      </c>
      <c r="Q142" t="s">
        <v>243</v>
      </c>
      <c r="R142" t="s">
        <v>170</v>
      </c>
      <c r="S142" t="s">
        <v>59</v>
      </c>
      <c r="T142" t="s">
        <v>146</v>
      </c>
      <c r="U142">
        <v>2</v>
      </c>
      <c r="V142" t="s">
        <v>139</v>
      </c>
      <c r="W142" t="s">
        <v>104</v>
      </c>
      <c r="X142" t="s">
        <v>54</v>
      </c>
      <c r="Y142">
        <v>2</v>
      </c>
      <c r="Z142">
        <v>1</v>
      </c>
      <c r="AA142">
        <v>48</v>
      </c>
      <c r="AB142">
        <v>4.0000000000000001E-3</v>
      </c>
      <c r="AC142" t="s">
        <v>104</v>
      </c>
      <c r="AD142">
        <v>4</v>
      </c>
      <c r="AE142">
        <v>4</v>
      </c>
      <c r="AF142">
        <v>0</v>
      </c>
      <c r="AG142">
        <v>2.7330000000000001</v>
      </c>
      <c r="AH142">
        <v>0.48299999999999998</v>
      </c>
      <c r="AI142">
        <v>0</v>
      </c>
      <c r="AJ142">
        <v>5.4989999999999997E-2</v>
      </c>
      <c r="AK142">
        <v>1.1830000000000001</v>
      </c>
      <c r="AL142">
        <f t="shared" si="33"/>
        <v>1.1830000000000001</v>
      </c>
      <c r="AM142">
        <f>VLOOKUP(TRIM(N142),'[1]All - Durations'!$E$2:$H$109,4,FALSE)</f>
        <v>1.026</v>
      </c>
      <c r="AN142">
        <f t="shared" si="34"/>
        <v>0.15700000000000003</v>
      </c>
      <c r="AO142">
        <f t="shared" si="35"/>
        <v>0.15700000000000003</v>
      </c>
    </row>
    <row r="143" spans="1:41" x14ac:dyDescent="0.25">
      <c r="A143">
        <v>259</v>
      </c>
      <c r="B143" t="s">
        <v>35</v>
      </c>
      <c r="C143">
        <v>3</v>
      </c>
      <c r="D143" t="s">
        <v>36</v>
      </c>
      <c r="E143">
        <v>1</v>
      </c>
      <c r="F143" t="s">
        <v>37</v>
      </c>
      <c r="G143">
        <v>2</v>
      </c>
      <c r="H143">
        <v>4</v>
      </c>
      <c r="I143">
        <v>1</v>
      </c>
      <c r="J143">
        <v>70</v>
      </c>
      <c r="K143">
        <v>63</v>
      </c>
      <c r="L143">
        <v>19</v>
      </c>
      <c r="M143">
        <v>1</v>
      </c>
      <c r="N143" t="s">
        <v>253</v>
      </c>
      <c r="O143" t="s">
        <v>151</v>
      </c>
      <c r="P143" t="s">
        <v>239</v>
      </c>
      <c r="Q143" t="s">
        <v>240</v>
      </c>
      <c r="R143" t="s">
        <v>170</v>
      </c>
      <c r="S143" t="s">
        <v>59</v>
      </c>
      <c r="T143" t="s">
        <v>211</v>
      </c>
      <c r="U143">
        <v>2</v>
      </c>
      <c r="V143" t="s">
        <v>82</v>
      </c>
      <c r="W143" t="s">
        <v>79</v>
      </c>
      <c r="X143" t="s">
        <v>209</v>
      </c>
      <c r="Y143">
        <v>1</v>
      </c>
      <c r="Z143">
        <v>1</v>
      </c>
      <c r="AA143">
        <v>48</v>
      </c>
      <c r="AB143">
        <v>4.0000000000000001E-3</v>
      </c>
      <c r="AC143" t="s">
        <v>211</v>
      </c>
      <c r="AD143">
        <v>1</v>
      </c>
      <c r="AE143">
        <v>2</v>
      </c>
      <c r="AF143">
        <v>1</v>
      </c>
      <c r="AG143">
        <v>2.1520000000000001</v>
      </c>
      <c r="AH143">
        <v>2.6160000000000001</v>
      </c>
      <c r="AI143">
        <v>0</v>
      </c>
      <c r="AJ143">
        <v>3.499E-2</v>
      </c>
      <c r="AK143">
        <v>1.0720000000000001</v>
      </c>
      <c r="AL143">
        <f t="shared" si="33"/>
        <v>1.0720000000000001</v>
      </c>
      <c r="AM143">
        <f>VLOOKUP(TRIM(N143),'[1]All - Durations'!$E$2:$H$109,4,FALSE)</f>
        <v>0.92100000000000004</v>
      </c>
      <c r="AN143">
        <f t="shared" si="34"/>
        <v>0.15100000000000002</v>
      </c>
      <c r="AO143">
        <f t="shared" si="35"/>
        <v>0.15100000000000002</v>
      </c>
    </row>
    <row r="144" spans="1:41" x14ac:dyDescent="0.25">
      <c r="A144">
        <v>259</v>
      </c>
      <c r="B144" t="s">
        <v>35</v>
      </c>
      <c r="C144">
        <v>3</v>
      </c>
      <c r="D144" t="s">
        <v>36</v>
      </c>
      <c r="E144">
        <v>1</v>
      </c>
      <c r="F144" t="s">
        <v>37</v>
      </c>
      <c r="G144">
        <v>2</v>
      </c>
      <c r="H144">
        <v>4</v>
      </c>
      <c r="I144">
        <v>1</v>
      </c>
      <c r="J144">
        <v>71</v>
      </c>
      <c r="K144">
        <v>62</v>
      </c>
      <c r="L144">
        <v>24</v>
      </c>
      <c r="M144">
        <v>1</v>
      </c>
      <c r="N144" t="s">
        <v>251</v>
      </c>
      <c r="O144" t="s">
        <v>151</v>
      </c>
      <c r="P144" t="s">
        <v>245</v>
      </c>
      <c r="Q144" t="s">
        <v>246</v>
      </c>
      <c r="R144" t="s">
        <v>160</v>
      </c>
      <c r="S144" t="s">
        <v>43</v>
      </c>
      <c r="T144" t="s">
        <v>121</v>
      </c>
      <c r="U144">
        <v>2</v>
      </c>
      <c r="V144" t="s">
        <v>62</v>
      </c>
      <c r="W144" t="s">
        <v>102</v>
      </c>
      <c r="X144" t="s">
        <v>119</v>
      </c>
      <c r="Y144">
        <v>1</v>
      </c>
      <c r="Z144">
        <v>1</v>
      </c>
      <c r="AA144">
        <v>48</v>
      </c>
      <c r="AB144">
        <v>1.4E-2</v>
      </c>
      <c r="AC144" t="s">
        <v>62</v>
      </c>
      <c r="AD144">
        <v>2</v>
      </c>
      <c r="AE144">
        <v>1</v>
      </c>
      <c r="AF144">
        <v>0</v>
      </c>
      <c r="AG144">
        <v>2.0459999999999998</v>
      </c>
      <c r="AH144">
        <v>0.68300000000000005</v>
      </c>
      <c r="AI144">
        <v>0</v>
      </c>
      <c r="AJ144">
        <v>0.98499000000000003</v>
      </c>
      <c r="AK144">
        <v>0.98499999999999999</v>
      </c>
      <c r="AL144">
        <f t="shared" si="33"/>
        <v>0.98499999999999999</v>
      </c>
      <c r="AM144">
        <f>VLOOKUP(TRIM(N144),'[1]All - Durations'!$E$2:$H$109,4,FALSE)</f>
        <v>0.81699999999999995</v>
      </c>
      <c r="AN144">
        <f t="shared" si="34"/>
        <v>0.16800000000000004</v>
      </c>
      <c r="AO144">
        <f t="shared" si="35"/>
        <v>0.16800000000000004</v>
      </c>
    </row>
    <row r="145" spans="1:41" x14ac:dyDescent="0.25">
      <c r="A145">
        <v>259</v>
      </c>
      <c r="B145" t="s">
        <v>35</v>
      </c>
      <c r="C145">
        <v>3</v>
      </c>
      <c r="D145" t="s">
        <v>36</v>
      </c>
      <c r="E145">
        <v>1</v>
      </c>
      <c r="F145" t="s">
        <v>37</v>
      </c>
      <c r="G145">
        <v>2</v>
      </c>
      <c r="H145">
        <v>4</v>
      </c>
      <c r="I145">
        <v>1</v>
      </c>
      <c r="J145">
        <v>72</v>
      </c>
      <c r="K145">
        <v>65</v>
      </c>
      <c r="L145">
        <v>53</v>
      </c>
      <c r="M145">
        <v>2</v>
      </c>
      <c r="N145" t="s">
        <v>257</v>
      </c>
      <c r="O145" t="s">
        <v>151</v>
      </c>
      <c r="P145" t="s">
        <v>249</v>
      </c>
      <c r="Q145" t="s">
        <v>250</v>
      </c>
      <c r="R145" t="s">
        <v>170</v>
      </c>
      <c r="S145" t="s">
        <v>59</v>
      </c>
      <c r="T145" t="s">
        <v>204</v>
      </c>
      <c r="U145">
        <v>2</v>
      </c>
      <c r="V145" t="s">
        <v>211</v>
      </c>
      <c r="W145" t="s">
        <v>53</v>
      </c>
      <c r="X145" t="s">
        <v>74</v>
      </c>
      <c r="Y145">
        <v>2</v>
      </c>
      <c r="Z145">
        <v>1</v>
      </c>
      <c r="AA145">
        <v>48</v>
      </c>
      <c r="AB145">
        <v>3.0000000000000001E-3</v>
      </c>
      <c r="AC145" t="s">
        <v>74</v>
      </c>
      <c r="AD145">
        <v>4</v>
      </c>
      <c r="AE145">
        <v>1</v>
      </c>
      <c r="AF145">
        <v>0</v>
      </c>
      <c r="AG145">
        <v>3.0710000000000002</v>
      </c>
      <c r="AH145">
        <v>0.53300000000000003</v>
      </c>
      <c r="AI145">
        <v>0</v>
      </c>
      <c r="AJ145">
        <v>3.499E-2</v>
      </c>
      <c r="AK145">
        <v>1.014</v>
      </c>
      <c r="AL145">
        <f t="shared" si="33"/>
        <v>1.014</v>
      </c>
      <c r="AM145">
        <f>VLOOKUP(TRIM(N145),'[1]All - Durations'!$E$2:$H$109,4,FALSE)</f>
        <v>0.98299999999999998</v>
      </c>
      <c r="AN145">
        <f t="shared" si="34"/>
        <v>3.1000000000000028E-2</v>
      </c>
      <c r="AO145">
        <f t="shared" si="35"/>
        <v>3.1000000000000028E-2</v>
      </c>
    </row>
    <row r="146" spans="1:41" x14ac:dyDescent="0.25">
      <c r="A146">
        <v>259</v>
      </c>
      <c r="B146" t="s">
        <v>35</v>
      </c>
      <c r="C146">
        <v>3</v>
      </c>
      <c r="D146" t="s">
        <v>36</v>
      </c>
      <c r="E146">
        <v>2</v>
      </c>
      <c r="F146" t="s">
        <v>37</v>
      </c>
      <c r="G146">
        <v>3</v>
      </c>
      <c r="H146">
        <v>5</v>
      </c>
      <c r="I146">
        <v>1</v>
      </c>
      <c r="J146">
        <v>1</v>
      </c>
      <c r="K146">
        <v>6</v>
      </c>
      <c r="L146">
        <v>38</v>
      </c>
      <c r="M146">
        <v>2</v>
      </c>
      <c r="N146" t="s">
        <v>48</v>
      </c>
      <c r="O146" t="s">
        <v>39</v>
      </c>
      <c r="P146" t="s">
        <v>49</v>
      </c>
      <c r="Q146" t="s">
        <v>50</v>
      </c>
      <c r="R146" t="s">
        <v>51</v>
      </c>
      <c r="S146" t="s">
        <v>52</v>
      </c>
      <c r="T146" t="s">
        <v>53</v>
      </c>
      <c r="U146">
        <v>1</v>
      </c>
      <c r="V146" t="s">
        <v>54</v>
      </c>
      <c r="W146" t="s">
        <v>46</v>
      </c>
      <c r="X146" t="s">
        <v>55</v>
      </c>
      <c r="Y146">
        <v>1</v>
      </c>
      <c r="Z146">
        <v>2</v>
      </c>
      <c r="AA146">
        <v>44.1</v>
      </c>
      <c r="AB146">
        <v>7.0000000000000007E-2</v>
      </c>
      <c r="AC146" t="s">
        <v>83</v>
      </c>
      <c r="AD146">
        <v>0</v>
      </c>
      <c r="AE146">
        <v>0</v>
      </c>
      <c r="AF146">
        <v>0</v>
      </c>
      <c r="AG146">
        <v>-1</v>
      </c>
      <c r="AH146">
        <v>1.268</v>
      </c>
      <c r="AI146">
        <v>6.3E-2</v>
      </c>
      <c r="AJ146">
        <v>1.154989</v>
      </c>
      <c r="AL146">
        <f t="shared" si="33"/>
        <v>1.154989</v>
      </c>
      <c r="AM146">
        <f>VLOOKUP(TRIM(N146),'[1]All - Durations'!$E$2:$H$109,4,FALSE)</f>
        <v>0.92200000000000004</v>
      </c>
      <c r="AN146">
        <f t="shared" si="34"/>
        <v>0.232989</v>
      </c>
      <c r="AO146">
        <f t="shared" si="35"/>
        <v>0.232989</v>
      </c>
    </row>
    <row r="147" spans="1:41" x14ac:dyDescent="0.25">
      <c r="A147">
        <v>259</v>
      </c>
      <c r="B147" t="s">
        <v>35</v>
      </c>
      <c r="C147">
        <v>3</v>
      </c>
      <c r="D147" t="s">
        <v>36</v>
      </c>
      <c r="E147">
        <v>2</v>
      </c>
      <c r="F147" t="s">
        <v>37</v>
      </c>
      <c r="G147">
        <v>3</v>
      </c>
      <c r="H147">
        <v>5</v>
      </c>
      <c r="I147">
        <v>1</v>
      </c>
      <c r="J147">
        <v>2</v>
      </c>
      <c r="K147">
        <v>3</v>
      </c>
      <c r="L147">
        <v>1</v>
      </c>
      <c r="M147">
        <v>1</v>
      </c>
      <c r="N147" t="s">
        <v>70</v>
      </c>
      <c r="O147" t="s">
        <v>39</v>
      </c>
      <c r="P147" t="s">
        <v>71</v>
      </c>
      <c r="Q147" t="s">
        <v>72</v>
      </c>
      <c r="R147" t="s">
        <v>58</v>
      </c>
      <c r="S147" t="s">
        <v>59</v>
      </c>
      <c r="T147" t="s">
        <v>73</v>
      </c>
      <c r="U147">
        <v>4</v>
      </c>
      <c r="V147" t="s">
        <v>60</v>
      </c>
      <c r="W147" t="s">
        <v>130</v>
      </c>
      <c r="X147" t="s">
        <v>99</v>
      </c>
      <c r="Y147">
        <v>2</v>
      </c>
      <c r="Z147">
        <v>2</v>
      </c>
      <c r="AA147">
        <v>44.1</v>
      </c>
      <c r="AB147">
        <v>0.2</v>
      </c>
      <c r="AC147" t="s">
        <v>130</v>
      </c>
      <c r="AD147">
        <v>4</v>
      </c>
      <c r="AE147">
        <v>5</v>
      </c>
      <c r="AF147">
        <v>0</v>
      </c>
      <c r="AG147">
        <v>3.4380000000000002</v>
      </c>
      <c r="AH147">
        <v>3.036</v>
      </c>
      <c r="AI147">
        <v>0.19600000000000001</v>
      </c>
      <c r="AJ147">
        <v>1.5249889999999999</v>
      </c>
      <c r="AL147">
        <f t="shared" si="33"/>
        <v>1.5249889999999999</v>
      </c>
      <c r="AM147">
        <f>VLOOKUP(TRIM(N147),'[1]All - Durations'!$E$2:$H$109,4,FALSE)</f>
        <v>0.94799999999999995</v>
      </c>
      <c r="AN147">
        <f t="shared" si="34"/>
        <v>0.57698899999999997</v>
      </c>
      <c r="AO147">
        <f t="shared" si="35"/>
        <v>0.57698899999999997</v>
      </c>
    </row>
    <row r="148" spans="1:41" x14ac:dyDescent="0.25">
      <c r="A148">
        <v>259</v>
      </c>
      <c r="B148" t="s">
        <v>35</v>
      </c>
      <c r="C148">
        <v>3</v>
      </c>
      <c r="D148" t="s">
        <v>36</v>
      </c>
      <c r="E148">
        <v>2</v>
      </c>
      <c r="F148" t="s">
        <v>37</v>
      </c>
      <c r="G148">
        <v>3</v>
      </c>
      <c r="H148">
        <v>5</v>
      </c>
      <c r="I148">
        <v>1</v>
      </c>
      <c r="J148">
        <v>3</v>
      </c>
      <c r="K148">
        <v>9</v>
      </c>
      <c r="L148">
        <v>3</v>
      </c>
      <c r="M148">
        <v>1</v>
      </c>
      <c r="N148" t="s">
        <v>88</v>
      </c>
      <c r="O148" t="s">
        <v>39</v>
      </c>
      <c r="P148" t="s">
        <v>89</v>
      </c>
      <c r="Q148" t="s">
        <v>90</v>
      </c>
      <c r="R148" t="s">
        <v>91</v>
      </c>
      <c r="S148" t="s">
        <v>92</v>
      </c>
      <c r="T148" t="s">
        <v>93</v>
      </c>
      <c r="U148">
        <v>2</v>
      </c>
      <c r="V148" t="s">
        <v>94</v>
      </c>
      <c r="W148" t="s">
        <v>47</v>
      </c>
      <c r="X148" t="s">
        <v>100</v>
      </c>
      <c r="Y148">
        <v>2</v>
      </c>
      <c r="Z148">
        <v>2</v>
      </c>
      <c r="AA148">
        <v>44.1</v>
      </c>
      <c r="AB148">
        <v>1.153</v>
      </c>
      <c r="AC148" t="s">
        <v>100</v>
      </c>
      <c r="AD148">
        <v>4</v>
      </c>
      <c r="AE148">
        <v>1</v>
      </c>
      <c r="AF148">
        <v>0</v>
      </c>
      <c r="AG148">
        <v>2.0699999999999998</v>
      </c>
      <c r="AH148">
        <v>3.036</v>
      </c>
      <c r="AI148">
        <v>1.1579999999999999</v>
      </c>
      <c r="AJ148">
        <v>1.314989</v>
      </c>
      <c r="AL148">
        <f t="shared" si="33"/>
        <v>1.314989</v>
      </c>
      <c r="AM148">
        <f>VLOOKUP(TRIM(N148),'[1]All - Durations'!$E$2:$H$109,4,FALSE)</f>
        <v>0.89200000000000002</v>
      </c>
      <c r="AN148">
        <f t="shared" si="34"/>
        <v>0.42298899999999995</v>
      </c>
      <c r="AO148">
        <f t="shared" si="35"/>
        <v>0.42298899999999995</v>
      </c>
    </row>
    <row r="149" spans="1:41" x14ac:dyDescent="0.25">
      <c r="A149">
        <v>259</v>
      </c>
      <c r="B149" t="s">
        <v>35</v>
      </c>
      <c r="C149">
        <v>3</v>
      </c>
      <c r="D149" t="s">
        <v>36</v>
      </c>
      <c r="E149">
        <v>2</v>
      </c>
      <c r="F149" t="s">
        <v>37</v>
      </c>
      <c r="G149">
        <v>3</v>
      </c>
      <c r="H149">
        <v>5</v>
      </c>
      <c r="I149">
        <v>1</v>
      </c>
      <c r="J149">
        <v>4</v>
      </c>
      <c r="K149">
        <v>2</v>
      </c>
      <c r="L149">
        <v>48</v>
      </c>
      <c r="M149">
        <v>2</v>
      </c>
      <c r="N149" t="s">
        <v>38</v>
      </c>
      <c r="O149" t="s">
        <v>39</v>
      </c>
      <c r="P149" t="s">
        <v>40</v>
      </c>
      <c r="Q149" t="s">
        <v>41</v>
      </c>
      <c r="R149" t="s">
        <v>42</v>
      </c>
      <c r="S149" t="s">
        <v>43</v>
      </c>
      <c r="T149" t="s">
        <v>44</v>
      </c>
      <c r="U149">
        <v>2</v>
      </c>
      <c r="V149" t="s">
        <v>45</v>
      </c>
      <c r="W149" t="s">
        <v>166</v>
      </c>
      <c r="X149" t="s">
        <v>214</v>
      </c>
      <c r="Y149">
        <v>2</v>
      </c>
      <c r="Z149">
        <v>2</v>
      </c>
      <c r="AA149">
        <v>44.1</v>
      </c>
      <c r="AB149">
        <v>1.2E-2</v>
      </c>
      <c r="AC149" t="s">
        <v>44</v>
      </c>
      <c r="AD149">
        <v>1</v>
      </c>
      <c r="AE149">
        <v>2</v>
      </c>
      <c r="AF149">
        <v>1</v>
      </c>
      <c r="AG149">
        <v>2.7090000000000001</v>
      </c>
      <c r="AH149">
        <v>3.036</v>
      </c>
      <c r="AI149">
        <v>0</v>
      </c>
      <c r="AJ149">
        <v>1.0349889999999999</v>
      </c>
      <c r="AL149">
        <f t="shared" si="33"/>
        <v>1.0349889999999999</v>
      </c>
      <c r="AM149">
        <f>VLOOKUP(TRIM(N149),'[1]All - Durations'!$E$2:$H$109,4,FALSE)</f>
        <v>0.87</v>
      </c>
      <c r="AN149">
        <f t="shared" si="34"/>
        <v>0.16498899999999994</v>
      </c>
      <c r="AO149">
        <f t="shared" si="35"/>
        <v>0.16498899999999994</v>
      </c>
    </row>
    <row r="150" spans="1:41" x14ac:dyDescent="0.25">
      <c r="A150">
        <v>259</v>
      </c>
      <c r="B150" t="s">
        <v>35</v>
      </c>
      <c r="C150">
        <v>3</v>
      </c>
      <c r="D150" t="s">
        <v>36</v>
      </c>
      <c r="E150">
        <v>2</v>
      </c>
      <c r="F150" t="s">
        <v>37</v>
      </c>
      <c r="G150">
        <v>3</v>
      </c>
      <c r="H150">
        <v>5</v>
      </c>
      <c r="I150">
        <v>1</v>
      </c>
      <c r="J150">
        <v>5</v>
      </c>
      <c r="K150">
        <v>12</v>
      </c>
      <c r="L150">
        <v>44</v>
      </c>
      <c r="M150">
        <v>2</v>
      </c>
      <c r="N150" t="s">
        <v>76</v>
      </c>
      <c r="O150" t="s">
        <v>39</v>
      </c>
      <c r="P150" t="s">
        <v>77</v>
      </c>
      <c r="Q150" t="s">
        <v>78</v>
      </c>
      <c r="R150" t="s">
        <v>51</v>
      </c>
      <c r="S150" t="s">
        <v>52</v>
      </c>
      <c r="T150" t="s">
        <v>79</v>
      </c>
      <c r="U150">
        <v>5</v>
      </c>
      <c r="V150" t="s">
        <v>80</v>
      </c>
      <c r="W150" t="s">
        <v>146</v>
      </c>
      <c r="X150" t="s">
        <v>124</v>
      </c>
      <c r="Y150">
        <v>1</v>
      </c>
      <c r="Z150">
        <v>2</v>
      </c>
      <c r="AA150">
        <v>44.1</v>
      </c>
      <c r="AB150">
        <v>4.9000000000000002E-2</v>
      </c>
      <c r="AC150" t="s">
        <v>124</v>
      </c>
      <c r="AD150">
        <v>4</v>
      </c>
      <c r="AE150">
        <v>1</v>
      </c>
      <c r="AF150">
        <v>0</v>
      </c>
      <c r="AG150">
        <v>2.5299999999999998</v>
      </c>
      <c r="AH150">
        <v>3.036</v>
      </c>
      <c r="AI150">
        <v>4.9000000000000002E-2</v>
      </c>
      <c r="AJ150">
        <v>1.064989</v>
      </c>
      <c r="AL150">
        <f t="shared" si="33"/>
        <v>1.064989</v>
      </c>
      <c r="AM150">
        <f>VLOOKUP(TRIM(N150),'[1]All - Durations'!$E$2:$H$109,4,FALSE)</f>
        <v>0.999</v>
      </c>
      <c r="AN150">
        <f t="shared" si="34"/>
        <v>6.5988999999999964E-2</v>
      </c>
      <c r="AO150">
        <f t="shared" si="35"/>
        <v>6.5988999999999964E-2</v>
      </c>
    </row>
    <row r="151" spans="1:41" x14ac:dyDescent="0.25">
      <c r="A151">
        <v>259</v>
      </c>
      <c r="B151" t="s">
        <v>35</v>
      </c>
      <c r="C151">
        <v>3</v>
      </c>
      <c r="D151" t="s">
        <v>36</v>
      </c>
      <c r="E151">
        <v>2</v>
      </c>
      <c r="F151" t="s">
        <v>37</v>
      </c>
      <c r="G151">
        <v>3</v>
      </c>
      <c r="H151">
        <v>5</v>
      </c>
      <c r="I151">
        <v>1</v>
      </c>
      <c r="J151">
        <v>6</v>
      </c>
      <c r="K151">
        <v>8</v>
      </c>
      <c r="L151">
        <v>40</v>
      </c>
      <c r="M151">
        <v>2</v>
      </c>
      <c r="N151" t="s">
        <v>84</v>
      </c>
      <c r="O151" t="s">
        <v>39</v>
      </c>
      <c r="P151" t="s">
        <v>64</v>
      </c>
      <c r="Q151" t="s">
        <v>65</v>
      </c>
      <c r="R151" t="s">
        <v>42</v>
      </c>
      <c r="S151" t="s">
        <v>43</v>
      </c>
      <c r="T151" t="s">
        <v>67</v>
      </c>
      <c r="U151">
        <v>5</v>
      </c>
      <c r="V151" t="s">
        <v>85</v>
      </c>
      <c r="W151" t="s">
        <v>162</v>
      </c>
      <c r="X151" t="s">
        <v>139</v>
      </c>
      <c r="Y151">
        <v>2</v>
      </c>
      <c r="Z151">
        <v>2</v>
      </c>
      <c r="AA151">
        <v>44.1</v>
      </c>
      <c r="AB151">
        <v>0.16</v>
      </c>
      <c r="AC151" t="s">
        <v>67</v>
      </c>
      <c r="AD151">
        <v>1</v>
      </c>
      <c r="AE151">
        <v>5</v>
      </c>
      <c r="AF151">
        <v>1</v>
      </c>
      <c r="AG151">
        <v>2.048</v>
      </c>
      <c r="AH151">
        <v>3.036</v>
      </c>
      <c r="AI151">
        <v>0.159</v>
      </c>
      <c r="AJ151">
        <v>1.2249890000000001</v>
      </c>
      <c r="AL151">
        <f t="shared" si="33"/>
        <v>1.2249890000000001</v>
      </c>
      <c r="AM151">
        <f>VLOOKUP(TRIM(N151),'[1]All - Durations'!$E$2:$H$109,4,FALSE)</f>
        <v>1.1020000000000001</v>
      </c>
      <c r="AN151">
        <f t="shared" si="34"/>
        <v>0.12298900000000001</v>
      </c>
      <c r="AO151">
        <f t="shared" si="35"/>
        <v>0.12298900000000001</v>
      </c>
    </row>
    <row r="152" spans="1:41" x14ac:dyDescent="0.25">
      <c r="A152">
        <v>259</v>
      </c>
      <c r="B152" t="s">
        <v>35</v>
      </c>
      <c r="C152">
        <v>3</v>
      </c>
      <c r="D152" t="s">
        <v>36</v>
      </c>
      <c r="E152">
        <v>2</v>
      </c>
      <c r="F152" t="s">
        <v>37</v>
      </c>
      <c r="G152">
        <v>3</v>
      </c>
      <c r="H152">
        <v>5</v>
      </c>
      <c r="I152">
        <v>1</v>
      </c>
      <c r="J152">
        <v>7</v>
      </c>
      <c r="K152">
        <v>1</v>
      </c>
      <c r="L152">
        <v>47</v>
      </c>
      <c r="M152">
        <v>2</v>
      </c>
      <c r="N152" t="s">
        <v>57</v>
      </c>
      <c r="O152" t="s">
        <v>39</v>
      </c>
      <c r="P152" t="s">
        <v>40</v>
      </c>
      <c r="Q152" t="s">
        <v>41</v>
      </c>
      <c r="R152" t="s">
        <v>58</v>
      </c>
      <c r="S152" t="s">
        <v>59</v>
      </c>
      <c r="T152" t="s">
        <v>60</v>
      </c>
      <c r="U152">
        <v>4</v>
      </c>
      <c r="V152" t="s">
        <v>44</v>
      </c>
      <c r="W152" t="s">
        <v>74</v>
      </c>
      <c r="X152" t="s">
        <v>86</v>
      </c>
      <c r="Y152">
        <v>1</v>
      </c>
      <c r="Z152">
        <v>2</v>
      </c>
      <c r="AA152">
        <v>44.1</v>
      </c>
      <c r="AB152">
        <v>1.171</v>
      </c>
      <c r="AC152" t="s">
        <v>74</v>
      </c>
      <c r="AD152">
        <v>4</v>
      </c>
      <c r="AE152">
        <v>2</v>
      </c>
      <c r="AF152">
        <v>0</v>
      </c>
      <c r="AG152">
        <v>1.905</v>
      </c>
      <c r="AH152">
        <v>3.036</v>
      </c>
      <c r="AI152">
        <v>1.1659999999999999</v>
      </c>
      <c r="AJ152">
        <v>1.1849890000000001</v>
      </c>
      <c r="AL152">
        <f t="shared" si="33"/>
        <v>1.1849890000000001</v>
      </c>
      <c r="AM152">
        <f>VLOOKUP(TRIM(N152),'[1]All - Durations'!$E$2:$H$109,4,FALSE)</f>
        <v>0.93600000000000005</v>
      </c>
      <c r="AN152">
        <f t="shared" si="34"/>
        <v>0.24898900000000002</v>
      </c>
      <c r="AO152">
        <f t="shared" si="35"/>
        <v>0.24898900000000002</v>
      </c>
    </row>
    <row r="153" spans="1:41" x14ac:dyDescent="0.25">
      <c r="A153">
        <v>259</v>
      </c>
      <c r="B153" t="s">
        <v>35</v>
      </c>
      <c r="C153">
        <v>3</v>
      </c>
      <c r="D153" t="s">
        <v>36</v>
      </c>
      <c r="E153">
        <v>2</v>
      </c>
      <c r="F153" t="s">
        <v>37</v>
      </c>
      <c r="G153">
        <v>3</v>
      </c>
      <c r="H153">
        <v>5</v>
      </c>
      <c r="I153">
        <v>1</v>
      </c>
      <c r="J153">
        <v>8</v>
      </c>
      <c r="K153">
        <v>4</v>
      </c>
      <c r="L153">
        <v>2</v>
      </c>
      <c r="M153">
        <v>1</v>
      </c>
      <c r="N153" t="s">
        <v>109</v>
      </c>
      <c r="O153" t="s">
        <v>39</v>
      </c>
      <c r="P153" t="s">
        <v>71</v>
      </c>
      <c r="Q153" t="s">
        <v>72</v>
      </c>
      <c r="R153" t="s">
        <v>91</v>
      </c>
      <c r="S153" t="s">
        <v>92</v>
      </c>
      <c r="T153" t="s">
        <v>94</v>
      </c>
      <c r="U153">
        <v>5</v>
      </c>
      <c r="V153" t="s">
        <v>73</v>
      </c>
      <c r="W153" t="s">
        <v>81</v>
      </c>
      <c r="X153" t="s">
        <v>110</v>
      </c>
      <c r="Y153">
        <v>1</v>
      </c>
      <c r="Z153">
        <v>2</v>
      </c>
      <c r="AA153">
        <v>44.1</v>
      </c>
      <c r="AB153">
        <v>1.2010000000000001</v>
      </c>
      <c r="AC153" t="s">
        <v>110</v>
      </c>
      <c r="AD153">
        <v>4</v>
      </c>
      <c r="AE153">
        <v>1</v>
      </c>
      <c r="AF153">
        <v>0</v>
      </c>
      <c r="AG153">
        <v>2.8730000000000002</v>
      </c>
      <c r="AH153">
        <v>3.036</v>
      </c>
      <c r="AI153">
        <v>1.1950000000000001</v>
      </c>
      <c r="AJ153">
        <v>1.1949890000000001</v>
      </c>
      <c r="AL153">
        <f t="shared" si="33"/>
        <v>1.1949890000000001</v>
      </c>
      <c r="AM153">
        <f>VLOOKUP(TRIM(N153),'[1]All - Durations'!$E$2:$H$109,4,FALSE)</f>
        <v>0.872</v>
      </c>
      <c r="AN153">
        <f t="shared" si="34"/>
        <v>0.32298900000000008</v>
      </c>
      <c r="AO153">
        <f t="shared" si="35"/>
        <v>0.32298900000000008</v>
      </c>
    </row>
    <row r="154" spans="1:41" x14ac:dyDescent="0.25">
      <c r="A154">
        <v>259</v>
      </c>
      <c r="B154" t="s">
        <v>35</v>
      </c>
      <c r="C154">
        <v>3</v>
      </c>
      <c r="D154" t="s">
        <v>36</v>
      </c>
      <c r="E154">
        <v>2</v>
      </c>
      <c r="F154" t="s">
        <v>37</v>
      </c>
      <c r="G154">
        <v>3</v>
      </c>
      <c r="H154">
        <v>5</v>
      </c>
      <c r="I154">
        <v>1</v>
      </c>
      <c r="J154">
        <v>9</v>
      </c>
      <c r="K154">
        <v>10</v>
      </c>
      <c r="L154">
        <v>4</v>
      </c>
      <c r="M154">
        <v>1</v>
      </c>
      <c r="N154" t="s">
        <v>101</v>
      </c>
      <c r="O154" t="s">
        <v>39</v>
      </c>
      <c r="P154" t="s">
        <v>89</v>
      </c>
      <c r="Q154" t="s">
        <v>90</v>
      </c>
      <c r="R154" t="s">
        <v>51</v>
      </c>
      <c r="S154" t="s">
        <v>52</v>
      </c>
      <c r="T154" t="s">
        <v>102</v>
      </c>
      <c r="U154">
        <v>1</v>
      </c>
      <c r="V154" t="s">
        <v>93</v>
      </c>
      <c r="W154" t="s">
        <v>204</v>
      </c>
      <c r="X154" t="s">
        <v>87</v>
      </c>
      <c r="Y154">
        <v>1</v>
      </c>
      <c r="Z154">
        <v>2</v>
      </c>
      <c r="AA154">
        <v>44.1</v>
      </c>
      <c r="AB154">
        <v>1.093</v>
      </c>
      <c r="AC154" t="s">
        <v>102</v>
      </c>
      <c r="AD154">
        <v>1</v>
      </c>
      <c r="AE154">
        <v>1</v>
      </c>
      <c r="AF154">
        <v>1</v>
      </c>
      <c r="AG154">
        <v>2.7770000000000001</v>
      </c>
      <c r="AH154">
        <v>3.036</v>
      </c>
      <c r="AI154">
        <v>1.097</v>
      </c>
      <c r="AJ154">
        <v>1.2149890000000001</v>
      </c>
      <c r="AL154">
        <f t="shared" si="33"/>
        <v>1.2149890000000001</v>
      </c>
      <c r="AM154">
        <f>VLOOKUP(TRIM(N154),'[1]All - Durations'!$E$2:$H$109,4,FALSE)</f>
        <v>0.93799999999999994</v>
      </c>
      <c r="AN154">
        <f t="shared" si="34"/>
        <v>0.27698900000000015</v>
      </c>
      <c r="AO154">
        <f t="shared" si="35"/>
        <v>0.27698900000000015</v>
      </c>
    </row>
    <row r="155" spans="1:41" x14ac:dyDescent="0.25">
      <c r="A155">
        <v>259</v>
      </c>
      <c r="B155" t="s">
        <v>35</v>
      </c>
      <c r="C155">
        <v>3</v>
      </c>
      <c r="D155" t="s">
        <v>36</v>
      </c>
      <c r="E155">
        <v>2</v>
      </c>
      <c r="F155" t="s">
        <v>37</v>
      </c>
      <c r="G155">
        <v>3</v>
      </c>
      <c r="H155">
        <v>5</v>
      </c>
      <c r="I155">
        <v>1</v>
      </c>
      <c r="J155">
        <v>10</v>
      </c>
      <c r="K155">
        <v>5</v>
      </c>
      <c r="L155">
        <v>37</v>
      </c>
      <c r="M155">
        <v>2</v>
      </c>
      <c r="N155" t="s">
        <v>97</v>
      </c>
      <c r="O155" t="s">
        <v>39</v>
      </c>
      <c r="P155" t="s">
        <v>49</v>
      </c>
      <c r="Q155" t="s">
        <v>50</v>
      </c>
      <c r="R155" t="s">
        <v>91</v>
      </c>
      <c r="S155" t="s">
        <v>92</v>
      </c>
      <c r="T155" t="s">
        <v>54</v>
      </c>
      <c r="U155">
        <v>4</v>
      </c>
      <c r="V155" t="s">
        <v>98</v>
      </c>
      <c r="W155" t="s">
        <v>82</v>
      </c>
      <c r="X155" t="s">
        <v>111</v>
      </c>
      <c r="Y155">
        <v>2</v>
      </c>
      <c r="Z155">
        <v>2</v>
      </c>
      <c r="AA155">
        <v>44.1</v>
      </c>
      <c r="AB155">
        <v>1.06</v>
      </c>
      <c r="AC155" t="s">
        <v>111</v>
      </c>
      <c r="AD155">
        <v>4</v>
      </c>
      <c r="AE155">
        <v>2</v>
      </c>
      <c r="AF155">
        <v>0</v>
      </c>
      <c r="AG155">
        <v>2.6779999999999999</v>
      </c>
      <c r="AH155">
        <v>3.036</v>
      </c>
      <c r="AI155">
        <v>1.052</v>
      </c>
      <c r="AJ155">
        <v>1.054989</v>
      </c>
      <c r="AL155">
        <f t="shared" si="33"/>
        <v>1.054989</v>
      </c>
      <c r="AM155">
        <f>VLOOKUP(TRIM(N155),'[1]All - Durations'!$E$2:$H$109,4,FALSE)</f>
        <v>0.74</v>
      </c>
      <c r="AN155">
        <f t="shared" si="34"/>
        <v>0.31498899999999996</v>
      </c>
      <c r="AO155">
        <f t="shared" si="35"/>
        <v>0.31498899999999996</v>
      </c>
    </row>
    <row r="156" spans="1:41" x14ac:dyDescent="0.25">
      <c r="A156">
        <v>259</v>
      </c>
      <c r="B156" t="s">
        <v>35</v>
      </c>
      <c r="C156">
        <v>3</v>
      </c>
      <c r="D156" t="s">
        <v>36</v>
      </c>
      <c r="E156">
        <v>2</v>
      </c>
      <c r="F156" t="s">
        <v>37</v>
      </c>
      <c r="G156">
        <v>3</v>
      </c>
      <c r="H156">
        <v>5</v>
      </c>
      <c r="I156">
        <v>1</v>
      </c>
      <c r="J156">
        <v>11</v>
      </c>
      <c r="K156">
        <v>11</v>
      </c>
      <c r="L156">
        <v>43</v>
      </c>
      <c r="M156">
        <v>2</v>
      </c>
      <c r="N156" t="s">
        <v>105</v>
      </c>
      <c r="O156" t="s">
        <v>39</v>
      </c>
      <c r="P156" t="s">
        <v>77</v>
      </c>
      <c r="Q156" t="s">
        <v>78</v>
      </c>
      <c r="R156" t="s">
        <v>91</v>
      </c>
      <c r="S156" t="s">
        <v>92</v>
      </c>
      <c r="T156" t="s">
        <v>80</v>
      </c>
      <c r="U156">
        <v>1</v>
      </c>
      <c r="V156" t="s">
        <v>106</v>
      </c>
      <c r="W156" t="s">
        <v>75</v>
      </c>
      <c r="X156" t="s">
        <v>104</v>
      </c>
      <c r="Y156">
        <v>2</v>
      </c>
      <c r="Z156">
        <v>2</v>
      </c>
      <c r="AA156">
        <v>44.1</v>
      </c>
      <c r="AB156">
        <v>0.11899999999999999</v>
      </c>
      <c r="AC156" t="s">
        <v>106</v>
      </c>
      <c r="AD156">
        <v>3</v>
      </c>
      <c r="AE156">
        <v>5</v>
      </c>
      <c r="AF156">
        <v>0</v>
      </c>
      <c r="AG156">
        <v>1.9990000000000001</v>
      </c>
      <c r="AH156">
        <v>3.036</v>
      </c>
      <c r="AI156">
        <v>0.11600000000000001</v>
      </c>
      <c r="AJ156">
        <v>1.2949889999999999</v>
      </c>
      <c r="AL156">
        <f t="shared" si="33"/>
        <v>1.2949889999999999</v>
      </c>
      <c r="AM156">
        <f>VLOOKUP(TRIM(N156),'[1]All - Durations'!$E$2:$H$109,4,FALSE)</f>
        <v>1.002</v>
      </c>
      <c r="AN156">
        <f t="shared" si="34"/>
        <v>0.29298899999999994</v>
      </c>
      <c r="AO156">
        <f t="shared" si="35"/>
        <v>0.29298899999999994</v>
      </c>
    </row>
    <row r="157" spans="1:41" x14ac:dyDescent="0.25">
      <c r="A157">
        <v>259</v>
      </c>
      <c r="B157" t="s">
        <v>35</v>
      </c>
      <c r="C157">
        <v>3</v>
      </c>
      <c r="D157" t="s">
        <v>36</v>
      </c>
      <c r="E157">
        <v>2</v>
      </c>
      <c r="F157" t="s">
        <v>37</v>
      </c>
      <c r="G157">
        <v>3</v>
      </c>
      <c r="H157">
        <v>5</v>
      </c>
      <c r="I157">
        <v>1</v>
      </c>
      <c r="J157">
        <v>12</v>
      </c>
      <c r="K157">
        <v>7</v>
      </c>
      <c r="L157">
        <v>39</v>
      </c>
      <c r="M157">
        <v>2</v>
      </c>
      <c r="N157" t="s">
        <v>63</v>
      </c>
      <c r="O157" t="s">
        <v>39</v>
      </c>
      <c r="P157" t="s">
        <v>64</v>
      </c>
      <c r="Q157" t="s">
        <v>65</v>
      </c>
      <c r="R157" t="s">
        <v>58</v>
      </c>
      <c r="S157" t="s">
        <v>59</v>
      </c>
      <c r="T157" t="s">
        <v>66</v>
      </c>
      <c r="U157">
        <v>2</v>
      </c>
      <c r="V157" t="s">
        <v>67</v>
      </c>
      <c r="W157" t="s">
        <v>155</v>
      </c>
      <c r="X157" t="s">
        <v>128</v>
      </c>
      <c r="Y157">
        <v>1</v>
      </c>
      <c r="Z157">
        <v>2</v>
      </c>
      <c r="AA157">
        <v>44.1</v>
      </c>
      <c r="AB157">
        <v>4.2999999999999997E-2</v>
      </c>
      <c r="AC157" t="s">
        <v>67</v>
      </c>
      <c r="AD157">
        <v>2</v>
      </c>
      <c r="AE157">
        <v>4</v>
      </c>
      <c r="AF157">
        <v>0</v>
      </c>
      <c r="AG157">
        <v>1.5349999999999999</v>
      </c>
      <c r="AH157">
        <v>1.7849999999999999</v>
      </c>
      <c r="AI157">
        <v>4.7E-2</v>
      </c>
      <c r="AJ157">
        <v>1.1849890000000001</v>
      </c>
      <c r="AL157">
        <f t="shared" si="33"/>
        <v>1.1849890000000001</v>
      </c>
      <c r="AM157">
        <f>VLOOKUP(TRIM(N157),'[1]All - Durations'!$E$2:$H$109,4,FALSE)</f>
        <v>0.96399999999999997</v>
      </c>
      <c r="AN157">
        <f t="shared" si="34"/>
        <v>0.2209890000000001</v>
      </c>
      <c r="AO157">
        <f t="shared" si="35"/>
        <v>0.2209890000000001</v>
      </c>
    </row>
    <row r="158" spans="1:41" x14ac:dyDescent="0.25">
      <c r="A158">
        <v>259</v>
      </c>
      <c r="B158" t="s">
        <v>35</v>
      </c>
      <c r="C158">
        <v>3</v>
      </c>
      <c r="D158" t="s">
        <v>36</v>
      </c>
      <c r="E158">
        <v>2</v>
      </c>
      <c r="F158" t="s">
        <v>37</v>
      </c>
      <c r="G158">
        <v>3</v>
      </c>
      <c r="H158">
        <v>5</v>
      </c>
      <c r="I158">
        <v>1</v>
      </c>
      <c r="J158">
        <v>13</v>
      </c>
      <c r="K158">
        <v>17</v>
      </c>
      <c r="L158">
        <v>61</v>
      </c>
      <c r="M158">
        <v>2</v>
      </c>
      <c r="N158" t="s">
        <v>125</v>
      </c>
      <c r="O158" t="s">
        <v>113</v>
      </c>
      <c r="P158" t="s">
        <v>114</v>
      </c>
      <c r="Q158" t="s">
        <v>126</v>
      </c>
      <c r="R158" t="s">
        <v>114</v>
      </c>
      <c r="S158" t="s">
        <v>92</v>
      </c>
      <c r="T158" t="s">
        <v>127</v>
      </c>
      <c r="U158">
        <v>1</v>
      </c>
      <c r="V158" t="s">
        <v>128</v>
      </c>
      <c r="W158" t="s">
        <v>161</v>
      </c>
      <c r="X158" t="s">
        <v>131</v>
      </c>
      <c r="Y158">
        <v>1</v>
      </c>
      <c r="Z158">
        <v>2</v>
      </c>
      <c r="AA158">
        <v>44.1</v>
      </c>
      <c r="AB158">
        <v>0.13200000000000001</v>
      </c>
      <c r="AC158" t="s">
        <v>161</v>
      </c>
      <c r="AD158">
        <v>4</v>
      </c>
      <c r="AE158">
        <v>5</v>
      </c>
      <c r="AF158">
        <v>0</v>
      </c>
      <c r="AG158">
        <v>2.806</v>
      </c>
      <c r="AH158">
        <v>3.036</v>
      </c>
      <c r="AI158">
        <v>0.125</v>
      </c>
      <c r="AJ158">
        <v>1.2049890000000001</v>
      </c>
      <c r="AL158">
        <f t="shared" si="33"/>
        <v>1.2049890000000001</v>
      </c>
      <c r="AM158">
        <f>VLOOKUP(TRIM(N158),'[1]All - Durations'!$E$2:$H$109,4,FALSE)</f>
        <v>0.94899999999999995</v>
      </c>
      <c r="AN158">
        <f t="shared" si="34"/>
        <v>0.25598900000000013</v>
      </c>
      <c r="AO158">
        <f t="shared" si="35"/>
        <v>0.25598900000000013</v>
      </c>
    </row>
    <row r="159" spans="1:41" x14ac:dyDescent="0.25">
      <c r="A159">
        <v>259</v>
      </c>
      <c r="B159" t="s">
        <v>35</v>
      </c>
      <c r="C159">
        <v>3</v>
      </c>
      <c r="D159" t="s">
        <v>36</v>
      </c>
      <c r="E159">
        <v>2</v>
      </c>
      <c r="F159" t="s">
        <v>37</v>
      </c>
      <c r="G159">
        <v>3</v>
      </c>
      <c r="H159">
        <v>5</v>
      </c>
      <c r="I159">
        <v>1</v>
      </c>
      <c r="J159">
        <v>14</v>
      </c>
      <c r="K159">
        <v>13</v>
      </c>
      <c r="L159">
        <v>71</v>
      </c>
      <c r="M159">
        <v>2</v>
      </c>
      <c r="N159" t="s">
        <v>143</v>
      </c>
      <c r="O159" t="s">
        <v>113</v>
      </c>
      <c r="P159" t="s">
        <v>114</v>
      </c>
      <c r="Q159" t="s">
        <v>115</v>
      </c>
      <c r="R159" t="s">
        <v>114</v>
      </c>
      <c r="S159" t="s">
        <v>59</v>
      </c>
      <c r="T159" t="s">
        <v>46</v>
      </c>
      <c r="U159">
        <v>4</v>
      </c>
      <c r="V159" t="s">
        <v>104</v>
      </c>
      <c r="W159" t="s">
        <v>62</v>
      </c>
      <c r="X159" t="s">
        <v>54</v>
      </c>
      <c r="Y159">
        <v>1</v>
      </c>
      <c r="Z159">
        <v>2</v>
      </c>
      <c r="AA159">
        <v>44.1</v>
      </c>
      <c r="AB159">
        <v>0.01</v>
      </c>
      <c r="AC159" t="s">
        <v>62</v>
      </c>
      <c r="AD159">
        <v>4</v>
      </c>
      <c r="AE159">
        <v>5</v>
      </c>
      <c r="AF159">
        <v>0</v>
      </c>
      <c r="AG159">
        <v>2.7069999999999999</v>
      </c>
      <c r="AH159">
        <v>1.6180000000000001</v>
      </c>
      <c r="AI159">
        <v>1E-3</v>
      </c>
      <c r="AJ159">
        <v>1.4249890000000001</v>
      </c>
      <c r="AL159">
        <f t="shared" si="33"/>
        <v>1.4249890000000001</v>
      </c>
      <c r="AM159">
        <f>VLOOKUP(TRIM(N159),'[1]All - Durations'!$E$2:$H$109,4,FALSE)</f>
        <v>0.82799999999999996</v>
      </c>
      <c r="AN159">
        <f t="shared" si="34"/>
        <v>0.5969890000000001</v>
      </c>
      <c r="AO159">
        <f t="shared" si="35"/>
        <v>0.5969890000000001</v>
      </c>
    </row>
    <row r="160" spans="1:41" x14ac:dyDescent="0.25">
      <c r="A160">
        <v>259</v>
      </c>
      <c r="B160" t="s">
        <v>35</v>
      </c>
      <c r="C160">
        <v>3</v>
      </c>
      <c r="D160" t="s">
        <v>36</v>
      </c>
      <c r="E160">
        <v>2</v>
      </c>
      <c r="F160" t="s">
        <v>37</v>
      </c>
      <c r="G160">
        <v>3</v>
      </c>
      <c r="H160">
        <v>5</v>
      </c>
      <c r="I160">
        <v>1</v>
      </c>
      <c r="J160">
        <v>15</v>
      </c>
      <c r="K160">
        <v>23</v>
      </c>
      <c r="L160">
        <v>67</v>
      </c>
      <c r="M160">
        <v>2</v>
      </c>
      <c r="N160" t="s">
        <v>145</v>
      </c>
      <c r="O160" t="s">
        <v>113</v>
      </c>
      <c r="P160" t="s">
        <v>114</v>
      </c>
      <c r="Q160" t="s">
        <v>136</v>
      </c>
      <c r="R160" t="s">
        <v>114</v>
      </c>
      <c r="S160" t="s">
        <v>92</v>
      </c>
      <c r="T160" t="s">
        <v>137</v>
      </c>
      <c r="U160">
        <v>2</v>
      </c>
      <c r="V160" t="s">
        <v>127</v>
      </c>
      <c r="W160" t="s">
        <v>47</v>
      </c>
      <c r="X160" t="s">
        <v>144</v>
      </c>
      <c r="Y160">
        <v>2</v>
      </c>
      <c r="Z160">
        <v>2</v>
      </c>
      <c r="AA160">
        <v>44.1</v>
      </c>
      <c r="AB160">
        <v>2E-3</v>
      </c>
      <c r="AC160" t="s">
        <v>144</v>
      </c>
      <c r="AD160">
        <v>4</v>
      </c>
      <c r="AE160">
        <v>1</v>
      </c>
      <c r="AF160">
        <v>0</v>
      </c>
      <c r="AG160">
        <v>2.1850000000000001</v>
      </c>
      <c r="AH160">
        <v>2.2850000000000001</v>
      </c>
      <c r="AI160">
        <v>3.0000000000000001E-3</v>
      </c>
      <c r="AJ160">
        <v>1.154989</v>
      </c>
      <c r="AL160">
        <f t="shared" si="33"/>
        <v>1.154989</v>
      </c>
      <c r="AM160">
        <f>VLOOKUP(TRIM(N160),'[1]All - Durations'!$E$2:$H$109,4,FALSE)</f>
        <v>0.96199999999999997</v>
      </c>
      <c r="AN160">
        <f t="shared" si="34"/>
        <v>0.19298900000000008</v>
      </c>
      <c r="AO160">
        <f t="shared" si="35"/>
        <v>0.19298900000000008</v>
      </c>
    </row>
    <row r="161" spans="1:41" x14ac:dyDescent="0.25">
      <c r="A161">
        <v>259</v>
      </c>
      <c r="B161" t="s">
        <v>35</v>
      </c>
      <c r="C161">
        <v>3</v>
      </c>
      <c r="D161" t="s">
        <v>36</v>
      </c>
      <c r="E161">
        <v>2</v>
      </c>
      <c r="F161" t="s">
        <v>37</v>
      </c>
      <c r="G161">
        <v>3</v>
      </c>
      <c r="H161">
        <v>5</v>
      </c>
      <c r="I161">
        <v>1</v>
      </c>
      <c r="J161">
        <v>16</v>
      </c>
      <c r="K161">
        <v>21</v>
      </c>
      <c r="L161">
        <v>27</v>
      </c>
      <c r="M161">
        <v>1</v>
      </c>
      <c r="N161" t="s">
        <v>129</v>
      </c>
      <c r="O161" t="s">
        <v>113</v>
      </c>
      <c r="P161" t="s">
        <v>114</v>
      </c>
      <c r="Q161" t="s">
        <v>118</v>
      </c>
      <c r="R161" t="s">
        <v>114</v>
      </c>
      <c r="S161" t="s">
        <v>92</v>
      </c>
      <c r="T161" t="s">
        <v>120</v>
      </c>
      <c r="U161">
        <v>1</v>
      </c>
      <c r="V161" t="s">
        <v>130</v>
      </c>
      <c r="W161" t="s">
        <v>96</v>
      </c>
      <c r="X161" t="s">
        <v>138</v>
      </c>
      <c r="Y161">
        <v>2</v>
      </c>
      <c r="Z161">
        <v>2</v>
      </c>
      <c r="AA161">
        <v>44.1</v>
      </c>
      <c r="AB161">
        <v>4.1000000000000002E-2</v>
      </c>
      <c r="AC161" t="s">
        <v>120</v>
      </c>
      <c r="AD161">
        <v>1</v>
      </c>
      <c r="AE161">
        <v>1</v>
      </c>
      <c r="AF161">
        <v>1</v>
      </c>
      <c r="AG161">
        <v>2.5190000000000001</v>
      </c>
      <c r="AH161">
        <v>0.85099999999999998</v>
      </c>
      <c r="AI161">
        <v>4.7E-2</v>
      </c>
      <c r="AJ161">
        <v>1.2149890000000001</v>
      </c>
      <c r="AL161">
        <f t="shared" si="33"/>
        <v>1.2149890000000001</v>
      </c>
      <c r="AM161">
        <f>VLOOKUP(TRIM(N161),'[1]All - Durations'!$E$2:$H$109,4,FALSE)</f>
        <v>0.92900000000000005</v>
      </c>
      <c r="AN161">
        <f t="shared" si="34"/>
        <v>0.28598900000000005</v>
      </c>
      <c r="AO161">
        <f t="shared" si="35"/>
        <v>0.28598900000000005</v>
      </c>
    </row>
    <row r="162" spans="1:41" x14ac:dyDescent="0.25">
      <c r="A162">
        <v>259</v>
      </c>
      <c r="B162" t="s">
        <v>35</v>
      </c>
      <c r="C162">
        <v>3</v>
      </c>
      <c r="D162" t="s">
        <v>36</v>
      </c>
      <c r="E162">
        <v>2</v>
      </c>
      <c r="F162" t="s">
        <v>37</v>
      </c>
      <c r="G162">
        <v>3</v>
      </c>
      <c r="H162">
        <v>5</v>
      </c>
      <c r="I162">
        <v>1</v>
      </c>
      <c r="J162">
        <v>17</v>
      </c>
      <c r="K162">
        <v>15</v>
      </c>
      <c r="L162">
        <v>25</v>
      </c>
      <c r="M162">
        <v>1</v>
      </c>
      <c r="N162" t="s">
        <v>122</v>
      </c>
      <c r="O162" t="s">
        <v>113</v>
      </c>
      <c r="P162" t="s">
        <v>114</v>
      </c>
      <c r="Q162" t="s">
        <v>123</v>
      </c>
      <c r="R162" t="s">
        <v>114</v>
      </c>
      <c r="S162" t="s">
        <v>59</v>
      </c>
      <c r="T162" t="s">
        <v>124</v>
      </c>
      <c r="U162">
        <v>2</v>
      </c>
      <c r="V162" t="s">
        <v>46</v>
      </c>
      <c r="W162" t="s">
        <v>94</v>
      </c>
      <c r="X162" t="s">
        <v>99</v>
      </c>
      <c r="Y162">
        <v>2</v>
      </c>
      <c r="Z162">
        <v>2</v>
      </c>
      <c r="AA162">
        <v>44.1</v>
      </c>
      <c r="AB162">
        <v>0.27300000000000002</v>
      </c>
      <c r="AC162" t="s">
        <v>99</v>
      </c>
      <c r="AD162">
        <v>4</v>
      </c>
      <c r="AE162">
        <v>5</v>
      </c>
      <c r="AF162">
        <v>0</v>
      </c>
      <c r="AG162">
        <v>1.4330000000000001</v>
      </c>
      <c r="AH162">
        <v>0.60099999999999998</v>
      </c>
      <c r="AI162">
        <v>0.27300000000000002</v>
      </c>
      <c r="AJ162">
        <v>1.064989</v>
      </c>
      <c r="AL162">
        <f t="shared" si="33"/>
        <v>1.064989</v>
      </c>
      <c r="AM162">
        <f>VLOOKUP(TRIM(N162),'[1]All - Durations'!$E$2:$H$109,4,FALSE)</f>
        <v>0.83899999999999997</v>
      </c>
      <c r="AN162">
        <f t="shared" si="34"/>
        <v>0.225989</v>
      </c>
      <c r="AO162">
        <f t="shared" si="35"/>
        <v>0.225989</v>
      </c>
    </row>
    <row r="163" spans="1:41" x14ac:dyDescent="0.25">
      <c r="A163">
        <v>259</v>
      </c>
      <c r="B163" t="s">
        <v>35</v>
      </c>
      <c r="C163">
        <v>3</v>
      </c>
      <c r="D163" t="s">
        <v>36</v>
      </c>
      <c r="E163">
        <v>2</v>
      </c>
      <c r="F163" t="s">
        <v>37</v>
      </c>
      <c r="G163">
        <v>3</v>
      </c>
      <c r="H163">
        <v>5</v>
      </c>
      <c r="I163">
        <v>1</v>
      </c>
      <c r="J163">
        <v>18</v>
      </c>
      <c r="K163">
        <v>24</v>
      </c>
      <c r="L163">
        <v>68</v>
      </c>
      <c r="M163">
        <v>2</v>
      </c>
      <c r="N163" t="s">
        <v>135</v>
      </c>
      <c r="O163" t="s">
        <v>113</v>
      </c>
      <c r="P163" t="s">
        <v>114</v>
      </c>
      <c r="Q163" t="s">
        <v>136</v>
      </c>
      <c r="R163" t="s">
        <v>114</v>
      </c>
      <c r="S163" t="s">
        <v>52</v>
      </c>
      <c r="T163" t="s">
        <v>74</v>
      </c>
      <c r="U163">
        <v>2</v>
      </c>
      <c r="V163" t="s">
        <v>137</v>
      </c>
      <c r="W163" t="s">
        <v>108</v>
      </c>
      <c r="X163" t="s">
        <v>73</v>
      </c>
      <c r="Y163">
        <v>1</v>
      </c>
      <c r="Z163">
        <v>2</v>
      </c>
      <c r="AA163">
        <v>44.1</v>
      </c>
      <c r="AB163">
        <v>1.2490000000000001</v>
      </c>
      <c r="AC163" t="s">
        <v>73</v>
      </c>
      <c r="AD163">
        <v>4</v>
      </c>
      <c r="AE163">
        <v>1</v>
      </c>
      <c r="AF163">
        <v>0</v>
      </c>
      <c r="AG163">
        <v>2.968</v>
      </c>
      <c r="AH163">
        <v>0.4</v>
      </c>
      <c r="AI163">
        <v>1.242</v>
      </c>
      <c r="AJ163">
        <v>1.2849889999999999</v>
      </c>
      <c r="AL163">
        <f t="shared" si="33"/>
        <v>1.2849889999999999</v>
      </c>
      <c r="AM163">
        <f>VLOOKUP(TRIM(N163),'[1]All - Durations'!$E$2:$H$109,4,FALSE)</f>
        <v>1.0209999999999999</v>
      </c>
      <c r="AN163">
        <f t="shared" si="34"/>
        <v>0.26398900000000003</v>
      </c>
      <c r="AO163">
        <f t="shared" si="35"/>
        <v>0.26398900000000003</v>
      </c>
    </row>
    <row r="164" spans="1:41" x14ac:dyDescent="0.25">
      <c r="A164">
        <v>259</v>
      </c>
      <c r="B164" t="s">
        <v>35</v>
      </c>
      <c r="C164">
        <v>3</v>
      </c>
      <c r="D164" t="s">
        <v>36</v>
      </c>
      <c r="E164">
        <v>2</v>
      </c>
      <c r="F164" t="s">
        <v>37</v>
      </c>
      <c r="G164">
        <v>3</v>
      </c>
      <c r="H164">
        <v>5</v>
      </c>
      <c r="I164">
        <v>1</v>
      </c>
      <c r="J164">
        <v>19</v>
      </c>
      <c r="K164">
        <v>14</v>
      </c>
      <c r="L164">
        <v>72</v>
      </c>
      <c r="M164">
        <v>2</v>
      </c>
      <c r="N164" t="s">
        <v>112</v>
      </c>
      <c r="O164" t="s">
        <v>113</v>
      </c>
      <c r="P164" t="s">
        <v>114</v>
      </c>
      <c r="Q164" t="s">
        <v>115</v>
      </c>
      <c r="R164" t="s">
        <v>114</v>
      </c>
      <c r="S164" t="s">
        <v>43</v>
      </c>
      <c r="T164" t="s">
        <v>104</v>
      </c>
      <c r="U164">
        <v>5</v>
      </c>
      <c r="V164" t="s">
        <v>116</v>
      </c>
      <c r="W164" t="s">
        <v>183</v>
      </c>
      <c r="X164" t="s">
        <v>93</v>
      </c>
      <c r="Y164">
        <v>2</v>
      </c>
      <c r="Z164">
        <v>2</v>
      </c>
      <c r="AA164">
        <v>44.1</v>
      </c>
      <c r="AB164">
        <v>4.1000000000000002E-2</v>
      </c>
      <c r="AC164" t="s">
        <v>93</v>
      </c>
      <c r="AD164">
        <v>4</v>
      </c>
      <c r="AE164">
        <v>4</v>
      </c>
      <c r="AF164">
        <v>0</v>
      </c>
      <c r="AG164">
        <v>3.16</v>
      </c>
      <c r="AH164">
        <v>0.58399999999999996</v>
      </c>
      <c r="AI164">
        <v>4.5999999999999999E-2</v>
      </c>
      <c r="AJ164">
        <v>1.2649889999999999</v>
      </c>
      <c r="AL164">
        <f t="shared" si="33"/>
        <v>1.2649889999999999</v>
      </c>
      <c r="AM164">
        <f>VLOOKUP(TRIM(N164),'[1]All - Durations'!$E$2:$H$109,4,FALSE)</f>
        <v>0.94499999999999995</v>
      </c>
      <c r="AN164">
        <f t="shared" si="34"/>
        <v>0.31998899999999997</v>
      </c>
      <c r="AO164">
        <f t="shared" si="35"/>
        <v>0.31998899999999997</v>
      </c>
    </row>
    <row r="165" spans="1:41" x14ac:dyDescent="0.25">
      <c r="A165">
        <v>259</v>
      </c>
      <c r="B165" t="s">
        <v>35</v>
      </c>
      <c r="C165">
        <v>3</v>
      </c>
      <c r="D165" t="s">
        <v>36</v>
      </c>
      <c r="E165">
        <v>2</v>
      </c>
      <c r="F165" t="s">
        <v>37</v>
      </c>
      <c r="G165">
        <v>3</v>
      </c>
      <c r="H165">
        <v>5</v>
      </c>
      <c r="I165">
        <v>1</v>
      </c>
      <c r="J165">
        <v>20</v>
      </c>
      <c r="K165">
        <v>16</v>
      </c>
      <c r="L165">
        <v>26</v>
      </c>
      <c r="M165">
        <v>1</v>
      </c>
      <c r="N165" t="s">
        <v>148</v>
      </c>
      <c r="O165" t="s">
        <v>113</v>
      </c>
      <c r="P165" t="s">
        <v>114</v>
      </c>
      <c r="Q165" t="s">
        <v>123</v>
      </c>
      <c r="R165" t="s">
        <v>114</v>
      </c>
      <c r="S165" t="s">
        <v>92</v>
      </c>
      <c r="T165" t="s">
        <v>130</v>
      </c>
      <c r="U165">
        <v>2</v>
      </c>
      <c r="V165" t="s">
        <v>124</v>
      </c>
      <c r="W165" t="s">
        <v>75</v>
      </c>
      <c r="X165" t="s">
        <v>172</v>
      </c>
      <c r="Y165">
        <v>1</v>
      </c>
      <c r="Z165">
        <v>2</v>
      </c>
      <c r="AA165">
        <v>44.1</v>
      </c>
      <c r="AB165">
        <v>3.2000000000000001E-2</v>
      </c>
      <c r="AC165" t="s">
        <v>75</v>
      </c>
      <c r="AD165">
        <v>4</v>
      </c>
      <c r="AE165">
        <v>5</v>
      </c>
      <c r="AF165">
        <v>0</v>
      </c>
      <c r="AG165">
        <v>2.4580000000000002</v>
      </c>
      <c r="AH165">
        <v>0.55000000000000004</v>
      </c>
      <c r="AI165">
        <v>3.7999999999999999E-2</v>
      </c>
      <c r="AJ165">
        <v>1.144989</v>
      </c>
      <c r="AL165">
        <f t="shared" si="33"/>
        <v>1.144989</v>
      </c>
      <c r="AM165">
        <f>VLOOKUP(TRIM(N165),'[1]All - Durations'!$E$2:$H$109,4,FALSE)</f>
        <v>0.90400000000000003</v>
      </c>
      <c r="AN165">
        <f t="shared" si="34"/>
        <v>0.24098900000000001</v>
      </c>
      <c r="AO165">
        <f t="shared" si="35"/>
        <v>0.24098900000000001</v>
      </c>
    </row>
    <row r="166" spans="1:41" x14ac:dyDescent="0.25">
      <c r="A166">
        <v>259</v>
      </c>
      <c r="B166" t="s">
        <v>35</v>
      </c>
      <c r="C166">
        <v>3</v>
      </c>
      <c r="D166" t="s">
        <v>36</v>
      </c>
      <c r="E166">
        <v>2</v>
      </c>
      <c r="F166" t="s">
        <v>37</v>
      </c>
      <c r="G166">
        <v>3</v>
      </c>
      <c r="H166">
        <v>5</v>
      </c>
      <c r="I166">
        <v>1</v>
      </c>
      <c r="J166">
        <v>21</v>
      </c>
      <c r="K166">
        <v>19</v>
      </c>
      <c r="L166">
        <v>63</v>
      </c>
      <c r="M166">
        <v>2</v>
      </c>
      <c r="N166" t="s">
        <v>140</v>
      </c>
      <c r="O166" t="s">
        <v>113</v>
      </c>
      <c r="P166" t="s">
        <v>114</v>
      </c>
      <c r="Q166" t="s">
        <v>134</v>
      </c>
      <c r="R166" t="s">
        <v>114</v>
      </c>
      <c r="S166" t="s">
        <v>59</v>
      </c>
      <c r="T166" t="s">
        <v>95</v>
      </c>
      <c r="U166">
        <v>1</v>
      </c>
      <c r="V166" t="s">
        <v>100</v>
      </c>
      <c r="W166" t="s">
        <v>79</v>
      </c>
      <c r="X166" t="s">
        <v>141</v>
      </c>
      <c r="Y166">
        <v>1</v>
      </c>
      <c r="Z166">
        <v>2</v>
      </c>
      <c r="AA166">
        <v>44.1</v>
      </c>
      <c r="AB166">
        <v>0.82099999999999995</v>
      </c>
      <c r="AC166" t="s">
        <v>100</v>
      </c>
      <c r="AD166">
        <v>2</v>
      </c>
      <c r="AE166">
        <v>2</v>
      </c>
      <c r="AF166">
        <v>0</v>
      </c>
      <c r="AG166">
        <v>2.0990000000000002</v>
      </c>
      <c r="AH166">
        <v>0.71699999999999997</v>
      </c>
      <c r="AI166">
        <v>0.81899999999999995</v>
      </c>
      <c r="AJ166">
        <v>1.074989</v>
      </c>
      <c r="AL166">
        <f t="shared" si="33"/>
        <v>1.074989</v>
      </c>
      <c r="AM166">
        <f>VLOOKUP(TRIM(N166),'[1]All - Durations'!$E$2:$H$109,4,FALSE)</f>
        <v>0.86099999999999999</v>
      </c>
      <c r="AN166">
        <f t="shared" si="34"/>
        <v>0.21398899999999998</v>
      </c>
      <c r="AO166">
        <f t="shared" si="35"/>
        <v>0.21398899999999998</v>
      </c>
    </row>
    <row r="167" spans="1:41" x14ac:dyDescent="0.25">
      <c r="A167">
        <v>259</v>
      </c>
      <c r="B167" t="s">
        <v>35</v>
      </c>
      <c r="C167">
        <v>3</v>
      </c>
      <c r="D167" t="s">
        <v>36</v>
      </c>
      <c r="E167">
        <v>2</v>
      </c>
      <c r="F167" t="s">
        <v>37</v>
      </c>
      <c r="G167">
        <v>3</v>
      </c>
      <c r="H167">
        <v>5</v>
      </c>
      <c r="I167">
        <v>1</v>
      </c>
      <c r="J167">
        <v>22</v>
      </c>
      <c r="K167">
        <v>22</v>
      </c>
      <c r="L167">
        <v>28</v>
      </c>
      <c r="M167">
        <v>1</v>
      </c>
      <c r="N167" t="s">
        <v>117</v>
      </c>
      <c r="O167" t="s">
        <v>113</v>
      </c>
      <c r="P167" t="s">
        <v>114</v>
      </c>
      <c r="Q167" t="s">
        <v>118</v>
      </c>
      <c r="R167" t="s">
        <v>114</v>
      </c>
      <c r="S167" t="s">
        <v>52</v>
      </c>
      <c r="T167" t="s">
        <v>119</v>
      </c>
      <c r="U167">
        <v>4</v>
      </c>
      <c r="V167" t="s">
        <v>120</v>
      </c>
      <c r="W167" t="s">
        <v>45</v>
      </c>
      <c r="X167" t="s">
        <v>110</v>
      </c>
      <c r="Y167">
        <v>1</v>
      </c>
      <c r="Z167">
        <v>2</v>
      </c>
      <c r="AA167">
        <v>44.1</v>
      </c>
      <c r="AB167">
        <v>4.9000000000000002E-2</v>
      </c>
      <c r="AC167" t="s">
        <v>45</v>
      </c>
      <c r="AD167">
        <v>4</v>
      </c>
      <c r="AE167">
        <v>2</v>
      </c>
      <c r="AF167">
        <v>0</v>
      </c>
      <c r="AG167">
        <v>2.7130000000000001</v>
      </c>
      <c r="AH167">
        <v>0.36699999999999999</v>
      </c>
      <c r="AI167">
        <v>4.8000000000000001E-2</v>
      </c>
      <c r="AJ167">
        <v>1.104989</v>
      </c>
      <c r="AL167">
        <f t="shared" si="33"/>
        <v>1.104989</v>
      </c>
      <c r="AM167">
        <f>VLOOKUP(TRIM(N167),'[1]All - Durations'!$E$2:$H$109,4,FALSE)</f>
        <v>0.97</v>
      </c>
      <c r="AN167">
        <f t="shared" si="34"/>
        <v>0.13498900000000003</v>
      </c>
      <c r="AO167">
        <f t="shared" si="35"/>
        <v>0.13498900000000003</v>
      </c>
    </row>
    <row r="168" spans="1:41" x14ac:dyDescent="0.25">
      <c r="A168">
        <v>259</v>
      </c>
      <c r="B168" t="s">
        <v>35</v>
      </c>
      <c r="C168">
        <v>3</v>
      </c>
      <c r="D168" t="s">
        <v>36</v>
      </c>
      <c r="E168">
        <v>2</v>
      </c>
      <c r="F168" t="s">
        <v>37</v>
      </c>
      <c r="G168">
        <v>3</v>
      </c>
      <c r="H168">
        <v>5</v>
      </c>
      <c r="I168">
        <v>1</v>
      </c>
      <c r="J168">
        <v>23</v>
      </c>
      <c r="K168">
        <v>18</v>
      </c>
      <c r="L168">
        <v>62</v>
      </c>
      <c r="M168">
        <v>2</v>
      </c>
      <c r="N168" t="s">
        <v>142</v>
      </c>
      <c r="O168" t="s">
        <v>113</v>
      </c>
      <c r="P168" t="s">
        <v>114</v>
      </c>
      <c r="Q168" t="s">
        <v>126</v>
      </c>
      <c r="R168" t="s">
        <v>114</v>
      </c>
      <c r="S168" t="s">
        <v>52</v>
      </c>
      <c r="T168" t="s">
        <v>128</v>
      </c>
      <c r="U168">
        <v>5</v>
      </c>
      <c r="V168" t="s">
        <v>61</v>
      </c>
      <c r="W168" t="s">
        <v>155</v>
      </c>
      <c r="X168" t="s">
        <v>44</v>
      </c>
      <c r="Y168">
        <v>2</v>
      </c>
      <c r="Z168">
        <v>2</v>
      </c>
      <c r="AA168">
        <v>44.1</v>
      </c>
      <c r="AB168">
        <v>4.2000000000000003E-2</v>
      </c>
      <c r="AC168" t="s">
        <v>61</v>
      </c>
      <c r="AD168">
        <v>3</v>
      </c>
      <c r="AE168">
        <v>1</v>
      </c>
      <c r="AF168">
        <v>0</v>
      </c>
      <c r="AG168">
        <v>2.0659999999999998</v>
      </c>
      <c r="AH168">
        <v>0.65</v>
      </c>
      <c r="AI168">
        <v>3.5999999999999997E-2</v>
      </c>
      <c r="AJ168">
        <v>1.404989</v>
      </c>
      <c r="AL168">
        <f t="shared" si="33"/>
        <v>1.404989</v>
      </c>
      <c r="AM168">
        <f>VLOOKUP(TRIM(N168),'[1]All - Durations'!$E$2:$H$109,4,FALSE)</f>
        <v>1.1259999999999999</v>
      </c>
      <c r="AN168">
        <f t="shared" si="34"/>
        <v>0.27898900000000015</v>
      </c>
      <c r="AO168">
        <f t="shared" si="35"/>
        <v>0.27898900000000015</v>
      </c>
    </row>
    <row r="169" spans="1:41" x14ac:dyDescent="0.25">
      <c r="A169">
        <v>259</v>
      </c>
      <c r="B169" t="s">
        <v>35</v>
      </c>
      <c r="C169">
        <v>3</v>
      </c>
      <c r="D169" t="s">
        <v>36</v>
      </c>
      <c r="E169">
        <v>2</v>
      </c>
      <c r="F169" t="s">
        <v>37</v>
      </c>
      <c r="G169">
        <v>3</v>
      </c>
      <c r="H169">
        <v>5</v>
      </c>
      <c r="I169">
        <v>1</v>
      </c>
      <c r="J169">
        <v>24</v>
      </c>
      <c r="K169">
        <v>20</v>
      </c>
      <c r="L169">
        <v>64</v>
      </c>
      <c r="M169">
        <v>2</v>
      </c>
      <c r="N169" t="s">
        <v>133</v>
      </c>
      <c r="O169" t="s">
        <v>113</v>
      </c>
      <c r="P169" t="s">
        <v>114</v>
      </c>
      <c r="Q169" t="s">
        <v>134</v>
      </c>
      <c r="R169" t="s">
        <v>114</v>
      </c>
      <c r="S169" t="s">
        <v>43</v>
      </c>
      <c r="T169" t="s">
        <v>100</v>
      </c>
      <c r="U169">
        <v>5</v>
      </c>
      <c r="V169" t="s">
        <v>107</v>
      </c>
      <c r="W169" t="s">
        <v>98</v>
      </c>
      <c r="X169" t="s">
        <v>139</v>
      </c>
      <c r="Y169">
        <v>2</v>
      </c>
      <c r="Z169">
        <v>2</v>
      </c>
      <c r="AA169">
        <v>44.1</v>
      </c>
      <c r="AB169">
        <v>4.2999999999999997E-2</v>
      </c>
      <c r="AC169" t="s">
        <v>139</v>
      </c>
      <c r="AD169">
        <v>4</v>
      </c>
      <c r="AE169">
        <v>2</v>
      </c>
      <c r="AF169">
        <v>0</v>
      </c>
      <c r="AG169">
        <v>1.4810000000000001</v>
      </c>
      <c r="AH169">
        <v>0.36699999999999999</v>
      </c>
      <c r="AI169">
        <v>4.3999999999999997E-2</v>
      </c>
      <c r="AJ169">
        <v>1.074989</v>
      </c>
      <c r="AL169">
        <f t="shared" si="33"/>
        <v>1.074989</v>
      </c>
      <c r="AM169">
        <f>VLOOKUP(TRIM(N169),'[1]All - Durations'!$E$2:$H$109,4,FALSE)</f>
        <v>0.80200000000000005</v>
      </c>
      <c r="AN169">
        <f t="shared" si="34"/>
        <v>0.27298899999999993</v>
      </c>
      <c r="AO169">
        <f t="shared" si="35"/>
        <v>0.27298899999999993</v>
      </c>
    </row>
    <row r="170" spans="1:41" x14ac:dyDescent="0.25">
      <c r="A170">
        <v>259</v>
      </c>
      <c r="B170" t="s">
        <v>35</v>
      </c>
      <c r="C170">
        <v>3</v>
      </c>
      <c r="D170" t="s">
        <v>36</v>
      </c>
      <c r="E170">
        <v>2</v>
      </c>
      <c r="F170" t="s">
        <v>37</v>
      </c>
      <c r="G170">
        <v>3</v>
      </c>
      <c r="H170">
        <v>5</v>
      </c>
      <c r="I170">
        <v>1</v>
      </c>
      <c r="J170">
        <v>25</v>
      </c>
      <c r="K170">
        <v>36</v>
      </c>
      <c r="L170">
        <v>56</v>
      </c>
      <c r="M170">
        <v>2</v>
      </c>
      <c r="N170" t="s">
        <v>175</v>
      </c>
      <c r="O170" t="s">
        <v>151</v>
      </c>
      <c r="P170" t="s">
        <v>164</v>
      </c>
      <c r="Q170" t="s">
        <v>165</v>
      </c>
      <c r="R170" t="s">
        <v>174</v>
      </c>
      <c r="S170" t="s">
        <v>52</v>
      </c>
      <c r="T170" t="s">
        <v>166</v>
      </c>
      <c r="U170">
        <v>4</v>
      </c>
      <c r="V170" t="s">
        <v>132</v>
      </c>
      <c r="W170" t="s">
        <v>45</v>
      </c>
      <c r="X170" t="s">
        <v>116</v>
      </c>
      <c r="Y170">
        <v>2</v>
      </c>
      <c r="Z170">
        <v>2</v>
      </c>
      <c r="AA170">
        <v>44.1</v>
      </c>
      <c r="AB170">
        <v>1.2410000000000001</v>
      </c>
      <c r="AC170" t="s">
        <v>132</v>
      </c>
      <c r="AD170">
        <v>3</v>
      </c>
      <c r="AE170">
        <v>2</v>
      </c>
      <c r="AF170">
        <v>0</v>
      </c>
      <c r="AG170">
        <v>2.0009999999999999</v>
      </c>
      <c r="AH170">
        <v>0.317</v>
      </c>
      <c r="AI170">
        <v>1.238</v>
      </c>
      <c r="AJ170">
        <v>1.2349889999999999</v>
      </c>
      <c r="AL170">
        <f t="shared" si="33"/>
        <v>1.2349889999999999</v>
      </c>
      <c r="AM170">
        <f>VLOOKUP(TRIM(N170),'[1]All - Durations'!$E$2:$H$109,4,FALSE)</f>
        <v>0.97099999999999997</v>
      </c>
      <c r="AN170">
        <f t="shared" si="34"/>
        <v>0.26398899999999992</v>
      </c>
      <c r="AO170">
        <f t="shared" si="35"/>
        <v>0.26398899999999992</v>
      </c>
    </row>
    <row r="171" spans="1:41" x14ac:dyDescent="0.25">
      <c r="A171">
        <v>259</v>
      </c>
      <c r="B171" t="s">
        <v>35</v>
      </c>
      <c r="C171">
        <v>3</v>
      </c>
      <c r="D171" t="s">
        <v>36</v>
      </c>
      <c r="E171">
        <v>2</v>
      </c>
      <c r="F171" t="s">
        <v>37</v>
      </c>
      <c r="G171">
        <v>3</v>
      </c>
      <c r="H171">
        <v>5</v>
      </c>
      <c r="I171">
        <v>1</v>
      </c>
      <c r="J171">
        <v>26</v>
      </c>
      <c r="K171">
        <v>26</v>
      </c>
      <c r="L171">
        <v>60</v>
      </c>
      <c r="M171">
        <v>2</v>
      </c>
      <c r="N171" t="s">
        <v>157</v>
      </c>
      <c r="O171" t="s">
        <v>151</v>
      </c>
      <c r="P171" t="s">
        <v>158</v>
      </c>
      <c r="Q171" t="s">
        <v>159</v>
      </c>
      <c r="R171" t="s">
        <v>160</v>
      </c>
      <c r="S171" t="s">
        <v>43</v>
      </c>
      <c r="T171" t="s">
        <v>161</v>
      </c>
      <c r="U171">
        <v>5</v>
      </c>
      <c r="V171" t="s">
        <v>121</v>
      </c>
      <c r="W171" t="s">
        <v>98</v>
      </c>
      <c r="X171" t="s">
        <v>130</v>
      </c>
      <c r="Y171">
        <v>2</v>
      </c>
      <c r="Z171">
        <v>2</v>
      </c>
      <c r="AA171">
        <v>44.1</v>
      </c>
      <c r="AB171">
        <v>1.173</v>
      </c>
      <c r="AC171" t="s">
        <v>121</v>
      </c>
      <c r="AD171">
        <v>3</v>
      </c>
      <c r="AE171">
        <v>4</v>
      </c>
      <c r="AF171">
        <v>0</v>
      </c>
      <c r="AG171">
        <v>2.7440000000000002</v>
      </c>
      <c r="AH171">
        <v>0.4</v>
      </c>
      <c r="AI171">
        <v>1.1719999999999999</v>
      </c>
      <c r="AJ171">
        <v>1.2349889999999999</v>
      </c>
      <c r="AL171">
        <f t="shared" si="33"/>
        <v>1.2349889999999999</v>
      </c>
      <c r="AM171">
        <f>VLOOKUP(TRIM(N171),'[1]All - Durations'!$E$2:$H$109,4,FALSE)</f>
        <v>1.0549999999999999</v>
      </c>
      <c r="AN171">
        <f t="shared" si="34"/>
        <v>0.17998899999999995</v>
      </c>
      <c r="AO171">
        <f t="shared" si="35"/>
        <v>0.17998899999999995</v>
      </c>
    </row>
    <row r="172" spans="1:41" x14ac:dyDescent="0.25">
      <c r="A172">
        <v>259</v>
      </c>
      <c r="B172" t="s">
        <v>35</v>
      </c>
      <c r="C172">
        <v>3</v>
      </c>
      <c r="D172" t="s">
        <v>36</v>
      </c>
      <c r="E172">
        <v>2</v>
      </c>
      <c r="F172" t="s">
        <v>37</v>
      </c>
      <c r="G172">
        <v>3</v>
      </c>
      <c r="H172">
        <v>5</v>
      </c>
      <c r="I172">
        <v>1</v>
      </c>
      <c r="J172">
        <v>27</v>
      </c>
      <c r="K172">
        <v>30</v>
      </c>
      <c r="L172">
        <v>50</v>
      </c>
      <c r="M172">
        <v>2</v>
      </c>
      <c r="N172" t="s">
        <v>186</v>
      </c>
      <c r="O172" t="s">
        <v>151</v>
      </c>
      <c r="P172" t="s">
        <v>181</v>
      </c>
      <c r="Q172" t="s">
        <v>182</v>
      </c>
      <c r="R172" t="s">
        <v>174</v>
      </c>
      <c r="S172" t="s">
        <v>52</v>
      </c>
      <c r="T172" t="s">
        <v>187</v>
      </c>
      <c r="U172">
        <v>2</v>
      </c>
      <c r="V172" t="s">
        <v>183</v>
      </c>
      <c r="W172" t="s">
        <v>124</v>
      </c>
      <c r="X172" t="s">
        <v>138</v>
      </c>
      <c r="Y172">
        <v>1</v>
      </c>
      <c r="Z172">
        <v>2</v>
      </c>
      <c r="AA172">
        <v>44.1</v>
      </c>
      <c r="AB172">
        <v>1.1100000000000001</v>
      </c>
      <c r="AC172" t="s">
        <v>138</v>
      </c>
      <c r="AD172">
        <v>4</v>
      </c>
      <c r="AE172">
        <v>1</v>
      </c>
      <c r="AF172">
        <v>0</v>
      </c>
      <c r="AG172">
        <v>2.0760000000000001</v>
      </c>
      <c r="AH172">
        <v>0.36699999999999999</v>
      </c>
      <c r="AI172">
        <v>1.105</v>
      </c>
      <c r="AJ172">
        <v>1.104989</v>
      </c>
      <c r="AL172">
        <f t="shared" si="33"/>
        <v>1.104989</v>
      </c>
      <c r="AM172">
        <f>VLOOKUP(TRIM(N172),'[1]All - Durations'!$E$2:$H$109,4,FALSE)</f>
        <v>0.89100000000000001</v>
      </c>
      <c r="AN172">
        <f t="shared" si="34"/>
        <v>0.21398899999999998</v>
      </c>
      <c r="AO172">
        <f t="shared" si="35"/>
        <v>0.21398899999999998</v>
      </c>
    </row>
    <row r="173" spans="1:41" x14ac:dyDescent="0.25">
      <c r="A173">
        <v>259</v>
      </c>
      <c r="B173" t="s">
        <v>35</v>
      </c>
      <c r="C173">
        <v>3</v>
      </c>
      <c r="D173" t="s">
        <v>36</v>
      </c>
      <c r="E173">
        <v>2</v>
      </c>
      <c r="F173" t="s">
        <v>37</v>
      </c>
      <c r="G173">
        <v>3</v>
      </c>
      <c r="H173">
        <v>5</v>
      </c>
      <c r="I173">
        <v>1</v>
      </c>
      <c r="J173">
        <v>28</v>
      </c>
      <c r="K173">
        <v>35</v>
      </c>
      <c r="L173">
        <v>55</v>
      </c>
      <c r="M173">
        <v>2</v>
      </c>
      <c r="N173" t="s">
        <v>163</v>
      </c>
      <c r="O173" t="s">
        <v>151</v>
      </c>
      <c r="P173" t="s">
        <v>164</v>
      </c>
      <c r="Q173" t="s">
        <v>165</v>
      </c>
      <c r="R173" t="s">
        <v>154</v>
      </c>
      <c r="S173" t="s">
        <v>92</v>
      </c>
      <c r="T173" t="s">
        <v>86</v>
      </c>
      <c r="U173">
        <v>5</v>
      </c>
      <c r="V173" t="s">
        <v>166</v>
      </c>
      <c r="W173" t="s">
        <v>100</v>
      </c>
      <c r="X173" t="s">
        <v>131</v>
      </c>
      <c r="Y173">
        <v>1</v>
      </c>
      <c r="Z173">
        <v>2</v>
      </c>
      <c r="AA173">
        <v>44.1</v>
      </c>
      <c r="AB173">
        <v>1.101</v>
      </c>
      <c r="AC173" t="s">
        <v>86</v>
      </c>
      <c r="AD173">
        <v>1</v>
      </c>
      <c r="AE173">
        <v>5</v>
      </c>
      <c r="AF173">
        <v>1</v>
      </c>
      <c r="AG173">
        <v>1.7310000000000001</v>
      </c>
      <c r="AH173">
        <v>0.317</v>
      </c>
      <c r="AI173">
        <v>1.1060000000000001</v>
      </c>
      <c r="AJ173">
        <v>1.104989</v>
      </c>
      <c r="AL173">
        <f t="shared" si="33"/>
        <v>1.104989</v>
      </c>
      <c r="AM173">
        <f>VLOOKUP(TRIM(N173),'[1]All - Durations'!$E$2:$H$109,4,FALSE)</f>
        <v>0.877</v>
      </c>
      <c r="AN173">
        <f t="shared" si="34"/>
        <v>0.227989</v>
      </c>
      <c r="AO173">
        <f t="shared" si="35"/>
        <v>0.227989</v>
      </c>
    </row>
    <row r="174" spans="1:41" x14ac:dyDescent="0.25">
      <c r="A174">
        <v>259</v>
      </c>
      <c r="B174" t="s">
        <v>35</v>
      </c>
      <c r="C174">
        <v>3</v>
      </c>
      <c r="D174" t="s">
        <v>36</v>
      </c>
      <c r="E174">
        <v>2</v>
      </c>
      <c r="F174" t="s">
        <v>37</v>
      </c>
      <c r="G174">
        <v>3</v>
      </c>
      <c r="H174">
        <v>5</v>
      </c>
      <c r="I174">
        <v>1</v>
      </c>
      <c r="J174">
        <v>29</v>
      </c>
      <c r="K174">
        <v>31</v>
      </c>
      <c r="L174">
        <v>51</v>
      </c>
      <c r="M174">
        <v>2</v>
      </c>
      <c r="N174" t="s">
        <v>176</v>
      </c>
      <c r="O174" t="s">
        <v>151</v>
      </c>
      <c r="P174" t="s">
        <v>177</v>
      </c>
      <c r="Q174" t="s">
        <v>178</v>
      </c>
      <c r="R174" t="s">
        <v>170</v>
      </c>
      <c r="S174" t="s">
        <v>59</v>
      </c>
      <c r="T174" t="s">
        <v>139</v>
      </c>
      <c r="U174">
        <v>2</v>
      </c>
      <c r="V174" t="s">
        <v>108</v>
      </c>
      <c r="W174" t="s">
        <v>120</v>
      </c>
      <c r="X174" t="s">
        <v>172</v>
      </c>
      <c r="Y174">
        <v>1</v>
      </c>
      <c r="Z174">
        <v>2</v>
      </c>
      <c r="AA174">
        <v>44.1</v>
      </c>
      <c r="AB174">
        <v>0.90800000000000003</v>
      </c>
      <c r="AC174" t="s">
        <v>139</v>
      </c>
      <c r="AD174">
        <v>1</v>
      </c>
      <c r="AE174">
        <v>2</v>
      </c>
      <c r="AF174">
        <v>1</v>
      </c>
      <c r="AG174">
        <v>1.7669999999999999</v>
      </c>
      <c r="AH174">
        <v>0.38400000000000001</v>
      </c>
      <c r="AI174">
        <v>0.90700000000000003</v>
      </c>
      <c r="AJ174">
        <v>1.064989</v>
      </c>
      <c r="AL174">
        <f t="shared" si="33"/>
        <v>1.064989</v>
      </c>
      <c r="AM174">
        <f>VLOOKUP(TRIM(N174),'[1]All - Durations'!$E$2:$H$109,4,FALSE)</f>
        <v>0.879</v>
      </c>
      <c r="AN174">
        <f t="shared" si="34"/>
        <v>0.18598899999999996</v>
      </c>
      <c r="AO174">
        <f t="shared" si="35"/>
        <v>0.18598899999999996</v>
      </c>
    </row>
    <row r="175" spans="1:41" x14ac:dyDescent="0.25">
      <c r="A175">
        <v>259</v>
      </c>
      <c r="B175" t="s">
        <v>35</v>
      </c>
      <c r="C175">
        <v>3</v>
      </c>
      <c r="D175" t="s">
        <v>36</v>
      </c>
      <c r="E175">
        <v>2</v>
      </c>
      <c r="F175" t="s">
        <v>37</v>
      </c>
      <c r="G175">
        <v>3</v>
      </c>
      <c r="H175">
        <v>5</v>
      </c>
      <c r="I175">
        <v>1</v>
      </c>
      <c r="J175">
        <v>30</v>
      </c>
      <c r="K175">
        <v>25</v>
      </c>
      <c r="L175">
        <v>59</v>
      </c>
      <c r="M175">
        <v>2</v>
      </c>
      <c r="N175" t="s">
        <v>171</v>
      </c>
      <c r="O175" t="s">
        <v>151</v>
      </c>
      <c r="P175" t="s">
        <v>158</v>
      </c>
      <c r="Q175" t="s">
        <v>159</v>
      </c>
      <c r="R175" t="s">
        <v>170</v>
      </c>
      <c r="S175" t="s">
        <v>59</v>
      </c>
      <c r="T175" t="s">
        <v>103</v>
      </c>
      <c r="U175">
        <v>2</v>
      </c>
      <c r="V175" t="s">
        <v>161</v>
      </c>
      <c r="W175" t="s">
        <v>106</v>
      </c>
      <c r="X175" t="s">
        <v>61</v>
      </c>
      <c r="Y175">
        <v>1</v>
      </c>
      <c r="Z175">
        <v>2</v>
      </c>
      <c r="AA175">
        <v>44.1</v>
      </c>
      <c r="AB175">
        <v>4.9000000000000002E-2</v>
      </c>
      <c r="AC175" t="s">
        <v>103</v>
      </c>
      <c r="AD175">
        <v>1</v>
      </c>
      <c r="AE175">
        <v>2</v>
      </c>
      <c r="AF175">
        <v>1</v>
      </c>
      <c r="AG175">
        <v>0.88800000000000001</v>
      </c>
      <c r="AH175">
        <v>0.4</v>
      </c>
      <c r="AI175">
        <v>4.5999999999999999E-2</v>
      </c>
      <c r="AJ175">
        <v>1.154989</v>
      </c>
      <c r="AL175">
        <f t="shared" si="33"/>
        <v>1.154989</v>
      </c>
      <c r="AM175">
        <f>VLOOKUP(TRIM(N175),'[1]All - Durations'!$E$2:$H$109,4,FALSE)</f>
        <v>0.92300000000000004</v>
      </c>
      <c r="AN175">
        <f t="shared" si="34"/>
        <v>0.231989</v>
      </c>
      <c r="AO175">
        <f t="shared" si="35"/>
        <v>0.231989</v>
      </c>
    </row>
    <row r="176" spans="1:41" x14ac:dyDescent="0.25">
      <c r="A176">
        <v>259</v>
      </c>
      <c r="B176" t="s">
        <v>35</v>
      </c>
      <c r="C176">
        <v>3</v>
      </c>
      <c r="D176" t="s">
        <v>36</v>
      </c>
      <c r="E176">
        <v>2</v>
      </c>
      <c r="F176" t="s">
        <v>37</v>
      </c>
      <c r="G176">
        <v>3</v>
      </c>
      <c r="H176">
        <v>5</v>
      </c>
      <c r="I176">
        <v>1</v>
      </c>
      <c r="J176">
        <v>31</v>
      </c>
      <c r="K176">
        <v>27</v>
      </c>
      <c r="L176">
        <v>13</v>
      </c>
      <c r="M176">
        <v>1</v>
      </c>
      <c r="N176" t="s">
        <v>167</v>
      </c>
      <c r="O176" t="s">
        <v>151</v>
      </c>
      <c r="P176" t="s">
        <v>168</v>
      </c>
      <c r="Q176" t="s">
        <v>169</v>
      </c>
      <c r="R176" t="s">
        <v>170</v>
      </c>
      <c r="S176" t="s">
        <v>59</v>
      </c>
      <c r="T176" t="s">
        <v>96</v>
      </c>
      <c r="U176">
        <v>5</v>
      </c>
      <c r="V176" t="s">
        <v>103</v>
      </c>
      <c r="W176" t="s">
        <v>111</v>
      </c>
      <c r="X176" t="s">
        <v>67</v>
      </c>
      <c r="Y176">
        <v>2</v>
      </c>
      <c r="Z176">
        <v>2</v>
      </c>
      <c r="AA176">
        <v>44.1</v>
      </c>
      <c r="AB176">
        <v>5.0999999999999997E-2</v>
      </c>
      <c r="AC176" t="s">
        <v>96</v>
      </c>
      <c r="AD176">
        <v>1</v>
      </c>
      <c r="AE176">
        <v>5</v>
      </c>
      <c r="AF176">
        <v>1</v>
      </c>
      <c r="AG176">
        <v>2.069</v>
      </c>
      <c r="AH176">
        <v>0.36699999999999999</v>
      </c>
      <c r="AI176">
        <v>5.0999999999999997E-2</v>
      </c>
      <c r="AJ176">
        <v>1.1849890000000001</v>
      </c>
      <c r="AL176">
        <f t="shared" si="33"/>
        <v>1.1849890000000001</v>
      </c>
      <c r="AM176">
        <f>VLOOKUP(TRIM(N176),'[1]All - Durations'!$E$2:$H$109,4,FALSE)</f>
        <v>0.97399999999999998</v>
      </c>
      <c r="AN176">
        <f t="shared" si="34"/>
        <v>0.21098900000000009</v>
      </c>
      <c r="AO176">
        <f t="shared" si="35"/>
        <v>0.21098900000000009</v>
      </c>
    </row>
    <row r="177" spans="1:41" x14ac:dyDescent="0.25">
      <c r="A177">
        <v>259</v>
      </c>
      <c r="B177" t="s">
        <v>35</v>
      </c>
      <c r="C177">
        <v>3</v>
      </c>
      <c r="D177" t="s">
        <v>36</v>
      </c>
      <c r="E177">
        <v>2</v>
      </c>
      <c r="F177" t="s">
        <v>37</v>
      </c>
      <c r="G177">
        <v>3</v>
      </c>
      <c r="H177">
        <v>5</v>
      </c>
      <c r="I177">
        <v>1</v>
      </c>
      <c r="J177">
        <v>32</v>
      </c>
      <c r="K177">
        <v>32</v>
      </c>
      <c r="L177">
        <v>52</v>
      </c>
      <c r="M177">
        <v>2</v>
      </c>
      <c r="N177" t="s">
        <v>188</v>
      </c>
      <c r="O177" t="s">
        <v>151</v>
      </c>
      <c r="P177" t="s">
        <v>177</v>
      </c>
      <c r="Q177" t="s">
        <v>178</v>
      </c>
      <c r="R177" t="s">
        <v>160</v>
      </c>
      <c r="S177" t="s">
        <v>43</v>
      </c>
      <c r="T177" t="s">
        <v>108</v>
      </c>
      <c r="U177">
        <v>1</v>
      </c>
      <c r="V177" t="s">
        <v>55</v>
      </c>
      <c r="W177" t="s">
        <v>56</v>
      </c>
      <c r="X177" t="s">
        <v>149</v>
      </c>
      <c r="Y177">
        <v>2</v>
      </c>
      <c r="Z177">
        <v>2</v>
      </c>
      <c r="AA177">
        <v>44.1</v>
      </c>
      <c r="AB177">
        <v>3.2000000000000001E-2</v>
      </c>
      <c r="AC177" t="s">
        <v>149</v>
      </c>
      <c r="AD177">
        <v>4</v>
      </c>
      <c r="AE177">
        <v>2</v>
      </c>
      <c r="AF177">
        <v>0</v>
      </c>
      <c r="AG177">
        <v>1.9470000000000001</v>
      </c>
      <c r="AH177">
        <v>0.36699999999999999</v>
      </c>
      <c r="AI177">
        <v>3.6999999999999998E-2</v>
      </c>
      <c r="AJ177">
        <v>1.054989</v>
      </c>
      <c r="AL177">
        <f t="shared" si="33"/>
        <v>1.054989</v>
      </c>
      <c r="AM177">
        <f>VLOOKUP(TRIM(N177),'[1]All - Durations'!$E$2:$H$109,4,FALSE)</f>
        <v>0.90400000000000003</v>
      </c>
      <c r="AN177">
        <f t="shared" si="34"/>
        <v>0.15098899999999993</v>
      </c>
      <c r="AO177">
        <f t="shared" si="35"/>
        <v>0.15098899999999993</v>
      </c>
    </row>
    <row r="178" spans="1:41" x14ac:dyDescent="0.25">
      <c r="A178">
        <v>259</v>
      </c>
      <c r="B178" t="s">
        <v>35</v>
      </c>
      <c r="C178">
        <v>3</v>
      </c>
      <c r="D178" t="s">
        <v>36</v>
      </c>
      <c r="E178">
        <v>2</v>
      </c>
      <c r="F178" t="s">
        <v>37</v>
      </c>
      <c r="G178">
        <v>3</v>
      </c>
      <c r="H178">
        <v>5</v>
      </c>
      <c r="I178">
        <v>1</v>
      </c>
      <c r="J178">
        <v>33</v>
      </c>
      <c r="K178">
        <v>33</v>
      </c>
      <c r="L178">
        <v>15</v>
      </c>
      <c r="M178">
        <v>1</v>
      </c>
      <c r="N178" t="s">
        <v>150</v>
      </c>
      <c r="O178" t="s">
        <v>151</v>
      </c>
      <c r="P178" t="s">
        <v>152</v>
      </c>
      <c r="Q178" t="s">
        <v>153</v>
      </c>
      <c r="R178" t="s">
        <v>154</v>
      </c>
      <c r="S178" t="s">
        <v>92</v>
      </c>
      <c r="T178" t="s">
        <v>155</v>
      </c>
      <c r="U178">
        <v>2</v>
      </c>
      <c r="V178" t="s">
        <v>141</v>
      </c>
      <c r="W178" t="s">
        <v>53</v>
      </c>
      <c r="X178" t="s">
        <v>74</v>
      </c>
      <c r="Y178">
        <v>2</v>
      </c>
      <c r="Z178">
        <v>2</v>
      </c>
      <c r="AA178">
        <v>44.1</v>
      </c>
      <c r="AB178">
        <v>5.0999999999999997E-2</v>
      </c>
      <c r="AC178" t="s">
        <v>141</v>
      </c>
      <c r="AD178">
        <v>3</v>
      </c>
      <c r="AE178">
        <v>5</v>
      </c>
      <c r="AF178">
        <v>0</v>
      </c>
      <c r="AG178">
        <v>2.6560000000000001</v>
      </c>
      <c r="AH178">
        <v>0.35</v>
      </c>
      <c r="AI178">
        <v>4.4999999999999998E-2</v>
      </c>
      <c r="AJ178">
        <v>1.2149890000000001</v>
      </c>
      <c r="AL178">
        <f t="shared" si="33"/>
        <v>1.2149890000000001</v>
      </c>
      <c r="AM178">
        <f>VLOOKUP(TRIM(N178),'[1]All - Durations'!$E$2:$H$109,4,FALSE)</f>
        <v>0.94299999999999995</v>
      </c>
      <c r="AN178">
        <f t="shared" si="34"/>
        <v>0.27198900000000015</v>
      </c>
      <c r="AO178">
        <f t="shared" si="35"/>
        <v>0.27198900000000015</v>
      </c>
    </row>
    <row r="179" spans="1:41" x14ac:dyDescent="0.25">
      <c r="A179">
        <v>259</v>
      </c>
      <c r="B179" t="s">
        <v>35</v>
      </c>
      <c r="C179">
        <v>3</v>
      </c>
      <c r="D179" t="s">
        <v>36</v>
      </c>
      <c r="E179">
        <v>2</v>
      </c>
      <c r="F179" t="s">
        <v>37</v>
      </c>
      <c r="G179">
        <v>3</v>
      </c>
      <c r="H179">
        <v>5</v>
      </c>
      <c r="I179">
        <v>1</v>
      </c>
      <c r="J179">
        <v>34</v>
      </c>
      <c r="K179">
        <v>28</v>
      </c>
      <c r="L179">
        <v>14</v>
      </c>
      <c r="M179">
        <v>1</v>
      </c>
      <c r="N179" t="s">
        <v>184</v>
      </c>
      <c r="O179" t="s">
        <v>151</v>
      </c>
      <c r="P179" t="s">
        <v>168</v>
      </c>
      <c r="Q179" t="s">
        <v>169</v>
      </c>
      <c r="R179" t="s">
        <v>154</v>
      </c>
      <c r="S179" t="s">
        <v>92</v>
      </c>
      <c r="T179" t="s">
        <v>141</v>
      </c>
      <c r="U179">
        <v>2</v>
      </c>
      <c r="V179" t="s">
        <v>96</v>
      </c>
      <c r="W179" t="s">
        <v>102</v>
      </c>
      <c r="X179" t="s">
        <v>107</v>
      </c>
      <c r="Y179">
        <v>1</v>
      </c>
      <c r="Z179">
        <v>2</v>
      </c>
      <c r="AA179">
        <v>44.1</v>
      </c>
      <c r="AB179">
        <v>7.2999999999999995E-2</v>
      </c>
      <c r="AC179" t="s">
        <v>102</v>
      </c>
      <c r="AD179">
        <v>4</v>
      </c>
      <c r="AE179">
        <v>4</v>
      </c>
      <c r="AF179">
        <v>0</v>
      </c>
      <c r="AG179">
        <v>2.5790000000000002</v>
      </c>
      <c r="AH179">
        <v>0.46700000000000003</v>
      </c>
      <c r="AI179">
        <v>6.6000000000000003E-2</v>
      </c>
      <c r="AJ179">
        <v>1.1849890000000001</v>
      </c>
      <c r="AL179">
        <f t="shared" si="33"/>
        <v>1.1849890000000001</v>
      </c>
      <c r="AM179">
        <f>VLOOKUP(TRIM(N179),'[1]All - Durations'!$E$2:$H$109,4,FALSE)</f>
        <v>0.91</v>
      </c>
      <c r="AN179">
        <f t="shared" si="34"/>
        <v>0.27498900000000004</v>
      </c>
      <c r="AO179">
        <f t="shared" si="35"/>
        <v>0.27498900000000004</v>
      </c>
    </row>
    <row r="180" spans="1:41" x14ac:dyDescent="0.25">
      <c r="A180">
        <v>259</v>
      </c>
      <c r="B180" t="s">
        <v>35</v>
      </c>
      <c r="C180">
        <v>3</v>
      </c>
      <c r="D180" t="s">
        <v>36</v>
      </c>
      <c r="E180">
        <v>2</v>
      </c>
      <c r="F180" t="s">
        <v>37</v>
      </c>
      <c r="G180">
        <v>3</v>
      </c>
      <c r="H180">
        <v>5</v>
      </c>
      <c r="I180">
        <v>1</v>
      </c>
      <c r="J180">
        <v>35</v>
      </c>
      <c r="K180">
        <v>29</v>
      </c>
      <c r="L180">
        <v>49</v>
      </c>
      <c r="M180">
        <v>2</v>
      </c>
      <c r="N180" t="s">
        <v>180</v>
      </c>
      <c r="O180" t="s">
        <v>151</v>
      </c>
      <c r="P180" t="s">
        <v>181</v>
      </c>
      <c r="Q180" t="s">
        <v>182</v>
      </c>
      <c r="R180" t="s">
        <v>154</v>
      </c>
      <c r="S180" t="s">
        <v>92</v>
      </c>
      <c r="T180" t="s">
        <v>183</v>
      </c>
      <c r="U180">
        <v>2</v>
      </c>
      <c r="V180" t="s">
        <v>86</v>
      </c>
      <c r="W180" t="s">
        <v>128</v>
      </c>
      <c r="X180" t="s">
        <v>144</v>
      </c>
      <c r="Y180">
        <v>2</v>
      </c>
      <c r="Z180">
        <v>2</v>
      </c>
      <c r="AA180">
        <v>44.1</v>
      </c>
      <c r="AB180">
        <v>0.05</v>
      </c>
      <c r="AC180" t="s">
        <v>183</v>
      </c>
      <c r="AD180">
        <v>1</v>
      </c>
      <c r="AE180">
        <v>2</v>
      </c>
      <c r="AF180">
        <v>1</v>
      </c>
      <c r="AG180">
        <v>1.532</v>
      </c>
      <c r="AH180">
        <v>0.35</v>
      </c>
      <c r="AI180">
        <v>0.06</v>
      </c>
      <c r="AJ180">
        <v>1.154989</v>
      </c>
      <c r="AL180">
        <f t="shared" si="33"/>
        <v>1.154989</v>
      </c>
      <c r="AM180">
        <f>VLOOKUP(TRIM(N180),'[1]All - Durations'!$E$2:$H$109,4,FALSE)</f>
        <v>0.81799999999999995</v>
      </c>
      <c r="AN180">
        <f t="shared" si="34"/>
        <v>0.33698900000000009</v>
      </c>
      <c r="AO180">
        <f t="shared" si="35"/>
        <v>0.33698900000000009</v>
      </c>
    </row>
    <row r="181" spans="1:41" x14ac:dyDescent="0.25">
      <c r="A181">
        <v>259</v>
      </c>
      <c r="B181" t="s">
        <v>35</v>
      </c>
      <c r="C181">
        <v>3</v>
      </c>
      <c r="D181" t="s">
        <v>36</v>
      </c>
      <c r="E181">
        <v>2</v>
      </c>
      <c r="F181" t="s">
        <v>37</v>
      </c>
      <c r="G181">
        <v>3</v>
      </c>
      <c r="H181">
        <v>5</v>
      </c>
      <c r="I181">
        <v>1</v>
      </c>
      <c r="J181">
        <v>36</v>
      </c>
      <c r="K181">
        <v>34</v>
      </c>
      <c r="L181">
        <v>16</v>
      </c>
      <c r="M181">
        <v>1</v>
      </c>
      <c r="N181" t="s">
        <v>173</v>
      </c>
      <c r="O181" t="s">
        <v>151</v>
      </c>
      <c r="P181" t="s">
        <v>152</v>
      </c>
      <c r="Q181" t="s">
        <v>153</v>
      </c>
      <c r="R181" t="s">
        <v>174</v>
      </c>
      <c r="S181" t="s">
        <v>52</v>
      </c>
      <c r="T181" t="s">
        <v>99</v>
      </c>
      <c r="U181">
        <v>5</v>
      </c>
      <c r="V181" t="s">
        <v>155</v>
      </c>
      <c r="W181" t="s">
        <v>147</v>
      </c>
      <c r="X181" t="s">
        <v>162</v>
      </c>
      <c r="Y181">
        <v>1</v>
      </c>
      <c r="Z181">
        <v>2</v>
      </c>
      <c r="AA181">
        <v>44.1</v>
      </c>
      <c r="AB181">
        <v>1.2010000000000001</v>
      </c>
      <c r="AC181" t="s">
        <v>99</v>
      </c>
      <c r="AD181">
        <v>1</v>
      </c>
      <c r="AE181">
        <v>5</v>
      </c>
      <c r="AF181">
        <v>1</v>
      </c>
      <c r="AG181">
        <v>1.9670000000000001</v>
      </c>
      <c r="AH181">
        <v>0.38400000000000001</v>
      </c>
      <c r="AI181">
        <v>1.208</v>
      </c>
      <c r="AJ181">
        <v>1.2149890000000001</v>
      </c>
      <c r="AL181">
        <f t="shared" si="33"/>
        <v>1.2149890000000001</v>
      </c>
      <c r="AM181">
        <f>VLOOKUP(TRIM(N181),'[1]All - Durations'!$E$2:$H$109,4,FALSE)</f>
        <v>0.996</v>
      </c>
      <c r="AN181">
        <f t="shared" si="34"/>
        <v>0.2189890000000001</v>
      </c>
      <c r="AO181">
        <f t="shared" si="35"/>
        <v>0.2189890000000001</v>
      </c>
    </row>
    <row r="182" spans="1:41" x14ac:dyDescent="0.25">
      <c r="A182">
        <v>259</v>
      </c>
      <c r="B182" t="s">
        <v>35</v>
      </c>
      <c r="C182">
        <v>3</v>
      </c>
      <c r="D182" t="s">
        <v>36</v>
      </c>
      <c r="E182">
        <v>2</v>
      </c>
      <c r="F182" t="s">
        <v>37</v>
      </c>
      <c r="G182">
        <v>3</v>
      </c>
      <c r="H182">
        <v>5</v>
      </c>
      <c r="I182">
        <v>1</v>
      </c>
      <c r="J182">
        <v>37</v>
      </c>
      <c r="K182">
        <v>47</v>
      </c>
      <c r="L182">
        <v>9</v>
      </c>
      <c r="M182">
        <v>1</v>
      </c>
      <c r="N182" t="s">
        <v>212</v>
      </c>
      <c r="O182" t="s">
        <v>39</v>
      </c>
      <c r="P182" t="s">
        <v>202</v>
      </c>
      <c r="Q182" t="s">
        <v>203</v>
      </c>
      <c r="R182" t="s">
        <v>58</v>
      </c>
      <c r="S182" t="s">
        <v>59</v>
      </c>
      <c r="T182" t="s">
        <v>147</v>
      </c>
      <c r="U182">
        <v>5</v>
      </c>
      <c r="V182" t="s">
        <v>172</v>
      </c>
      <c r="W182" t="s">
        <v>127</v>
      </c>
      <c r="X182" t="s">
        <v>121</v>
      </c>
      <c r="Y182">
        <v>1</v>
      </c>
      <c r="Z182">
        <v>2</v>
      </c>
      <c r="AA182">
        <v>44.1</v>
      </c>
      <c r="AB182">
        <v>1.222</v>
      </c>
      <c r="AC182" t="s">
        <v>127</v>
      </c>
      <c r="AD182">
        <v>4</v>
      </c>
      <c r="AE182">
        <v>2</v>
      </c>
      <c r="AF182">
        <v>0</v>
      </c>
      <c r="AG182">
        <v>1.9219999999999999</v>
      </c>
      <c r="AH182">
        <v>0.36699999999999999</v>
      </c>
      <c r="AI182">
        <v>1.2230000000000001</v>
      </c>
      <c r="AJ182">
        <v>1.2249890000000001</v>
      </c>
      <c r="AL182">
        <f t="shared" si="33"/>
        <v>1.2249890000000001</v>
      </c>
      <c r="AM182">
        <f>VLOOKUP(TRIM(N182),'[1]All - Durations'!$E$2:$H$109,4,FALSE)</f>
        <v>0.93500000000000005</v>
      </c>
      <c r="AN182">
        <f t="shared" si="34"/>
        <v>0.28998900000000005</v>
      </c>
      <c r="AO182">
        <f t="shared" si="35"/>
        <v>0.28998900000000005</v>
      </c>
    </row>
    <row r="183" spans="1:41" x14ac:dyDescent="0.25">
      <c r="A183">
        <v>259</v>
      </c>
      <c r="B183" t="s">
        <v>35</v>
      </c>
      <c r="C183">
        <v>3</v>
      </c>
      <c r="D183" t="s">
        <v>36</v>
      </c>
      <c r="E183">
        <v>2</v>
      </c>
      <c r="F183" t="s">
        <v>37</v>
      </c>
      <c r="G183">
        <v>3</v>
      </c>
      <c r="H183">
        <v>5</v>
      </c>
      <c r="I183">
        <v>1</v>
      </c>
      <c r="J183">
        <v>38</v>
      </c>
      <c r="K183">
        <v>39</v>
      </c>
      <c r="L183">
        <v>7</v>
      </c>
      <c r="M183">
        <v>1</v>
      </c>
      <c r="N183" t="s">
        <v>205</v>
      </c>
      <c r="O183" t="s">
        <v>39</v>
      </c>
      <c r="P183" t="s">
        <v>196</v>
      </c>
      <c r="Q183" t="s">
        <v>197</v>
      </c>
      <c r="R183" t="s">
        <v>58</v>
      </c>
      <c r="S183" t="s">
        <v>59</v>
      </c>
      <c r="T183" t="s">
        <v>156</v>
      </c>
      <c r="U183">
        <v>5</v>
      </c>
      <c r="V183" t="s">
        <v>147</v>
      </c>
      <c r="W183" t="s">
        <v>161</v>
      </c>
      <c r="X183" t="s">
        <v>69</v>
      </c>
      <c r="Y183">
        <v>2</v>
      </c>
      <c r="Z183">
        <v>2</v>
      </c>
      <c r="AA183">
        <v>44.1</v>
      </c>
      <c r="AB183">
        <v>1.024</v>
      </c>
      <c r="AC183" t="s">
        <v>156</v>
      </c>
      <c r="AD183">
        <v>1</v>
      </c>
      <c r="AE183">
        <v>5</v>
      </c>
      <c r="AF183">
        <v>1</v>
      </c>
      <c r="AG183">
        <v>2.7480000000000002</v>
      </c>
      <c r="AH183">
        <v>0.434</v>
      </c>
      <c r="AI183">
        <v>1.0289999999999999</v>
      </c>
      <c r="AJ183">
        <v>1.2349889999999999</v>
      </c>
      <c r="AL183">
        <f t="shared" si="33"/>
        <v>1.2349889999999999</v>
      </c>
      <c r="AM183">
        <f>VLOOKUP(TRIM(N183),'[1]All - Durations'!$E$2:$H$109,4,FALSE)</f>
        <v>0.94499999999999995</v>
      </c>
      <c r="AN183">
        <f t="shared" si="34"/>
        <v>0.28998899999999994</v>
      </c>
      <c r="AO183">
        <f t="shared" si="35"/>
        <v>0.28998899999999994</v>
      </c>
    </row>
    <row r="184" spans="1:41" x14ac:dyDescent="0.25">
      <c r="A184">
        <v>259</v>
      </c>
      <c r="B184" t="s">
        <v>35</v>
      </c>
      <c r="C184">
        <v>3</v>
      </c>
      <c r="D184" t="s">
        <v>36</v>
      </c>
      <c r="E184">
        <v>2</v>
      </c>
      <c r="F184" t="s">
        <v>37</v>
      </c>
      <c r="G184">
        <v>3</v>
      </c>
      <c r="H184">
        <v>5</v>
      </c>
      <c r="I184">
        <v>1</v>
      </c>
      <c r="J184">
        <v>39</v>
      </c>
      <c r="K184">
        <v>41</v>
      </c>
      <c r="L184">
        <v>41</v>
      </c>
      <c r="M184">
        <v>2</v>
      </c>
      <c r="N184" t="s">
        <v>198</v>
      </c>
      <c r="O184" t="s">
        <v>39</v>
      </c>
      <c r="P184" t="s">
        <v>199</v>
      </c>
      <c r="Q184" t="s">
        <v>200</v>
      </c>
      <c r="R184" t="s">
        <v>58</v>
      </c>
      <c r="S184" t="s">
        <v>59</v>
      </c>
      <c r="T184" t="s">
        <v>138</v>
      </c>
      <c r="U184">
        <v>2</v>
      </c>
      <c r="V184" t="s">
        <v>66</v>
      </c>
      <c r="W184" t="s">
        <v>108</v>
      </c>
      <c r="X184" t="s">
        <v>179</v>
      </c>
      <c r="Y184">
        <v>2</v>
      </c>
      <c r="Z184">
        <v>2</v>
      </c>
      <c r="AA184">
        <v>44.1</v>
      </c>
      <c r="AB184">
        <v>1.08</v>
      </c>
      <c r="AC184" t="s">
        <v>138</v>
      </c>
      <c r="AD184">
        <v>1</v>
      </c>
      <c r="AE184">
        <v>2</v>
      </c>
      <c r="AF184">
        <v>1</v>
      </c>
      <c r="AG184">
        <v>1.526</v>
      </c>
      <c r="AH184">
        <v>0.41699999999999998</v>
      </c>
      <c r="AI184">
        <v>1.089</v>
      </c>
      <c r="AJ184">
        <v>1.2649889999999999</v>
      </c>
      <c r="AL184">
        <f t="shared" si="33"/>
        <v>1.2649889999999999</v>
      </c>
      <c r="AM184">
        <f>VLOOKUP(TRIM(N184),'[1]All - Durations'!$E$2:$H$109,4,FALSE)</f>
        <v>0.97199999999999998</v>
      </c>
      <c r="AN184">
        <f t="shared" si="34"/>
        <v>0.29298899999999994</v>
      </c>
      <c r="AO184">
        <f t="shared" si="35"/>
        <v>0.29298899999999994</v>
      </c>
    </row>
    <row r="185" spans="1:41" x14ac:dyDescent="0.25">
      <c r="A185">
        <v>259</v>
      </c>
      <c r="B185" t="s">
        <v>35</v>
      </c>
      <c r="C185">
        <v>3</v>
      </c>
      <c r="D185" t="s">
        <v>36</v>
      </c>
      <c r="E185">
        <v>2</v>
      </c>
      <c r="F185" t="s">
        <v>37</v>
      </c>
      <c r="G185">
        <v>3</v>
      </c>
      <c r="H185">
        <v>5</v>
      </c>
      <c r="I185">
        <v>1</v>
      </c>
      <c r="J185">
        <v>40</v>
      </c>
      <c r="K185">
        <v>40</v>
      </c>
      <c r="L185">
        <v>8</v>
      </c>
      <c r="M185">
        <v>1</v>
      </c>
      <c r="N185" t="s">
        <v>195</v>
      </c>
      <c r="O185" t="s">
        <v>39</v>
      </c>
      <c r="P185" t="s">
        <v>196</v>
      </c>
      <c r="Q185" t="s">
        <v>197</v>
      </c>
      <c r="R185" t="s">
        <v>42</v>
      </c>
      <c r="S185" t="s">
        <v>43</v>
      </c>
      <c r="T185" t="s">
        <v>85</v>
      </c>
      <c r="U185">
        <v>5</v>
      </c>
      <c r="V185" t="s">
        <v>156</v>
      </c>
      <c r="W185" t="s">
        <v>61</v>
      </c>
      <c r="X185" t="s">
        <v>68</v>
      </c>
      <c r="Y185">
        <v>1</v>
      </c>
      <c r="Z185">
        <v>2</v>
      </c>
      <c r="AA185">
        <v>44.1</v>
      </c>
      <c r="AB185">
        <v>1.304</v>
      </c>
      <c r="AC185" t="s">
        <v>61</v>
      </c>
      <c r="AD185">
        <v>4</v>
      </c>
      <c r="AE185">
        <v>2</v>
      </c>
      <c r="AF185">
        <v>0</v>
      </c>
      <c r="AG185">
        <v>2.7360000000000002</v>
      </c>
      <c r="AH185">
        <v>0.4</v>
      </c>
      <c r="AI185">
        <v>1.298</v>
      </c>
      <c r="AJ185">
        <v>1.2949889999999999</v>
      </c>
      <c r="AL185">
        <f t="shared" si="33"/>
        <v>1.2949889999999999</v>
      </c>
      <c r="AM185">
        <f>VLOOKUP(TRIM(N185),'[1]All - Durations'!$E$2:$H$109,4,FALSE)</f>
        <v>0.92600000000000005</v>
      </c>
      <c r="AN185">
        <f t="shared" si="34"/>
        <v>0.3689889999999999</v>
      </c>
      <c r="AO185">
        <f t="shared" si="35"/>
        <v>0.3689889999999999</v>
      </c>
    </row>
    <row r="186" spans="1:41" x14ac:dyDescent="0.25">
      <c r="A186">
        <v>259</v>
      </c>
      <c r="B186" t="s">
        <v>35</v>
      </c>
      <c r="C186">
        <v>3</v>
      </c>
      <c r="D186" t="s">
        <v>36</v>
      </c>
      <c r="E186">
        <v>2</v>
      </c>
      <c r="F186" t="s">
        <v>37</v>
      </c>
      <c r="G186">
        <v>3</v>
      </c>
      <c r="H186">
        <v>5</v>
      </c>
      <c r="I186">
        <v>1</v>
      </c>
      <c r="J186">
        <v>41</v>
      </c>
      <c r="K186">
        <v>38</v>
      </c>
      <c r="L186">
        <v>12</v>
      </c>
      <c r="M186">
        <v>1</v>
      </c>
      <c r="N186" t="s">
        <v>206</v>
      </c>
      <c r="O186" t="s">
        <v>39</v>
      </c>
      <c r="P186" t="s">
        <v>207</v>
      </c>
      <c r="Q186" t="s">
        <v>208</v>
      </c>
      <c r="R186" t="s">
        <v>42</v>
      </c>
      <c r="S186" t="s">
        <v>43</v>
      </c>
      <c r="T186" t="s">
        <v>131</v>
      </c>
      <c r="U186">
        <v>2</v>
      </c>
      <c r="V186" t="s">
        <v>185</v>
      </c>
      <c r="W186" t="s">
        <v>209</v>
      </c>
      <c r="X186" t="s">
        <v>141</v>
      </c>
      <c r="Y186">
        <v>2</v>
      </c>
      <c r="Z186">
        <v>2</v>
      </c>
      <c r="AA186">
        <v>44.1</v>
      </c>
      <c r="AB186">
        <v>6.0999999999999999E-2</v>
      </c>
      <c r="AC186" t="s">
        <v>185</v>
      </c>
      <c r="AD186">
        <v>3</v>
      </c>
      <c r="AE186">
        <v>1</v>
      </c>
      <c r="AF186">
        <v>0</v>
      </c>
      <c r="AG186">
        <v>2.242</v>
      </c>
      <c r="AH186">
        <v>0.41699999999999998</v>
      </c>
      <c r="AI186">
        <v>6.5000000000000002E-2</v>
      </c>
      <c r="AJ186">
        <v>1.114989</v>
      </c>
      <c r="AL186">
        <f t="shared" si="33"/>
        <v>1.114989</v>
      </c>
      <c r="AM186">
        <f>VLOOKUP(TRIM(N186),'[1]All - Durations'!$E$2:$H$109,4,FALSE)</f>
        <v>0.82699999999999996</v>
      </c>
      <c r="AN186">
        <f t="shared" si="34"/>
        <v>0.28798900000000005</v>
      </c>
      <c r="AO186">
        <f t="shared" si="35"/>
        <v>0.28798900000000005</v>
      </c>
    </row>
    <row r="187" spans="1:41" x14ac:dyDescent="0.25">
      <c r="A187">
        <v>259</v>
      </c>
      <c r="B187" t="s">
        <v>35</v>
      </c>
      <c r="C187">
        <v>3</v>
      </c>
      <c r="D187" t="s">
        <v>36</v>
      </c>
      <c r="E187">
        <v>2</v>
      </c>
      <c r="F187" t="s">
        <v>37</v>
      </c>
      <c r="G187">
        <v>3</v>
      </c>
      <c r="H187">
        <v>5</v>
      </c>
      <c r="I187">
        <v>1</v>
      </c>
      <c r="J187">
        <v>42</v>
      </c>
      <c r="K187">
        <v>42</v>
      </c>
      <c r="L187">
        <v>42</v>
      </c>
      <c r="M187">
        <v>2</v>
      </c>
      <c r="N187" t="s">
        <v>216</v>
      </c>
      <c r="O187" t="s">
        <v>39</v>
      </c>
      <c r="P187" t="s">
        <v>199</v>
      </c>
      <c r="Q187" t="s">
        <v>200</v>
      </c>
      <c r="R187" t="s">
        <v>91</v>
      </c>
      <c r="S187" t="s">
        <v>92</v>
      </c>
      <c r="T187" t="s">
        <v>98</v>
      </c>
      <c r="U187">
        <v>2</v>
      </c>
      <c r="V187" t="s">
        <v>138</v>
      </c>
      <c r="W187" t="s">
        <v>116</v>
      </c>
      <c r="X187" t="s">
        <v>187</v>
      </c>
      <c r="Y187">
        <v>1</v>
      </c>
      <c r="Z187">
        <v>2</v>
      </c>
      <c r="AA187">
        <v>44.1</v>
      </c>
      <c r="AB187">
        <v>0.73</v>
      </c>
      <c r="AC187" t="s">
        <v>187</v>
      </c>
      <c r="AD187">
        <v>4</v>
      </c>
      <c r="AE187">
        <v>5</v>
      </c>
      <c r="AF187">
        <v>0</v>
      </c>
      <c r="AG187">
        <v>3.04</v>
      </c>
      <c r="AH187">
        <v>0.36699999999999999</v>
      </c>
      <c r="AI187">
        <v>0.73499999999999999</v>
      </c>
      <c r="AJ187">
        <v>1.114989</v>
      </c>
      <c r="AL187">
        <f t="shared" si="33"/>
        <v>1.114989</v>
      </c>
      <c r="AM187">
        <f>VLOOKUP(TRIM(N187),'[1]All - Durations'!$E$2:$H$109,4,FALSE)</f>
        <v>0.85899999999999999</v>
      </c>
      <c r="AN187">
        <f t="shared" si="34"/>
        <v>0.25598900000000002</v>
      </c>
      <c r="AO187">
        <f t="shared" si="35"/>
        <v>0.25598900000000002</v>
      </c>
    </row>
    <row r="188" spans="1:41" x14ac:dyDescent="0.25">
      <c r="A188">
        <v>259</v>
      </c>
      <c r="B188" t="s">
        <v>35</v>
      </c>
      <c r="C188">
        <v>3</v>
      </c>
      <c r="D188" t="s">
        <v>36</v>
      </c>
      <c r="E188">
        <v>2</v>
      </c>
      <c r="F188" t="s">
        <v>37</v>
      </c>
      <c r="G188">
        <v>3</v>
      </c>
      <c r="H188">
        <v>5</v>
      </c>
      <c r="I188">
        <v>1</v>
      </c>
      <c r="J188">
        <v>43</v>
      </c>
      <c r="K188">
        <v>48</v>
      </c>
      <c r="L188">
        <v>10</v>
      </c>
      <c r="M188">
        <v>1</v>
      </c>
      <c r="N188" t="s">
        <v>201</v>
      </c>
      <c r="O188" t="s">
        <v>39</v>
      </c>
      <c r="P188" t="s">
        <v>202</v>
      </c>
      <c r="Q188" t="s">
        <v>203</v>
      </c>
      <c r="R188" t="s">
        <v>51</v>
      </c>
      <c r="S188" t="s">
        <v>52</v>
      </c>
      <c r="T188" t="s">
        <v>172</v>
      </c>
      <c r="U188">
        <v>1</v>
      </c>
      <c r="V188" t="s">
        <v>102</v>
      </c>
      <c r="W188" t="s">
        <v>95</v>
      </c>
      <c r="X188" t="s">
        <v>103</v>
      </c>
      <c r="Y188">
        <v>2</v>
      </c>
      <c r="Z188">
        <v>2</v>
      </c>
      <c r="AA188">
        <v>44.1</v>
      </c>
      <c r="AB188">
        <v>3.9E-2</v>
      </c>
      <c r="AC188" t="s">
        <v>172</v>
      </c>
      <c r="AD188">
        <v>1</v>
      </c>
      <c r="AE188">
        <v>1</v>
      </c>
      <c r="AF188">
        <v>1</v>
      </c>
      <c r="AG188">
        <v>1.3149999999999999</v>
      </c>
      <c r="AH188">
        <v>0.41699999999999998</v>
      </c>
      <c r="AI188">
        <v>3.1E-2</v>
      </c>
      <c r="AJ188">
        <v>1.2049890000000001</v>
      </c>
      <c r="AL188">
        <f t="shared" si="33"/>
        <v>1.2049890000000001</v>
      </c>
      <c r="AM188">
        <f>VLOOKUP(TRIM(N188),'[1]All - Durations'!$E$2:$H$109,4,FALSE)</f>
        <v>0.997</v>
      </c>
      <c r="AN188">
        <f t="shared" si="34"/>
        <v>0.20798900000000009</v>
      </c>
      <c r="AO188">
        <f t="shared" si="35"/>
        <v>0.20798900000000009</v>
      </c>
    </row>
    <row r="189" spans="1:41" x14ac:dyDescent="0.25">
      <c r="A189">
        <v>259</v>
      </c>
      <c r="B189" t="s">
        <v>35</v>
      </c>
      <c r="C189">
        <v>3</v>
      </c>
      <c r="D189" t="s">
        <v>36</v>
      </c>
      <c r="E189">
        <v>2</v>
      </c>
      <c r="F189" t="s">
        <v>37</v>
      </c>
      <c r="G189">
        <v>3</v>
      </c>
      <c r="H189">
        <v>5</v>
      </c>
      <c r="I189">
        <v>1</v>
      </c>
      <c r="J189">
        <v>44</v>
      </c>
      <c r="K189">
        <v>46</v>
      </c>
      <c r="L189">
        <v>46</v>
      </c>
      <c r="M189">
        <v>2</v>
      </c>
      <c r="N189" t="s">
        <v>189</v>
      </c>
      <c r="O189" t="s">
        <v>39</v>
      </c>
      <c r="P189" t="s">
        <v>190</v>
      </c>
      <c r="Q189" t="s">
        <v>191</v>
      </c>
      <c r="R189" t="s">
        <v>42</v>
      </c>
      <c r="S189" t="s">
        <v>43</v>
      </c>
      <c r="T189" t="s">
        <v>45</v>
      </c>
      <c r="U189">
        <v>4</v>
      </c>
      <c r="V189" t="s">
        <v>149</v>
      </c>
      <c r="W189" t="s">
        <v>96</v>
      </c>
      <c r="X189" t="s">
        <v>56</v>
      </c>
      <c r="Y189">
        <v>1</v>
      </c>
      <c r="Z189">
        <v>2</v>
      </c>
      <c r="AA189">
        <v>44.1</v>
      </c>
      <c r="AB189">
        <v>7.0999999999999994E-2</v>
      </c>
      <c r="AC189" t="s">
        <v>149</v>
      </c>
      <c r="AD189">
        <v>2</v>
      </c>
      <c r="AE189">
        <v>5</v>
      </c>
      <c r="AF189">
        <v>0</v>
      </c>
      <c r="AG189">
        <v>1.589</v>
      </c>
      <c r="AH189">
        <v>0.46700000000000003</v>
      </c>
      <c r="AI189">
        <v>6.0999999999999999E-2</v>
      </c>
      <c r="AJ189">
        <v>1.6649890000000001</v>
      </c>
      <c r="AL189">
        <f t="shared" si="33"/>
        <v>1.6649890000000001</v>
      </c>
      <c r="AM189">
        <f>VLOOKUP(TRIM(N189),'[1]All - Durations'!$E$2:$H$109,4,FALSE)</f>
        <v>1.091</v>
      </c>
      <c r="AN189">
        <f t="shared" si="34"/>
        <v>0.57398900000000008</v>
      </c>
      <c r="AO189">
        <f t="shared" si="35"/>
        <v>0.57398900000000008</v>
      </c>
    </row>
    <row r="190" spans="1:41" x14ac:dyDescent="0.25">
      <c r="A190">
        <v>259</v>
      </c>
      <c r="B190" t="s">
        <v>35</v>
      </c>
      <c r="C190">
        <v>3</v>
      </c>
      <c r="D190" t="s">
        <v>36</v>
      </c>
      <c r="E190">
        <v>2</v>
      </c>
      <c r="F190" t="s">
        <v>37</v>
      </c>
      <c r="G190">
        <v>3</v>
      </c>
      <c r="H190">
        <v>5</v>
      </c>
      <c r="I190">
        <v>1</v>
      </c>
      <c r="J190">
        <v>45</v>
      </c>
      <c r="K190">
        <v>43</v>
      </c>
      <c r="L190">
        <v>5</v>
      </c>
      <c r="M190">
        <v>1</v>
      </c>
      <c r="N190" t="s">
        <v>192</v>
      </c>
      <c r="O190" t="s">
        <v>39</v>
      </c>
      <c r="P190" t="s">
        <v>193</v>
      </c>
      <c r="Q190" t="s">
        <v>194</v>
      </c>
      <c r="R190" t="s">
        <v>51</v>
      </c>
      <c r="S190" t="s">
        <v>52</v>
      </c>
      <c r="T190" t="s">
        <v>144</v>
      </c>
      <c r="U190">
        <v>4</v>
      </c>
      <c r="V190" t="s">
        <v>53</v>
      </c>
      <c r="W190" t="s">
        <v>107</v>
      </c>
      <c r="X190" t="s">
        <v>211</v>
      </c>
      <c r="Y190">
        <v>2</v>
      </c>
      <c r="Z190">
        <v>2</v>
      </c>
      <c r="AA190">
        <v>44.1</v>
      </c>
      <c r="AB190">
        <v>4.9000000000000002E-2</v>
      </c>
      <c r="AC190" t="s">
        <v>211</v>
      </c>
      <c r="AD190">
        <v>4</v>
      </c>
      <c r="AE190">
        <v>5</v>
      </c>
      <c r="AF190">
        <v>0</v>
      </c>
      <c r="AG190">
        <v>1.75</v>
      </c>
      <c r="AH190">
        <v>0.33400000000000002</v>
      </c>
      <c r="AI190">
        <v>4.5999999999999999E-2</v>
      </c>
      <c r="AJ190">
        <v>1.2649889999999999</v>
      </c>
      <c r="AL190">
        <f t="shared" si="33"/>
        <v>1.2649889999999999</v>
      </c>
      <c r="AM190">
        <f>VLOOKUP(TRIM(N190),'[1]All - Durations'!$E$2:$H$109,4,FALSE)</f>
        <v>1.0669999999999999</v>
      </c>
      <c r="AN190">
        <f t="shared" si="34"/>
        <v>0.19798899999999997</v>
      </c>
      <c r="AO190">
        <f t="shared" si="35"/>
        <v>0.19798899999999997</v>
      </c>
    </row>
    <row r="191" spans="1:41" x14ac:dyDescent="0.25">
      <c r="A191">
        <v>259</v>
      </c>
      <c r="B191" t="s">
        <v>35</v>
      </c>
      <c r="C191">
        <v>3</v>
      </c>
      <c r="D191" t="s">
        <v>36</v>
      </c>
      <c r="E191">
        <v>2</v>
      </c>
      <c r="F191" t="s">
        <v>37</v>
      </c>
      <c r="G191">
        <v>3</v>
      </c>
      <c r="H191">
        <v>5</v>
      </c>
      <c r="I191">
        <v>1</v>
      </c>
      <c r="J191">
        <v>46</v>
      </c>
      <c r="K191">
        <v>37</v>
      </c>
      <c r="L191">
        <v>11</v>
      </c>
      <c r="M191">
        <v>1</v>
      </c>
      <c r="N191" t="s">
        <v>213</v>
      </c>
      <c r="O191" t="s">
        <v>39</v>
      </c>
      <c r="P191" t="s">
        <v>207</v>
      </c>
      <c r="Q191" t="s">
        <v>208</v>
      </c>
      <c r="R191" t="s">
        <v>91</v>
      </c>
      <c r="S191" t="s">
        <v>92</v>
      </c>
      <c r="T191" t="s">
        <v>106</v>
      </c>
      <c r="U191">
        <v>5</v>
      </c>
      <c r="V191" t="s">
        <v>131</v>
      </c>
      <c r="W191" t="s">
        <v>119</v>
      </c>
      <c r="X191" t="s">
        <v>132</v>
      </c>
      <c r="Y191">
        <v>1</v>
      </c>
      <c r="Z191">
        <v>2</v>
      </c>
      <c r="AA191">
        <v>44.1</v>
      </c>
      <c r="AB191">
        <v>0.77</v>
      </c>
      <c r="AC191" t="s">
        <v>106</v>
      </c>
      <c r="AD191">
        <v>1</v>
      </c>
      <c r="AE191">
        <v>5</v>
      </c>
      <c r="AF191">
        <v>1</v>
      </c>
      <c r="AG191">
        <v>0.58599999999999997</v>
      </c>
      <c r="AH191">
        <v>0.36699999999999999</v>
      </c>
      <c r="AI191">
        <v>0.77</v>
      </c>
      <c r="AJ191">
        <v>1.064989</v>
      </c>
      <c r="AL191">
        <f t="shared" si="33"/>
        <v>1.064989</v>
      </c>
      <c r="AM191">
        <f>VLOOKUP(TRIM(N191),'[1]All - Durations'!$E$2:$H$109,4,FALSE)</f>
        <v>0.86599999999999999</v>
      </c>
      <c r="AN191">
        <f t="shared" si="34"/>
        <v>0.19898899999999997</v>
      </c>
      <c r="AO191">
        <f t="shared" si="35"/>
        <v>0.19898899999999997</v>
      </c>
    </row>
    <row r="192" spans="1:41" x14ac:dyDescent="0.25">
      <c r="A192">
        <v>259</v>
      </c>
      <c r="B192" t="s">
        <v>35</v>
      </c>
      <c r="C192">
        <v>3</v>
      </c>
      <c r="D192" t="s">
        <v>36</v>
      </c>
      <c r="E192">
        <v>2</v>
      </c>
      <c r="F192" t="s">
        <v>37</v>
      </c>
      <c r="G192">
        <v>3</v>
      </c>
      <c r="H192">
        <v>5</v>
      </c>
      <c r="I192">
        <v>1</v>
      </c>
      <c r="J192">
        <v>47</v>
      </c>
      <c r="K192">
        <v>44</v>
      </c>
      <c r="L192">
        <v>6</v>
      </c>
      <c r="M192">
        <v>1</v>
      </c>
      <c r="N192" t="s">
        <v>215</v>
      </c>
      <c r="O192" t="s">
        <v>39</v>
      </c>
      <c r="P192" t="s">
        <v>193</v>
      </c>
      <c r="Q192" t="s">
        <v>194</v>
      </c>
      <c r="R192" t="s">
        <v>42</v>
      </c>
      <c r="S192" t="s">
        <v>43</v>
      </c>
      <c r="T192" t="s">
        <v>185</v>
      </c>
      <c r="U192">
        <v>5</v>
      </c>
      <c r="V192" t="s">
        <v>144</v>
      </c>
      <c r="W192" t="s">
        <v>183</v>
      </c>
      <c r="X192" t="s">
        <v>137</v>
      </c>
      <c r="Y192">
        <v>1</v>
      </c>
      <c r="Z192">
        <v>2</v>
      </c>
      <c r="AA192">
        <v>44.1</v>
      </c>
      <c r="AB192">
        <v>0.93</v>
      </c>
      <c r="AC192" t="s">
        <v>144</v>
      </c>
      <c r="AD192">
        <v>2</v>
      </c>
      <c r="AE192">
        <v>4</v>
      </c>
      <c r="AF192">
        <v>0</v>
      </c>
      <c r="AG192">
        <v>2.1480000000000001</v>
      </c>
      <c r="AH192">
        <v>0.33400000000000002</v>
      </c>
      <c r="AI192">
        <v>0.92700000000000005</v>
      </c>
      <c r="AJ192">
        <v>1.104989</v>
      </c>
      <c r="AL192">
        <f t="shared" si="33"/>
        <v>1.104989</v>
      </c>
      <c r="AM192">
        <f>VLOOKUP(TRIM(N192),'[1]All - Durations'!$E$2:$H$109,4,FALSE)</f>
        <v>0.88200000000000001</v>
      </c>
      <c r="AN192">
        <f t="shared" si="34"/>
        <v>0.22298899999999999</v>
      </c>
      <c r="AO192">
        <f t="shared" si="35"/>
        <v>0.22298899999999999</v>
      </c>
    </row>
    <row r="193" spans="1:41" x14ac:dyDescent="0.25">
      <c r="A193">
        <v>259</v>
      </c>
      <c r="B193" t="s">
        <v>35</v>
      </c>
      <c r="C193">
        <v>3</v>
      </c>
      <c r="D193" t="s">
        <v>36</v>
      </c>
      <c r="E193">
        <v>2</v>
      </c>
      <c r="F193" t="s">
        <v>37</v>
      </c>
      <c r="G193">
        <v>3</v>
      </c>
      <c r="H193">
        <v>5</v>
      </c>
      <c r="I193">
        <v>1</v>
      </c>
      <c r="J193">
        <v>48</v>
      </c>
      <c r="K193">
        <v>45</v>
      </c>
      <c r="L193">
        <v>45</v>
      </c>
      <c r="M193">
        <v>2</v>
      </c>
      <c r="N193" t="s">
        <v>210</v>
      </c>
      <c r="O193" t="s">
        <v>39</v>
      </c>
      <c r="P193" t="s">
        <v>190</v>
      </c>
      <c r="Q193" t="s">
        <v>191</v>
      </c>
      <c r="R193" t="s">
        <v>51</v>
      </c>
      <c r="S193" t="s">
        <v>52</v>
      </c>
      <c r="T193" t="s">
        <v>149</v>
      </c>
      <c r="U193">
        <v>5</v>
      </c>
      <c r="V193" t="s">
        <v>79</v>
      </c>
      <c r="W193" t="s">
        <v>62</v>
      </c>
      <c r="X193" t="s">
        <v>120</v>
      </c>
      <c r="Y193">
        <v>2</v>
      </c>
      <c r="Z193">
        <v>2</v>
      </c>
      <c r="AA193">
        <v>44.1</v>
      </c>
      <c r="AB193">
        <v>1.23</v>
      </c>
      <c r="AC193" t="s">
        <v>79</v>
      </c>
      <c r="AD193">
        <v>3</v>
      </c>
      <c r="AE193">
        <v>2</v>
      </c>
      <c r="AF193">
        <v>0</v>
      </c>
      <c r="AG193">
        <v>1.3919999999999999</v>
      </c>
      <c r="AH193">
        <v>0.33400000000000002</v>
      </c>
      <c r="AI193">
        <v>1.2290000000000001</v>
      </c>
      <c r="AJ193">
        <v>1.2249890000000001</v>
      </c>
      <c r="AL193">
        <f t="shared" si="33"/>
        <v>1.2249890000000001</v>
      </c>
      <c r="AM193">
        <f>VLOOKUP(TRIM(N193),'[1]All - Durations'!$E$2:$H$109,4,FALSE)</f>
        <v>1.004</v>
      </c>
      <c r="AN193">
        <f t="shared" si="34"/>
        <v>0.2209890000000001</v>
      </c>
      <c r="AO193">
        <f t="shared" si="35"/>
        <v>0.2209890000000001</v>
      </c>
    </row>
    <row r="194" spans="1:41" x14ac:dyDescent="0.25">
      <c r="A194">
        <v>259</v>
      </c>
      <c r="B194" t="s">
        <v>35</v>
      </c>
      <c r="C194">
        <v>3</v>
      </c>
      <c r="D194" t="s">
        <v>36</v>
      </c>
      <c r="E194">
        <v>2</v>
      </c>
      <c r="F194" t="s">
        <v>37</v>
      </c>
      <c r="G194">
        <v>3</v>
      </c>
      <c r="H194">
        <v>5</v>
      </c>
      <c r="I194">
        <v>1</v>
      </c>
      <c r="J194">
        <v>49</v>
      </c>
      <c r="K194">
        <v>51</v>
      </c>
      <c r="L194">
        <v>31</v>
      </c>
      <c r="M194">
        <v>1</v>
      </c>
      <c r="N194" t="s">
        <v>230</v>
      </c>
      <c r="O194" t="s">
        <v>113</v>
      </c>
      <c r="P194" t="s">
        <v>114</v>
      </c>
      <c r="Q194" t="s">
        <v>231</v>
      </c>
      <c r="R194" t="s">
        <v>114</v>
      </c>
      <c r="S194" t="s">
        <v>59</v>
      </c>
      <c r="T194" t="s">
        <v>162</v>
      </c>
      <c r="U194">
        <v>5</v>
      </c>
      <c r="V194" t="s">
        <v>111</v>
      </c>
      <c r="W194" t="s">
        <v>102</v>
      </c>
      <c r="X194" t="s">
        <v>86</v>
      </c>
      <c r="Y194">
        <v>1</v>
      </c>
      <c r="Z194">
        <v>2</v>
      </c>
      <c r="AA194">
        <v>44.1</v>
      </c>
      <c r="AB194">
        <v>1.2010000000000001</v>
      </c>
      <c r="AC194" t="s">
        <v>111</v>
      </c>
      <c r="AD194">
        <v>2</v>
      </c>
      <c r="AE194">
        <v>1</v>
      </c>
      <c r="AF194">
        <v>0</v>
      </c>
      <c r="AG194">
        <v>2.0249999999999999</v>
      </c>
      <c r="AH194">
        <v>0.4</v>
      </c>
      <c r="AI194">
        <v>1.2</v>
      </c>
      <c r="AJ194">
        <v>1.1949890000000001</v>
      </c>
      <c r="AL194">
        <f t="shared" si="33"/>
        <v>1.1949890000000001</v>
      </c>
      <c r="AM194">
        <f>VLOOKUP(TRIM(N194),'[1]All - Durations'!$E$2:$H$109,4,FALSE)</f>
        <v>0.92100000000000004</v>
      </c>
      <c r="AN194">
        <f t="shared" si="34"/>
        <v>0.27398900000000004</v>
      </c>
      <c r="AO194">
        <f t="shared" si="35"/>
        <v>0.27398900000000004</v>
      </c>
    </row>
    <row r="195" spans="1:41" x14ac:dyDescent="0.25">
      <c r="A195">
        <v>259</v>
      </c>
      <c r="B195" t="s">
        <v>35</v>
      </c>
      <c r="C195">
        <v>3</v>
      </c>
      <c r="D195" t="s">
        <v>36</v>
      </c>
      <c r="E195">
        <v>2</v>
      </c>
      <c r="F195" t="s">
        <v>37</v>
      </c>
      <c r="G195">
        <v>3</v>
      </c>
      <c r="H195">
        <v>5</v>
      </c>
      <c r="I195">
        <v>1</v>
      </c>
      <c r="J195">
        <v>50</v>
      </c>
      <c r="K195">
        <v>55</v>
      </c>
      <c r="L195">
        <v>29</v>
      </c>
      <c r="M195">
        <v>1</v>
      </c>
      <c r="N195" t="s">
        <v>217</v>
      </c>
      <c r="O195" t="s">
        <v>113</v>
      </c>
      <c r="P195" t="s">
        <v>114</v>
      </c>
      <c r="Q195" t="s">
        <v>218</v>
      </c>
      <c r="R195" t="s">
        <v>114</v>
      </c>
      <c r="S195" t="s">
        <v>52</v>
      </c>
      <c r="T195" t="s">
        <v>214</v>
      </c>
      <c r="U195">
        <v>5</v>
      </c>
      <c r="V195" t="s">
        <v>74</v>
      </c>
      <c r="W195" t="s">
        <v>204</v>
      </c>
      <c r="X195" t="s">
        <v>156</v>
      </c>
      <c r="Y195">
        <v>2</v>
      </c>
      <c r="Z195">
        <v>2</v>
      </c>
      <c r="AA195">
        <v>44.1</v>
      </c>
      <c r="AB195">
        <v>1.0920000000000001</v>
      </c>
      <c r="AC195" t="s">
        <v>214</v>
      </c>
      <c r="AD195">
        <v>1</v>
      </c>
      <c r="AE195">
        <v>5</v>
      </c>
      <c r="AF195">
        <v>1</v>
      </c>
      <c r="AG195">
        <v>2.4350000000000001</v>
      </c>
      <c r="AH195">
        <v>0.33400000000000002</v>
      </c>
      <c r="AI195">
        <v>1.099</v>
      </c>
      <c r="AJ195">
        <v>1.094989</v>
      </c>
      <c r="AL195">
        <f t="shared" ref="AL195:AL258" si="36">IF(ISNUMBER(AK195), AK195, IF(AND(AK195="",AJ195=""),"",IF(AK195="",AJ195,"")))</f>
        <v>1.094989</v>
      </c>
      <c r="AM195">
        <f>VLOOKUP(TRIM(N195),'[1]All - Durations'!$E$2:$H$109,4,FALSE)</f>
        <v>0.76300000000000001</v>
      </c>
      <c r="AN195">
        <f t="shared" ref="AN195:AN258" si="37">AL195-AM195</f>
        <v>0.33198899999999998</v>
      </c>
      <c r="AO195">
        <f t="shared" ref="AO195:AO258" si="38">IF(ISNUMBER(AN195), AN195, "")</f>
        <v>0.33198899999999998</v>
      </c>
    </row>
    <row r="196" spans="1:41" x14ac:dyDescent="0.25">
      <c r="A196">
        <v>259</v>
      </c>
      <c r="B196" t="s">
        <v>35</v>
      </c>
      <c r="C196">
        <v>3</v>
      </c>
      <c r="D196" t="s">
        <v>36</v>
      </c>
      <c r="E196">
        <v>2</v>
      </c>
      <c r="F196" t="s">
        <v>37</v>
      </c>
      <c r="G196">
        <v>3</v>
      </c>
      <c r="H196">
        <v>5</v>
      </c>
      <c r="I196">
        <v>1</v>
      </c>
      <c r="J196">
        <v>51</v>
      </c>
      <c r="K196">
        <v>52</v>
      </c>
      <c r="L196">
        <v>32</v>
      </c>
      <c r="M196">
        <v>1</v>
      </c>
      <c r="N196" t="s">
        <v>234</v>
      </c>
      <c r="O196" t="s">
        <v>113</v>
      </c>
      <c r="P196" t="s">
        <v>114</v>
      </c>
      <c r="Q196" t="s">
        <v>231</v>
      </c>
      <c r="R196" t="s">
        <v>114</v>
      </c>
      <c r="S196" t="s">
        <v>43</v>
      </c>
      <c r="T196" t="s">
        <v>111</v>
      </c>
      <c r="U196">
        <v>1</v>
      </c>
      <c r="V196" t="s">
        <v>81</v>
      </c>
      <c r="W196" t="s">
        <v>106</v>
      </c>
      <c r="X196" t="s">
        <v>103</v>
      </c>
      <c r="Y196">
        <v>2</v>
      </c>
      <c r="Z196">
        <v>2</v>
      </c>
      <c r="AA196">
        <v>44.1</v>
      </c>
      <c r="AB196">
        <v>3.1E-2</v>
      </c>
      <c r="AC196" t="s">
        <v>81</v>
      </c>
      <c r="AD196">
        <v>3</v>
      </c>
      <c r="AE196">
        <v>4</v>
      </c>
      <c r="AF196">
        <v>0</v>
      </c>
      <c r="AG196">
        <v>1.863</v>
      </c>
      <c r="AH196">
        <v>0.41699999999999998</v>
      </c>
      <c r="AI196">
        <v>3.2000000000000001E-2</v>
      </c>
      <c r="AJ196">
        <v>1.2749889999999999</v>
      </c>
      <c r="AL196">
        <f t="shared" si="36"/>
        <v>1.2749889999999999</v>
      </c>
      <c r="AM196">
        <f>VLOOKUP(TRIM(N196),'[1]All - Durations'!$E$2:$H$109,4,FALSE)</f>
        <v>0.9</v>
      </c>
      <c r="AN196">
        <f t="shared" si="37"/>
        <v>0.37498899999999991</v>
      </c>
      <c r="AO196">
        <f t="shared" si="38"/>
        <v>0.37498899999999991</v>
      </c>
    </row>
    <row r="197" spans="1:41" x14ac:dyDescent="0.25">
      <c r="A197">
        <v>259</v>
      </c>
      <c r="B197" t="s">
        <v>35</v>
      </c>
      <c r="C197">
        <v>3</v>
      </c>
      <c r="D197" t="s">
        <v>36</v>
      </c>
      <c r="E197">
        <v>2</v>
      </c>
      <c r="F197" t="s">
        <v>37</v>
      </c>
      <c r="G197">
        <v>3</v>
      </c>
      <c r="H197">
        <v>5</v>
      </c>
      <c r="I197">
        <v>1</v>
      </c>
      <c r="J197">
        <v>52</v>
      </c>
      <c r="K197">
        <v>49</v>
      </c>
      <c r="L197">
        <v>35</v>
      </c>
      <c r="M197">
        <v>1</v>
      </c>
      <c r="N197" t="s">
        <v>219</v>
      </c>
      <c r="O197" t="s">
        <v>113</v>
      </c>
      <c r="P197" t="s">
        <v>114</v>
      </c>
      <c r="Q197" t="s">
        <v>220</v>
      </c>
      <c r="R197" t="s">
        <v>114</v>
      </c>
      <c r="S197" t="s">
        <v>92</v>
      </c>
      <c r="T197" t="s">
        <v>179</v>
      </c>
      <c r="U197">
        <v>4</v>
      </c>
      <c r="V197" t="s">
        <v>209</v>
      </c>
      <c r="W197" t="s">
        <v>166</v>
      </c>
      <c r="X197" t="s">
        <v>149</v>
      </c>
      <c r="Y197">
        <v>2</v>
      </c>
      <c r="Z197">
        <v>2</v>
      </c>
      <c r="AA197">
        <v>44.1</v>
      </c>
      <c r="AB197">
        <v>1.1399999999999999</v>
      </c>
      <c r="AC197" t="s">
        <v>179</v>
      </c>
      <c r="AD197">
        <v>1</v>
      </c>
      <c r="AE197">
        <v>4</v>
      </c>
      <c r="AF197">
        <v>1</v>
      </c>
      <c r="AG197">
        <v>2.3159999999999998</v>
      </c>
      <c r="AH197">
        <v>0.41699999999999998</v>
      </c>
      <c r="AI197">
        <v>1.1379999999999999</v>
      </c>
      <c r="AJ197">
        <v>1.134989</v>
      </c>
      <c r="AL197">
        <f t="shared" si="36"/>
        <v>1.134989</v>
      </c>
      <c r="AM197">
        <f>VLOOKUP(TRIM(N197),'[1]All - Durations'!$E$2:$H$109,4,FALSE)</f>
        <v>0.99299999999999999</v>
      </c>
      <c r="AN197">
        <f t="shared" si="37"/>
        <v>0.14198900000000003</v>
      </c>
      <c r="AO197">
        <f t="shared" si="38"/>
        <v>0.14198900000000003</v>
      </c>
    </row>
    <row r="198" spans="1:41" x14ac:dyDescent="0.25">
      <c r="A198">
        <v>259</v>
      </c>
      <c r="B198" t="s">
        <v>35</v>
      </c>
      <c r="C198">
        <v>3</v>
      </c>
      <c r="D198" t="s">
        <v>36</v>
      </c>
      <c r="E198">
        <v>2</v>
      </c>
      <c r="F198" t="s">
        <v>37</v>
      </c>
      <c r="G198">
        <v>3</v>
      </c>
      <c r="H198">
        <v>5</v>
      </c>
      <c r="I198">
        <v>1</v>
      </c>
      <c r="J198">
        <v>53</v>
      </c>
      <c r="K198">
        <v>60</v>
      </c>
      <c r="L198">
        <v>34</v>
      </c>
      <c r="M198">
        <v>1</v>
      </c>
      <c r="N198" t="s">
        <v>228</v>
      </c>
      <c r="O198" t="s">
        <v>113</v>
      </c>
      <c r="P198" t="s">
        <v>114</v>
      </c>
      <c r="Q198" t="s">
        <v>224</v>
      </c>
      <c r="R198" t="s">
        <v>114</v>
      </c>
      <c r="S198" t="s">
        <v>52</v>
      </c>
      <c r="T198" t="s">
        <v>61</v>
      </c>
      <c r="U198">
        <v>5</v>
      </c>
      <c r="V198" t="s">
        <v>56</v>
      </c>
      <c r="W198" t="s">
        <v>185</v>
      </c>
      <c r="X198" t="s">
        <v>55</v>
      </c>
      <c r="Y198">
        <v>1</v>
      </c>
      <c r="Z198">
        <v>2</v>
      </c>
      <c r="AA198">
        <v>44.1</v>
      </c>
      <c r="AB198">
        <v>1.5329999999999999</v>
      </c>
      <c r="AC198" t="s">
        <v>55</v>
      </c>
      <c r="AD198">
        <v>4</v>
      </c>
      <c r="AE198">
        <v>4</v>
      </c>
      <c r="AF198">
        <v>0</v>
      </c>
      <c r="AG198">
        <v>2.8319999999999999</v>
      </c>
      <c r="AH198">
        <v>0.38400000000000001</v>
      </c>
      <c r="AI198">
        <v>1.5269999999999999</v>
      </c>
      <c r="AJ198">
        <v>1.5349889999999999</v>
      </c>
      <c r="AL198">
        <f t="shared" si="36"/>
        <v>1.5349889999999999</v>
      </c>
      <c r="AM198">
        <f>VLOOKUP(TRIM(N198),'[1]All - Durations'!$E$2:$H$109,4,FALSE)</f>
        <v>0.93300000000000005</v>
      </c>
      <c r="AN198">
        <f t="shared" si="37"/>
        <v>0.60198899999999989</v>
      </c>
      <c r="AO198">
        <f t="shared" si="38"/>
        <v>0.60198899999999989</v>
      </c>
    </row>
    <row r="199" spans="1:41" x14ac:dyDescent="0.25">
      <c r="A199">
        <v>259</v>
      </c>
      <c r="B199" t="s">
        <v>35</v>
      </c>
      <c r="C199">
        <v>3</v>
      </c>
      <c r="D199" t="s">
        <v>36</v>
      </c>
      <c r="E199">
        <v>2</v>
      </c>
      <c r="F199" t="s">
        <v>37</v>
      </c>
      <c r="G199">
        <v>3</v>
      </c>
      <c r="H199">
        <v>5</v>
      </c>
      <c r="I199">
        <v>1</v>
      </c>
      <c r="J199">
        <v>54</v>
      </c>
      <c r="K199">
        <v>53</v>
      </c>
      <c r="L199">
        <v>65</v>
      </c>
      <c r="M199">
        <v>2</v>
      </c>
      <c r="N199" t="s">
        <v>225</v>
      </c>
      <c r="O199" t="s">
        <v>113</v>
      </c>
      <c r="P199" t="s">
        <v>114</v>
      </c>
      <c r="Q199" t="s">
        <v>226</v>
      </c>
      <c r="R199" t="s">
        <v>114</v>
      </c>
      <c r="S199" t="s">
        <v>59</v>
      </c>
      <c r="T199" t="s">
        <v>87</v>
      </c>
      <c r="U199">
        <v>4</v>
      </c>
      <c r="V199" t="s">
        <v>162</v>
      </c>
      <c r="W199" t="s">
        <v>85</v>
      </c>
      <c r="X199" t="s">
        <v>187</v>
      </c>
      <c r="Y199">
        <v>2</v>
      </c>
      <c r="Z199">
        <v>2</v>
      </c>
      <c r="AA199">
        <v>44.1</v>
      </c>
      <c r="AB199">
        <v>0.04</v>
      </c>
      <c r="AC199" t="s">
        <v>162</v>
      </c>
      <c r="AD199">
        <v>3</v>
      </c>
      <c r="AE199">
        <v>1</v>
      </c>
      <c r="AF199">
        <v>0</v>
      </c>
      <c r="AG199">
        <v>2.2930000000000001</v>
      </c>
      <c r="AH199">
        <v>0.4</v>
      </c>
      <c r="AI199">
        <v>3.5000000000000003E-2</v>
      </c>
      <c r="AJ199">
        <v>1.2349889999999999</v>
      </c>
      <c r="AL199">
        <f t="shared" si="36"/>
        <v>1.2349889999999999</v>
      </c>
      <c r="AM199">
        <f>VLOOKUP(TRIM(N199),'[1]All - Durations'!$E$2:$H$109,4,FALSE)</f>
        <v>0.97099999999999997</v>
      </c>
      <c r="AN199">
        <f t="shared" si="37"/>
        <v>0.26398899999999992</v>
      </c>
      <c r="AO199">
        <f t="shared" si="38"/>
        <v>0.26398899999999992</v>
      </c>
    </row>
    <row r="200" spans="1:41" x14ac:dyDescent="0.25">
      <c r="A200">
        <v>259</v>
      </c>
      <c r="B200" t="s">
        <v>35</v>
      </c>
      <c r="C200">
        <v>3</v>
      </c>
      <c r="D200" t="s">
        <v>36</v>
      </c>
      <c r="E200">
        <v>2</v>
      </c>
      <c r="F200" t="s">
        <v>37</v>
      </c>
      <c r="G200">
        <v>3</v>
      </c>
      <c r="H200">
        <v>5</v>
      </c>
      <c r="I200">
        <v>1</v>
      </c>
      <c r="J200">
        <v>55</v>
      </c>
      <c r="K200">
        <v>58</v>
      </c>
      <c r="L200">
        <v>70</v>
      </c>
      <c r="M200">
        <v>2</v>
      </c>
      <c r="N200" t="s">
        <v>232</v>
      </c>
      <c r="O200" t="s">
        <v>113</v>
      </c>
      <c r="P200" t="s">
        <v>114</v>
      </c>
      <c r="Q200" t="s">
        <v>222</v>
      </c>
      <c r="R200" t="s">
        <v>114</v>
      </c>
      <c r="S200" t="s">
        <v>43</v>
      </c>
      <c r="T200" t="s">
        <v>81</v>
      </c>
      <c r="U200">
        <v>2</v>
      </c>
      <c r="V200" t="s">
        <v>69</v>
      </c>
      <c r="W200" t="s">
        <v>147</v>
      </c>
      <c r="X200" t="s">
        <v>68</v>
      </c>
      <c r="Y200">
        <v>1</v>
      </c>
      <c r="Z200">
        <v>2</v>
      </c>
      <c r="AA200">
        <v>44.1</v>
      </c>
      <c r="AB200">
        <v>1.5920000000000001</v>
      </c>
      <c r="AC200" t="s">
        <v>81</v>
      </c>
      <c r="AD200">
        <v>1</v>
      </c>
      <c r="AE200">
        <v>2</v>
      </c>
      <c r="AF200">
        <v>1</v>
      </c>
      <c r="AG200">
        <v>2.6619999999999999</v>
      </c>
      <c r="AH200">
        <v>3.036</v>
      </c>
      <c r="AI200">
        <v>1.5940000000000001</v>
      </c>
      <c r="AJ200">
        <v>1.6749890000000001</v>
      </c>
      <c r="AL200">
        <f t="shared" si="36"/>
        <v>1.6749890000000001</v>
      </c>
      <c r="AM200">
        <f>VLOOKUP(TRIM(N200),'[1]All - Durations'!$E$2:$H$109,4,FALSE)</f>
        <v>1.0269999999999999</v>
      </c>
      <c r="AN200">
        <f t="shared" si="37"/>
        <v>0.64798900000000015</v>
      </c>
      <c r="AO200">
        <f t="shared" si="38"/>
        <v>0.64798900000000015</v>
      </c>
    </row>
    <row r="201" spans="1:41" x14ac:dyDescent="0.25">
      <c r="A201">
        <v>259</v>
      </c>
      <c r="B201" t="s">
        <v>35</v>
      </c>
      <c r="C201">
        <v>3</v>
      </c>
      <c r="D201" t="s">
        <v>36</v>
      </c>
      <c r="E201">
        <v>2</v>
      </c>
      <c r="F201" t="s">
        <v>37</v>
      </c>
      <c r="G201">
        <v>3</v>
      </c>
      <c r="H201">
        <v>5</v>
      </c>
      <c r="I201">
        <v>1</v>
      </c>
      <c r="J201">
        <v>56</v>
      </c>
      <c r="K201">
        <v>54</v>
      </c>
      <c r="L201">
        <v>66</v>
      </c>
      <c r="M201">
        <v>2</v>
      </c>
      <c r="N201" t="s">
        <v>229</v>
      </c>
      <c r="O201" t="s">
        <v>113</v>
      </c>
      <c r="P201" t="s">
        <v>114</v>
      </c>
      <c r="Q201" t="s">
        <v>226</v>
      </c>
      <c r="R201" t="s">
        <v>114</v>
      </c>
      <c r="S201" t="s">
        <v>92</v>
      </c>
      <c r="T201" t="s">
        <v>209</v>
      </c>
      <c r="U201">
        <v>1</v>
      </c>
      <c r="V201" t="s">
        <v>87</v>
      </c>
      <c r="W201" t="s">
        <v>53</v>
      </c>
      <c r="X201" t="s">
        <v>121</v>
      </c>
      <c r="Y201">
        <v>1</v>
      </c>
      <c r="Z201">
        <v>2</v>
      </c>
      <c r="AA201">
        <v>44.1</v>
      </c>
      <c r="AB201">
        <v>4.1000000000000002E-2</v>
      </c>
      <c r="AC201" t="s">
        <v>209</v>
      </c>
      <c r="AD201">
        <v>1</v>
      </c>
      <c r="AE201">
        <v>1</v>
      </c>
      <c r="AF201">
        <v>1</v>
      </c>
      <c r="AG201">
        <v>2.5619999999999998</v>
      </c>
      <c r="AH201">
        <v>1.768</v>
      </c>
      <c r="AI201">
        <v>3.1E-2</v>
      </c>
      <c r="AJ201">
        <v>1.064989</v>
      </c>
      <c r="AL201">
        <f t="shared" si="36"/>
        <v>1.064989</v>
      </c>
      <c r="AM201">
        <f>VLOOKUP(TRIM(N201),'[1]All - Durations'!$E$2:$H$109,4,FALSE)</f>
        <v>0.88600000000000001</v>
      </c>
      <c r="AN201">
        <f t="shared" si="37"/>
        <v>0.17898899999999995</v>
      </c>
      <c r="AO201">
        <f t="shared" si="38"/>
        <v>0.17898899999999995</v>
      </c>
    </row>
    <row r="202" spans="1:41" x14ac:dyDescent="0.25">
      <c r="A202">
        <v>259</v>
      </c>
      <c r="B202" t="s">
        <v>35</v>
      </c>
      <c r="C202">
        <v>3</v>
      </c>
      <c r="D202" t="s">
        <v>36</v>
      </c>
      <c r="E202">
        <v>2</v>
      </c>
      <c r="F202" t="s">
        <v>37</v>
      </c>
      <c r="G202">
        <v>3</v>
      </c>
      <c r="H202">
        <v>5</v>
      </c>
      <c r="I202">
        <v>1</v>
      </c>
      <c r="J202">
        <v>57</v>
      </c>
      <c r="K202">
        <v>56</v>
      </c>
      <c r="L202">
        <v>30</v>
      </c>
      <c r="M202">
        <v>1</v>
      </c>
      <c r="N202" t="s">
        <v>233</v>
      </c>
      <c r="O202" t="s">
        <v>113</v>
      </c>
      <c r="P202" t="s">
        <v>114</v>
      </c>
      <c r="Q202" t="s">
        <v>218</v>
      </c>
      <c r="R202" t="s">
        <v>114</v>
      </c>
      <c r="S202" t="s">
        <v>43</v>
      </c>
      <c r="T202" t="s">
        <v>107</v>
      </c>
      <c r="U202">
        <v>1</v>
      </c>
      <c r="V202" t="s">
        <v>214</v>
      </c>
      <c r="W202" t="s">
        <v>60</v>
      </c>
      <c r="X202" t="s">
        <v>211</v>
      </c>
      <c r="Y202">
        <v>1</v>
      </c>
      <c r="Z202">
        <v>2</v>
      </c>
      <c r="AA202">
        <v>44.1</v>
      </c>
      <c r="AB202">
        <v>0.05</v>
      </c>
      <c r="AC202" t="s">
        <v>214</v>
      </c>
      <c r="AD202">
        <v>2</v>
      </c>
      <c r="AE202">
        <v>5</v>
      </c>
      <c r="AF202">
        <v>0</v>
      </c>
      <c r="AG202">
        <v>1.4450000000000001</v>
      </c>
      <c r="AH202">
        <v>0.91700000000000004</v>
      </c>
      <c r="AI202">
        <v>5.1999999999999998E-2</v>
      </c>
      <c r="AJ202">
        <v>1.114989</v>
      </c>
      <c r="AL202">
        <f t="shared" si="36"/>
        <v>1.114989</v>
      </c>
      <c r="AM202">
        <f>VLOOKUP(TRIM(N202),'[1]All - Durations'!$E$2:$H$109,4,FALSE)</f>
        <v>0.85599999999999998</v>
      </c>
      <c r="AN202">
        <f t="shared" si="37"/>
        <v>0.25898900000000002</v>
      </c>
      <c r="AO202">
        <f t="shared" si="38"/>
        <v>0.25898900000000002</v>
      </c>
    </row>
    <row r="203" spans="1:41" x14ac:dyDescent="0.25">
      <c r="A203">
        <v>259</v>
      </c>
      <c r="B203" t="s">
        <v>35</v>
      </c>
      <c r="C203">
        <v>3</v>
      </c>
      <c r="D203" t="s">
        <v>36</v>
      </c>
      <c r="E203">
        <v>2</v>
      </c>
      <c r="F203" t="s">
        <v>37</v>
      </c>
      <c r="G203">
        <v>3</v>
      </c>
      <c r="H203">
        <v>5</v>
      </c>
      <c r="I203">
        <v>1</v>
      </c>
      <c r="J203">
        <v>58</v>
      </c>
      <c r="K203">
        <v>59</v>
      </c>
      <c r="L203">
        <v>33</v>
      </c>
      <c r="M203">
        <v>1</v>
      </c>
      <c r="N203" t="s">
        <v>223</v>
      </c>
      <c r="O203" t="s">
        <v>113</v>
      </c>
      <c r="P203" t="s">
        <v>114</v>
      </c>
      <c r="Q203" t="s">
        <v>224</v>
      </c>
      <c r="R203" t="s">
        <v>114</v>
      </c>
      <c r="S203" t="s">
        <v>59</v>
      </c>
      <c r="T203" t="s">
        <v>56</v>
      </c>
      <c r="U203">
        <v>5</v>
      </c>
      <c r="V203" t="s">
        <v>95</v>
      </c>
      <c r="W203" t="s">
        <v>82</v>
      </c>
      <c r="X203" t="s">
        <v>67</v>
      </c>
      <c r="Y203">
        <v>2</v>
      </c>
      <c r="Z203">
        <v>2</v>
      </c>
      <c r="AA203">
        <v>44.1</v>
      </c>
      <c r="AB203">
        <v>1.202</v>
      </c>
      <c r="AC203" t="s">
        <v>95</v>
      </c>
      <c r="AD203">
        <v>3</v>
      </c>
      <c r="AE203">
        <v>1</v>
      </c>
      <c r="AF203">
        <v>0</v>
      </c>
      <c r="AG203">
        <v>1.909</v>
      </c>
      <c r="AH203">
        <v>0.36699999999999999</v>
      </c>
      <c r="AI203">
        <v>1.2090000000000001</v>
      </c>
      <c r="AJ203">
        <v>1.2149890000000001</v>
      </c>
      <c r="AL203">
        <f t="shared" si="36"/>
        <v>1.2149890000000001</v>
      </c>
      <c r="AM203">
        <f>VLOOKUP(TRIM(N203),'[1]All - Durations'!$E$2:$H$109,4,FALSE)</f>
        <v>1.0089999999999999</v>
      </c>
      <c r="AN203">
        <f t="shared" si="37"/>
        <v>0.2059890000000002</v>
      </c>
      <c r="AO203">
        <f t="shared" si="38"/>
        <v>0.2059890000000002</v>
      </c>
    </row>
    <row r="204" spans="1:41" x14ac:dyDescent="0.25">
      <c r="A204">
        <v>259</v>
      </c>
      <c r="B204" t="s">
        <v>35</v>
      </c>
      <c r="C204">
        <v>3</v>
      </c>
      <c r="D204" t="s">
        <v>36</v>
      </c>
      <c r="E204">
        <v>2</v>
      </c>
      <c r="F204" t="s">
        <v>37</v>
      </c>
      <c r="G204">
        <v>3</v>
      </c>
      <c r="H204">
        <v>5</v>
      </c>
      <c r="I204">
        <v>1</v>
      </c>
      <c r="J204">
        <v>59</v>
      </c>
      <c r="K204">
        <v>50</v>
      </c>
      <c r="L204">
        <v>36</v>
      </c>
      <c r="M204">
        <v>1</v>
      </c>
      <c r="N204" t="s">
        <v>227</v>
      </c>
      <c r="O204" t="s">
        <v>113</v>
      </c>
      <c r="P204" t="s">
        <v>114</v>
      </c>
      <c r="Q204" t="s">
        <v>220</v>
      </c>
      <c r="R204" t="s">
        <v>114</v>
      </c>
      <c r="S204" t="s">
        <v>43</v>
      </c>
      <c r="T204" t="s">
        <v>116</v>
      </c>
      <c r="U204">
        <v>2</v>
      </c>
      <c r="V204" t="s">
        <v>179</v>
      </c>
      <c r="W204" t="s">
        <v>66</v>
      </c>
      <c r="X204" t="s">
        <v>132</v>
      </c>
      <c r="Y204">
        <v>1</v>
      </c>
      <c r="Z204">
        <v>2</v>
      </c>
      <c r="AA204">
        <v>44.1</v>
      </c>
      <c r="AB204">
        <v>1.2E-2</v>
      </c>
      <c r="AC204" t="s">
        <v>116</v>
      </c>
      <c r="AD204">
        <v>1</v>
      </c>
      <c r="AE204">
        <v>2</v>
      </c>
      <c r="AF204">
        <v>1</v>
      </c>
      <c r="AG204">
        <v>2.9729999999999999</v>
      </c>
      <c r="AH204">
        <v>0.317</v>
      </c>
      <c r="AI204">
        <v>8.9999999999999993E-3</v>
      </c>
      <c r="AJ204">
        <v>1.104989</v>
      </c>
      <c r="AL204">
        <f t="shared" si="36"/>
        <v>1.104989</v>
      </c>
      <c r="AM204">
        <f>VLOOKUP(TRIM(N204),'[1]All - Durations'!$E$2:$H$109,4,FALSE)</f>
        <v>0.95299999999999996</v>
      </c>
      <c r="AN204">
        <f t="shared" si="37"/>
        <v>0.15198900000000004</v>
      </c>
      <c r="AO204">
        <f t="shared" si="38"/>
        <v>0.15198900000000004</v>
      </c>
    </row>
    <row r="205" spans="1:41" x14ac:dyDescent="0.25">
      <c r="A205">
        <v>259</v>
      </c>
      <c r="B205" t="s">
        <v>35</v>
      </c>
      <c r="C205">
        <v>3</v>
      </c>
      <c r="D205" t="s">
        <v>36</v>
      </c>
      <c r="E205">
        <v>2</v>
      </c>
      <c r="F205" t="s">
        <v>37</v>
      </c>
      <c r="G205">
        <v>3</v>
      </c>
      <c r="H205">
        <v>5</v>
      </c>
      <c r="I205">
        <v>1</v>
      </c>
      <c r="J205">
        <v>60</v>
      </c>
      <c r="K205">
        <v>57</v>
      </c>
      <c r="L205">
        <v>69</v>
      </c>
      <c r="M205">
        <v>2</v>
      </c>
      <c r="N205" t="s">
        <v>221</v>
      </c>
      <c r="O205" t="s">
        <v>113</v>
      </c>
      <c r="P205" t="s">
        <v>114</v>
      </c>
      <c r="Q205" t="s">
        <v>222</v>
      </c>
      <c r="R205" t="s">
        <v>114</v>
      </c>
      <c r="S205" t="s">
        <v>52</v>
      </c>
      <c r="T205" t="s">
        <v>69</v>
      </c>
      <c r="U205">
        <v>2</v>
      </c>
      <c r="V205" t="s">
        <v>119</v>
      </c>
      <c r="W205" t="s">
        <v>146</v>
      </c>
      <c r="X205" t="s">
        <v>80</v>
      </c>
      <c r="Y205">
        <v>2</v>
      </c>
      <c r="Z205">
        <v>2</v>
      </c>
      <c r="AA205">
        <v>44.1</v>
      </c>
      <c r="AB205">
        <v>3.2000000000000001E-2</v>
      </c>
      <c r="AC205" t="s">
        <v>69</v>
      </c>
      <c r="AD205">
        <v>1</v>
      </c>
      <c r="AE205">
        <v>2</v>
      </c>
      <c r="AF205">
        <v>1</v>
      </c>
      <c r="AG205">
        <v>0.68</v>
      </c>
      <c r="AH205">
        <v>0.33400000000000002</v>
      </c>
      <c r="AI205">
        <v>3.3000000000000002E-2</v>
      </c>
      <c r="AJ205">
        <v>1.124989</v>
      </c>
      <c r="AL205">
        <f t="shared" si="36"/>
        <v>1.124989</v>
      </c>
      <c r="AM205">
        <f>VLOOKUP(TRIM(N205),'[1]All - Durations'!$E$2:$H$109,4,FALSE)</f>
        <v>0.79100000000000004</v>
      </c>
      <c r="AN205">
        <f t="shared" si="37"/>
        <v>0.33398899999999998</v>
      </c>
      <c r="AO205">
        <f t="shared" si="38"/>
        <v>0.33398899999999998</v>
      </c>
    </row>
    <row r="206" spans="1:41" x14ac:dyDescent="0.25">
      <c r="A206">
        <v>259</v>
      </c>
      <c r="B206" t="s">
        <v>35</v>
      </c>
      <c r="C206">
        <v>3</v>
      </c>
      <c r="D206" t="s">
        <v>36</v>
      </c>
      <c r="E206">
        <v>2</v>
      </c>
      <c r="F206" t="s">
        <v>37</v>
      </c>
      <c r="G206">
        <v>3</v>
      </c>
      <c r="H206">
        <v>5</v>
      </c>
      <c r="I206">
        <v>1</v>
      </c>
      <c r="J206">
        <v>61</v>
      </c>
      <c r="K206">
        <v>65</v>
      </c>
      <c r="L206">
        <v>53</v>
      </c>
      <c r="M206">
        <v>2</v>
      </c>
      <c r="N206" t="s">
        <v>257</v>
      </c>
      <c r="O206" t="s">
        <v>151</v>
      </c>
      <c r="P206" t="s">
        <v>249</v>
      </c>
      <c r="Q206" t="s">
        <v>250</v>
      </c>
      <c r="R206" t="s">
        <v>170</v>
      </c>
      <c r="S206" t="s">
        <v>59</v>
      </c>
      <c r="T206" t="s">
        <v>204</v>
      </c>
      <c r="U206">
        <v>4</v>
      </c>
      <c r="V206" t="s">
        <v>211</v>
      </c>
      <c r="W206" t="s">
        <v>85</v>
      </c>
      <c r="X206" t="s">
        <v>119</v>
      </c>
      <c r="Y206">
        <v>2</v>
      </c>
      <c r="Z206">
        <v>2</v>
      </c>
      <c r="AA206">
        <v>44.1</v>
      </c>
      <c r="AB206">
        <v>1.9E-2</v>
      </c>
      <c r="AC206" t="s">
        <v>204</v>
      </c>
      <c r="AD206">
        <v>1</v>
      </c>
      <c r="AE206">
        <v>4</v>
      </c>
      <c r="AF206">
        <v>1</v>
      </c>
      <c r="AG206">
        <v>2.1640000000000001</v>
      </c>
      <c r="AH206">
        <v>0.26700000000000002</v>
      </c>
      <c r="AI206">
        <v>1.6E-2</v>
      </c>
      <c r="AJ206">
        <v>1.154989</v>
      </c>
      <c r="AL206">
        <f t="shared" si="36"/>
        <v>1.154989</v>
      </c>
      <c r="AM206">
        <f>VLOOKUP(TRIM(N206),'[1]All - Durations'!$E$2:$H$109,4,FALSE)</f>
        <v>0.98299999999999998</v>
      </c>
      <c r="AN206">
        <f t="shared" si="37"/>
        <v>0.17198900000000006</v>
      </c>
      <c r="AO206">
        <f t="shared" si="38"/>
        <v>0.17198900000000006</v>
      </c>
    </row>
    <row r="207" spans="1:41" x14ac:dyDescent="0.25">
      <c r="A207">
        <v>259</v>
      </c>
      <c r="B207" t="s">
        <v>35</v>
      </c>
      <c r="C207">
        <v>3</v>
      </c>
      <c r="D207" t="s">
        <v>36</v>
      </c>
      <c r="E207">
        <v>2</v>
      </c>
      <c r="F207" t="s">
        <v>37</v>
      </c>
      <c r="G207">
        <v>3</v>
      </c>
      <c r="H207">
        <v>5</v>
      </c>
      <c r="I207">
        <v>1</v>
      </c>
      <c r="J207">
        <v>62</v>
      </c>
      <c r="K207">
        <v>70</v>
      </c>
      <c r="L207">
        <v>58</v>
      </c>
      <c r="M207">
        <v>2</v>
      </c>
      <c r="N207" t="s">
        <v>235</v>
      </c>
      <c r="O207" t="s">
        <v>151</v>
      </c>
      <c r="P207" t="s">
        <v>236</v>
      </c>
      <c r="Q207" t="s">
        <v>237</v>
      </c>
      <c r="R207" t="s">
        <v>160</v>
      </c>
      <c r="S207" t="s">
        <v>43</v>
      </c>
      <c r="T207" t="s">
        <v>55</v>
      </c>
      <c r="U207">
        <v>1</v>
      </c>
      <c r="V207" t="s">
        <v>75</v>
      </c>
      <c r="W207" t="s">
        <v>94</v>
      </c>
      <c r="X207" t="s">
        <v>95</v>
      </c>
      <c r="Y207">
        <v>1</v>
      </c>
      <c r="Z207">
        <v>2</v>
      </c>
      <c r="AA207">
        <v>44.1</v>
      </c>
      <c r="AB207">
        <v>3.2000000000000001E-2</v>
      </c>
      <c r="AC207" t="s">
        <v>95</v>
      </c>
      <c r="AD207">
        <v>4</v>
      </c>
      <c r="AE207">
        <v>2</v>
      </c>
      <c r="AF207">
        <v>0</v>
      </c>
      <c r="AG207">
        <v>2.653</v>
      </c>
      <c r="AH207">
        <v>0.4</v>
      </c>
      <c r="AI207">
        <v>2.1999999999999999E-2</v>
      </c>
      <c r="AJ207">
        <v>1.134989</v>
      </c>
      <c r="AL207">
        <f t="shared" si="36"/>
        <v>1.134989</v>
      </c>
      <c r="AM207">
        <f>VLOOKUP(TRIM(N207),'[1]All - Durations'!$E$2:$H$109,4,FALSE)</f>
        <v>0.85899999999999999</v>
      </c>
      <c r="AN207">
        <f t="shared" si="37"/>
        <v>0.27598900000000004</v>
      </c>
      <c r="AO207">
        <f t="shared" si="38"/>
        <v>0.27598900000000004</v>
      </c>
    </row>
    <row r="208" spans="1:41" x14ac:dyDescent="0.25">
      <c r="A208">
        <v>259</v>
      </c>
      <c r="B208" t="s">
        <v>35</v>
      </c>
      <c r="C208">
        <v>3</v>
      </c>
      <c r="D208" t="s">
        <v>36</v>
      </c>
      <c r="E208">
        <v>2</v>
      </c>
      <c r="F208" t="s">
        <v>37</v>
      </c>
      <c r="G208">
        <v>3</v>
      </c>
      <c r="H208">
        <v>5</v>
      </c>
      <c r="I208">
        <v>1</v>
      </c>
      <c r="J208">
        <v>63</v>
      </c>
      <c r="K208">
        <v>61</v>
      </c>
      <c r="L208">
        <v>23</v>
      </c>
      <c r="M208">
        <v>1</v>
      </c>
      <c r="N208" t="s">
        <v>244</v>
      </c>
      <c r="O208" t="s">
        <v>151</v>
      </c>
      <c r="P208" t="s">
        <v>245</v>
      </c>
      <c r="Q208" t="s">
        <v>246</v>
      </c>
      <c r="R208" t="s">
        <v>154</v>
      </c>
      <c r="S208" t="s">
        <v>92</v>
      </c>
      <c r="T208" t="s">
        <v>62</v>
      </c>
      <c r="U208">
        <v>5</v>
      </c>
      <c r="V208" t="s">
        <v>68</v>
      </c>
      <c r="W208" t="s">
        <v>66</v>
      </c>
      <c r="X208" t="s">
        <v>81</v>
      </c>
      <c r="Y208">
        <v>2</v>
      </c>
      <c r="Z208">
        <v>2</v>
      </c>
      <c r="AA208">
        <v>44.1</v>
      </c>
      <c r="AB208">
        <v>3.9E-2</v>
      </c>
      <c r="AC208" t="s">
        <v>62</v>
      </c>
      <c r="AD208">
        <v>1</v>
      </c>
      <c r="AE208">
        <v>5</v>
      </c>
      <c r="AF208">
        <v>1</v>
      </c>
      <c r="AG208">
        <v>2.206</v>
      </c>
      <c r="AH208">
        <v>0.28399999999999997</v>
      </c>
      <c r="AI208">
        <v>3.7999999999999999E-2</v>
      </c>
      <c r="AJ208">
        <v>1.104989</v>
      </c>
      <c r="AL208">
        <f t="shared" si="36"/>
        <v>1.104989</v>
      </c>
      <c r="AM208">
        <f>VLOOKUP(TRIM(N208),'[1]All - Durations'!$E$2:$H$109,4,FALSE)</f>
        <v>0.88300000000000001</v>
      </c>
      <c r="AN208">
        <f t="shared" si="37"/>
        <v>0.22198899999999999</v>
      </c>
      <c r="AO208">
        <f t="shared" si="38"/>
        <v>0.22198899999999999</v>
      </c>
    </row>
    <row r="209" spans="1:41" x14ac:dyDescent="0.25">
      <c r="A209">
        <v>259</v>
      </c>
      <c r="B209" t="s">
        <v>35</v>
      </c>
      <c r="C209">
        <v>3</v>
      </c>
      <c r="D209" t="s">
        <v>36</v>
      </c>
      <c r="E209">
        <v>2</v>
      </c>
      <c r="F209" t="s">
        <v>37</v>
      </c>
      <c r="G209">
        <v>3</v>
      </c>
      <c r="H209">
        <v>5</v>
      </c>
      <c r="I209">
        <v>1</v>
      </c>
      <c r="J209">
        <v>64</v>
      </c>
      <c r="K209">
        <v>63</v>
      </c>
      <c r="L209">
        <v>19</v>
      </c>
      <c r="M209">
        <v>1</v>
      </c>
      <c r="N209" t="s">
        <v>253</v>
      </c>
      <c r="O209" t="s">
        <v>151</v>
      </c>
      <c r="P209" t="s">
        <v>239</v>
      </c>
      <c r="Q209" t="s">
        <v>240</v>
      </c>
      <c r="R209" t="s">
        <v>170</v>
      </c>
      <c r="S209" t="s">
        <v>59</v>
      </c>
      <c r="T209" t="s">
        <v>211</v>
      </c>
      <c r="U209">
        <v>1</v>
      </c>
      <c r="V209" t="s">
        <v>82</v>
      </c>
      <c r="W209" t="s">
        <v>214</v>
      </c>
      <c r="X209" t="s">
        <v>54</v>
      </c>
      <c r="Y209">
        <v>1</v>
      </c>
      <c r="Z209">
        <v>2</v>
      </c>
      <c r="AA209">
        <v>44.1</v>
      </c>
      <c r="AB209">
        <v>0.99199999999999999</v>
      </c>
      <c r="AC209" t="s">
        <v>82</v>
      </c>
      <c r="AD209">
        <v>2</v>
      </c>
      <c r="AE209">
        <v>5</v>
      </c>
      <c r="AF209">
        <v>0</v>
      </c>
      <c r="AG209">
        <v>2.157</v>
      </c>
      <c r="AH209">
        <v>0.4</v>
      </c>
      <c r="AI209">
        <v>0.99</v>
      </c>
      <c r="AJ209">
        <v>1.114989</v>
      </c>
      <c r="AL209">
        <f t="shared" si="36"/>
        <v>1.114989</v>
      </c>
      <c r="AM209">
        <f>VLOOKUP(TRIM(N209),'[1]All - Durations'!$E$2:$H$109,4,FALSE)</f>
        <v>0.92100000000000004</v>
      </c>
      <c r="AN209">
        <f t="shared" si="37"/>
        <v>0.19398899999999997</v>
      </c>
      <c r="AO209">
        <f t="shared" si="38"/>
        <v>0.19398899999999997</v>
      </c>
    </row>
    <row r="210" spans="1:41" x14ac:dyDescent="0.25">
      <c r="A210">
        <v>259</v>
      </c>
      <c r="B210" t="s">
        <v>35</v>
      </c>
      <c r="C210">
        <v>3</v>
      </c>
      <c r="D210" t="s">
        <v>36</v>
      </c>
      <c r="E210">
        <v>2</v>
      </c>
      <c r="F210" t="s">
        <v>37</v>
      </c>
      <c r="G210">
        <v>3</v>
      </c>
      <c r="H210">
        <v>5</v>
      </c>
      <c r="I210">
        <v>1</v>
      </c>
      <c r="J210">
        <v>65</v>
      </c>
      <c r="K210">
        <v>69</v>
      </c>
      <c r="L210">
        <v>57</v>
      </c>
      <c r="M210">
        <v>2</v>
      </c>
      <c r="N210" t="s">
        <v>247</v>
      </c>
      <c r="O210" t="s">
        <v>151</v>
      </c>
      <c r="P210" t="s">
        <v>236</v>
      </c>
      <c r="Q210" t="s">
        <v>237</v>
      </c>
      <c r="R210" t="s">
        <v>174</v>
      </c>
      <c r="S210" t="s">
        <v>52</v>
      </c>
      <c r="T210" t="s">
        <v>75</v>
      </c>
      <c r="U210">
        <v>2</v>
      </c>
      <c r="V210" t="s">
        <v>99</v>
      </c>
      <c r="W210" t="s">
        <v>60</v>
      </c>
      <c r="X210" t="s">
        <v>46</v>
      </c>
      <c r="Y210">
        <v>2</v>
      </c>
      <c r="Z210">
        <v>2</v>
      </c>
      <c r="AA210">
        <v>44.1</v>
      </c>
      <c r="AB210">
        <v>0.222</v>
      </c>
      <c r="AC210" t="s">
        <v>75</v>
      </c>
      <c r="AD210">
        <v>1</v>
      </c>
      <c r="AE210">
        <v>2</v>
      </c>
      <c r="AF210">
        <v>1</v>
      </c>
      <c r="AG210">
        <v>2.38</v>
      </c>
      <c r="AH210">
        <v>0.3</v>
      </c>
      <c r="AI210">
        <v>0.214</v>
      </c>
      <c r="AJ210">
        <v>1.2049890000000001</v>
      </c>
      <c r="AL210">
        <f t="shared" si="36"/>
        <v>1.2049890000000001</v>
      </c>
      <c r="AM210">
        <f>VLOOKUP(TRIM(N210),'[1]All - Durations'!$E$2:$H$109,4,FALSE)</f>
        <v>0.94399999999999995</v>
      </c>
      <c r="AN210">
        <f t="shared" si="37"/>
        <v>0.26098900000000014</v>
      </c>
      <c r="AO210">
        <f t="shared" si="38"/>
        <v>0.26098900000000014</v>
      </c>
    </row>
    <row r="211" spans="1:41" x14ac:dyDescent="0.25">
      <c r="A211">
        <v>259</v>
      </c>
      <c r="B211" t="s">
        <v>35</v>
      </c>
      <c r="C211">
        <v>3</v>
      </c>
      <c r="D211" t="s">
        <v>36</v>
      </c>
      <c r="E211">
        <v>2</v>
      </c>
      <c r="F211" t="s">
        <v>37</v>
      </c>
      <c r="G211">
        <v>3</v>
      </c>
      <c r="H211">
        <v>5</v>
      </c>
      <c r="I211">
        <v>1</v>
      </c>
      <c r="J211">
        <v>66</v>
      </c>
      <c r="K211">
        <v>71</v>
      </c>
      <c r="L211">
        <v>21</v>
      </c>
      <c r="M211">
        <v>1</v>
      </c>
      <c r="N211" t="s">
        <v>252</v>
      </c>
      <c r="O211" t="s">
        <v>151</v>
      </c>
      <c r="P211" t="s">
        <v>242</v>
      </c>
      <c r="Q211" t="s">
        <v>243</v>
      </c>
      <c r="R211" t="s">
        <v>170</v>
      </c>
      <c r="S211" t="s">
        <v>59</v>
      </c>
      <c r="T211" t="s">
        <v>146</v>
      </c>
      <c r="U211">
        <v>4</v>
      </c>
      <c r="V211" t="s">
        <v>139</v>
      </c>
      <c r="W211" t="s">
        <v>79</v>
      </c>
      <c r="X211" t="s">
        <v>209</v>
      </c>
      <c r="Y211">
        <v>2</v>
      </c>
      <c r="Z211">
        <v>2</v>
      </c>
      <c r="AA211">
        <v>44.1</v>
      </c>
      <c r="AB211">
        <v>1.133</v>
      </c>
      <c r="AC211" t="s">
        <v>146</v>
      </c>
      <c r="AD211">
        <v>1</v>
      </c>
      <c r="AE211">
        <v>4</v>
      </c>
      <c r="AF211">
        <v>1</v>
      </c>
      <c r="AG211">
        <v>1.1519999999999999</v>
      </c>
      <c r="AH211">
        <v>0.48399999999999999</v>
      </c>
      <c r="AI211">
        <v>1.139</v>
      </c>
      <c r="AJ211">
        <v>1.304989</v>
      </c>
      <c r="AL211">
        <f t="shared" si="36"/>
        <v>1.304989</v>
      </c>
      <c r="AM211">
        <f>VLOOKUP(TRIM(N211),'[1]All - Durations'!$E$2:$H$109,4,FALSE)</f>
        <v>1.026</v>
      </c>
      <c r="AN211">
        <f t="shared" si="37"/>
        <v>0.27898899999999993</v>
      </c>
      <c r="AO211">
        <f t="shared" si="38"/>
        <v>0.27898899999999993</v>
      </c>
    </row>
    <row r="212" spans="1:41" x14ac:dyDescent="0.25">
      <c r="A212">
        <v>259</v>
      </c>
      <c r="B212" t="s">
        <v>35</v>
      </c>
      <c r="C212">
        <v>3</v>
      </c>
      <c r="D212" t="s">
        <v>36</v>
      </c>
      <c r="E212">
        <v>2</v>
      </c>
      <c r="F212" t="s">
        <v>37</v>
      </c>
      <c r="G212">
        <v>3</v>
      </c>
      <c r="H212">
        <v>5</v>
      </c>
      <c r="I212">
        <v>1</v>
      </c>
      <c r="J212">
        <v>67</v>
      </c>
      <c r="K212">
        <v>68</v>
      </c>
      <c r="L212">
        <v>18</v>
      </c>
      <c r="M212">
        <v>1</v>
      </c>
      <c r="N212" t="s">
        <v>258</v>
      </c>
      <c r="O212" t="s">
        <v>151</v>
      </c>
      <c r="P212" t="s">
        <v>255</v>
      </c>
      <c r="Q212" t="s">
        <v>256</v>
      </c>
      <c r="R212" t="s">
        <v>160</v>
      </c>
      <c r="S212" t="s">
        <v>43</v>
      </c>
      <c r="T212" t="s">
        <v>110</v>
      </c>
      <c r="U212">
        <v>1</v>
      </c>
      <c r="V212" t="s">
        <v>47</v>
      </c>
      <c r="W212" t="s">
        <v>179</v>
      </c>
      <c r="X212" t="s">
        <v>93</v>
      </c>
      <c r="Y212">
        <v>1</v>
      </c>
      <c r="Z212">
        <v>2</v>
      </c>
      <c r="AA212">
        <v>44.1</v>
      </c>
      <c r="AB212">
        <v>0.17199999999999999</v>
      </c>
      <c r="AC212" t="s">
        <v>110</v>
      </c>
      <c r="AD212">
        <v>1</v>
      </c>
      <c r="AE212">
        <v>1</v>
      </c>
      <c r="AF212">
        <v>1</v>
      </c>
      <c r="AG212">
        <v>2.2370000000000001</v>
      </c>
      <c r="AH212">
        <v>0.35</v>
      </c>
      <c r="AI212">
        <v>0.161</v>
      </c>
      <c r="AJ212">
        <v>1.124989</v>
      </c>
      <c r="AL212">
        <f t="shared" si="36"/>
        <v>1.124989</v>
      </c>
      <c r="AM212">
        <f>VLOOKUP(TRIM(N212),'[1]All - Durations'!$E$2:$H$109,4,FALSE)</f>
        <v>0.86299999999999999</v>
      </c>
      <c r="AN212">
        <f t="shared" si="37"/>
        <v>0.26198900000000003</v>
      </c>
      <c r="AO212">
        <f t="shared" si="38"/>
        <v>0.26198900000000003</v>
      </c>
    </row>
    <row r="213" spans="1:41" x14ac:dyDescent="0.25">
      <c r="A213">
        <v>259</v>
      </c>
      <c r="B213" t="s">
        <v>35</v>
      </c>
      <c r="C213">
        <v>3</v>
      </c>
      <c r="D213" t="s">
        <v>36</v>
      </c>
      <c r="E213">
        <v>2</v>
      </c>
      <c r="F213" t="s">
        <v>37</v>
      </c>
      <c r="G213">
        <v>3</v>
      </c>
      <c r="H213">
        <v>5</v>
      </c>
      <c r="I213">
        <v>1</v>
      </c>
      <c r="J213">
        <v>68</v>
      </c>
      <c r="K213">
        <v>72</v>
      </c>
      <c r="L213">
        <v>22</v>
      </c>
      <c r="M213">
        <v>1</v>
      </c>
      <c r="N213" t="s">
        <v>241</v>
      </c>
      <c r="O213" t="s">
        <v>151</v>
      </c>
      <c r="P213" t="s">
        <v>242</v>
      </c>
      <c r="Q213" t="s">
        <v>243</v>
      </c>
      <c r="R213" t="s">
        <v>174</v>
      </c>
      <c r="S213" t="s">
        <v>52</v>
      </c>
      <c r="T213" t="s">
        <v>132</v>
      </c>
      <c r="U213">
        <v>2</v>
      </c>
      <c r="V213" t="s">
        <v>146</v>
      </c>
      <c r="W213" t="s">
        <v>185</v>
      </c>
      <c r="X213" t="s">
        <v>127</v>
      </c>
      <c r="Y213">
        <v>1</v>
      </c>
      <c r="Z213">
        <v>2</v>
      </c>
      <c r="AA213">
        <v>44.1</v>
      </c>
      <c r="AB213">
        <v>3.1E-2</v>
      </c>
      <c r="AC213" t="s">
        <v>127</v>
      </c>
      <c r="AD213">
        <v>4</v>
      </c>
      <c r="AE213">
        <v>5</v>
      </c>
      <c r="AF213">
        <v>0</v>
      </c>
      <c r="AG213">
        <v>1.71</v>
      </c>
      <c r="AH213">
        <v>0.35</v>
      </c>
      <c r="AI213">
        <v>3.7999999999999999E-2</v>
      </c>
      <c r="AJ213">
        <v>1.1949890000000001</v>
      </c>
      <c r="AL213">
        <f t="shared" si="36"/>
        <v>1.1949890000000001</v>
      </c>
      <c r="AM213">
        <f>VLOOKUP(TRIM(N213),'[1]All - Durations'!$E$2:$H$109,4,FALSE)</f>
        <v>0.97099999999999997</v>
      </c>
      <c r="AN213">
        <f t="shared" si="37"/>
        <v>0.2239890000000001</v>
      </c>
      <c r="AO213">
        <f t="shared" si="38"/>
        <v>0.2239890000000001</v>
      </c>
    </row>
    <row r="214" spans="1:41" x14ac:dyDescent="0.25">
      <c r="A214">
        <v>259</v>
      </c>
      <c r="B214" t="s">
        <v>35</v>
      </c>
      <c r="C214">
        <v>3</v>
      </c>
      <c r="D214" t="s">
        <v>36</v>
      </c>
      <c r="E214">
        <v>2</v>
      </c>
      <c r="F214" t="s">
        <v>37</v>
      </c>
      <c r="G214">
        <v>3</v>
      </c>
      <c r="H214">
        <v>5</v>
      </c>
      <c r="I214">
        <v>1</v>
      </c>
      <c r="J214">
        <v>69</v>
      </c>
      <c r="K214">
        <v>67</v>
      </c>
      <c r="L214">
        <v>17</v>
      </c>
      <c r="M214">
        <v>1</v>
      </c>
      <c r="N214" t="s">
        <v>254</v>
      </c>
      <c r="O214" t="s">
        <v>151</v>
      </c>
      <c r="P214" t="s">
        <v>255</v>
      </c>
      <c r="Q214" t="s">
        <v>256</v>
      </c>
      <c r="R214" t="s">
        <v>174</v>
      </c>
      <c r="S214" t="s">
        <v>52</v>
      </c>
      <c r="T214" t="s">
        <v>47</v>
      </c>
      <c r="U214">
        <v>1</v>
      </c>
      <c r="V214" t="s">
        <v>187</v>
      </c>
      <c r="W214" t="s">
        <v>137</v>
      </c>
      <c r="X214" t="s">
        <v>156</v>
      </c>
      <c r="Y214">
        <v>2</v>
      </c>
      <c r="Z214">
        <v>2</v>
      </c>
      <c r="AA214">
        <v>44.1</v>
      </c>
      <c r="AB214">
        <v>6.3E-2</v>
      </c>
      <c r="AC214" t="s">
        <v>187</v>
      </c>
      <c r="AD214">
        <v>3</v>
      </c>
      <c r="AE214">
        <v>4</v>
      </c>
      <c r="AF214">
        <v>0</v>
      </c>
      <c r="AG214">
        <v>2.9009999999999998</v>
      </c>
      <c r="AH214">
        <v>0.317</v>
      </c>
      <c r="AI214">
        <v>6.5000000000000002E-2</v>
      </c>
      <c r="AJ214">
        <v>1.2349889999999999</v>
      </c>
      <c r="AL214">
        <f t="shared" si="36"/>
        <v>1.2349889999999999</v>
      </c>
      <c r="AM214">
        <f>VLOOKUP(TRIM(N214),'[1]All - Durations'!$E$2:$H$109,4,FALSE)</f>
        <v>0.97499999999999998</v>
      </c>
      <c r="AN214">
        <f t="shared" si="37"/>
        <v>0.25998899999999991</v>
      </c>
      <c r="AO214">
        <f t="shared" si="38"/>
        <v>0.25998899999999991</v>
      </c>
    </row>
    <row r="215" spans="1:41" x14ac:dyDescent="0.25">
      <c r="A215">
        <v>259</v>
      </c>
      <c r="B215" t="s">
        <v>35</v>
      </c>
      <c r="C215">
        <v>3</v>
      </c>
      <c r="D215" t="s">
        <v>36</v>
      </c>
      <c r="E215">
        <v>2</v>
      </c>
      <c r="F215" t="s">
        <v>37</v>
      </c>
      <c r="G215">
        <v>3</v>
      </c>
      <c r="H215">
        <v>5</v>
      </c>
      <c r="I215">
        <v>1</v>
      </c>
      <c r="J215">
        <v>70</v>
      </c>
      <c r="K215">
        <v>66</v>
      </c>
      <c r="L215">
        <v>54</v>
      </c>
      <c r="M215">
        <v>2</v>
      </c>
      <c r="N215" t="s">
        <v>248</v>
      </c>
      <c r="O215" t="s">
        <v>151</v>
      </c>
      <c r="P215" t="s">
        <v>249</v>
      </c>
      <c r="Q215" t="s">
        <v>250</v>
      </c>
      <c r="R215" t="s">
        <v>154</v>
      </c>
      <c r="S215" t="s">
        <v>92</v>
      </c>
      <c r="T215" t="s">
        <v>68</v>
      </c>
      <c r="U215">
        <v>4</v>
      </c>
      <c r="V215" t="s">
        <v>204</v>
      </c>
      <c r="W215" t="s">
        <v>104</v>
      </c>
      <c r="X215" t="s">
        <v>44</v>
      </c>
      <c r="Y215">
        <v>1</v>
      </c>
      <c r="Z215">
        <v>2</v>
      </c>
      <c r="AA215">
        <v>44.1</v>
      </c>
      <c r="AB215">
        <v>0.16200000000000001</v>
      </c>
      <c r="AC215" t="s">
        <v>204</v>
      </c>
      <c r="AD215">
        <v>2</v>
      </c>
      <c r="AE215">
        <v>1</v>
      </c>
      <c r="AF215">
        <v>0</v>
      </c>
      <c r="AG215">
        <v>2.923</v>
      </c>
      <c r="AH215">
        <v>0.33400000000000002</v>
      </c>
      <c r="AI215">
        <v>0.158</v>
      </c>
      <c r="AJ215">
        <v>1.134989</v>
      </c>
      <c r="AL215">
        <f t="shared" si="36"/>
        <v>1.134989</v>
      </c>
      <c r="AM215">
        <f>VLOOKUP(TRIM(N215),'[1]All - Durations'!$E$2:$H$109,4,FALSE)</f>
        <v>0.94199999999999995</v>
      </c>
      <c r="AN215">
        <f t="shared" si="37"/>
        <v>0.19298900000000008</v>
      </c>
      <c r="AO215">
        <f t="shared" si="38"/>
        <v>0.19298900000000008</v>
      </c>
    </row>
    <row r="216" spans="1:41" x14ac:dyDescent="0.25">
      <c r="A216">
        <v>259</v>
      </c>
      <c r="B216" t="s">
        <v>35</v>
      </c>
      <c r="C216">
        <v>3</v>
      </c>
      <c r="D216" t="s">
        <v>36</v>
      </c>
      <c r="E216">
        <v>2</v>
      </c>
      <c r="F216" t="s">
        <v>37</v>
      </c>
      <c r="G216">
        <v>3</v>
      </c>
      <c r="H216">
        <v>5</v>
      </c>
      <c r="I216">
        <v>1</v>
      </c>
      <c r="J216">
        <v>71</v>
      </c>
      <c r="K216">
        <v>62</v>
      </c>
      <c r="L216">
        <v>24</v>
      </c>
      <c r="M216">
        <v>1</v>
      </c>
      <c r="N216" t="s">
        <v>251</v>
      </c>
      <c r="O216" t="s">
        <v>151</v>
      </c>
      <c r="P216" t="s">
        <v>245</v>
      </c>
      <c r="Q216" t="s">
        <v>246</v>
      </c>
      <c r="R216" t="s">
        <v>160</v>
      </c>
      <c r="S216" t="s">
        <v>43</v>
      </c>
      <c r="T216" t="s">
        <v>121</v>
      </c>
      <c r="U216">
        <v>1</v>
      </c>
      <c r="V216" t="s">
        <v>62</v>
      </c>
      <c r="W216" t="s">
        <v>87</v>
      </c>
      <c r="X216" t="s">
        <v>73</v>
      </c>
      <c r="Y216">
        <v>1</v>
      </c>
      <c r="Z216">
        <v>2</v>
      </c>
      <c r="AA216">
        <v>44.1</v>
      </c>
      <c r="AB216">
        <v>0.02</v>
      </c>
      <c r="AC216" t="s">
        <v>87</v>
      </c>
      <c r="AD216">
        <v>4</v>
      </c>
      <c r="AE216">
        <v>4</v>
      </c>
      <c r="AF216">
        <v>0</v>
      </c>
      <c r="AG216">
        <v>2.415</v>
      </c>
      <c r="AH216">
        <v>0.33400000000000002</v>
      </c>
      <c r="AI216">
        <v>2.7E-2</v>
      </c>
      <c r="AJ216">
        <v>1.114989</v>
      </c>
      <c r="AL216">
        <f t="shared" si="36"/>
        <v>1.114989</v>
      </c>
      <c r="AM216">
        <f>VLOOKUP(TRIM(N216),'[1]All - Durations'!$E$2:$H$109,4,FALSE)</f>
        <v>0.81699999999999995</v>
      </c>
      <c r="AN216">
        <f t="shared" si="37"/>
        <v>0.29798900000000006</v>
      </c>
      <c r="AO216">
        <f t="shared" si="38"/>
        <v>0.29798900000000006</v>
      </c>
    </row>
    <row r="217" spans="1:41" x14ac:dyDescent="0.25">
      <c r="A217">
        <v>259</v>
      </c>
      <c r="B217" t="s">
        <v>35</v>
      </c>
      <c r="C217">
        <v>3</v>
      </c>
      <c r="D217" t="s">
        <v>36</v>
      </c>
      <c r="E217">
        <v>2</v>
      </c>
      <c r="F217" t="s">
        <v>37</v>
      </c>
      <c r="G217">
        <v>3</v>
      </c>
      <c r="H217">
        <v>5</v>
      </c>
      <c r="I217">
        <v>1</v>
      </c>
      <c r="J217">
        <v>72</v>
      </c>
      <c r="K217">
        <v>64</v>
      </c>
      <c r="L217">
        <v>20</v>
      </c>
      <c r="M217">
        <v>1</v>
      </c>
      <c r="N217" t="s">
        <v>238</v>
      </c>
      <c r="O217" t="s">
        <v>151</v>
      </c>
      <c r="P217" t="s">
        <v>239</v>
      </c>
      <c r="Q217" t="s">
        <v>240</v>
      </c>
      <c r="R217" t="s">
        <v>160</v>
      </c>
      <c r="S217" t="s">
        <v>43</v>
      </c>
      <c r="T217" t="s">
        <v>82</v>
      </c>
      <c r="U217">
        <v>1</v>
      </c>
      <c r="V217" t="s">
        <v>110</v>
      </c>
      <c r="W217" t="s">
        <v>69</v>
      </c>
      <c r="X217" t="s">
        <v>80</v>
      </c>
      <c r="Y217">
        <v>2</v>
      </c>
      <c r="Z217">
        <v>2</v>
      </c>
      <c r="AA217">
        <v>44.1</v>
      </c>
      <c r="AB217">
        <v>1.0620000000000001</v>
      </c>
      <c r="AC217" t="s">
        <v>80</v>
      </c>
      <c r="AD217">
        <v>4</v>
      </c>
      <c r="AE217">
        <v>4</v>
      </c>
      <c r="AF217">
        <v>0</v>
      </c>
      <c r="AG217">
        <v>1.851</v>
      </c>
      <c r="AH217">
        <v>0.3</v>
      </c>
      <c r="AI217">
        <v>1.054</v>
      </c>
      <c r="AJ217">
        <v>1.054989</v>
      </c>
      <c r="AL217">
        <f t="shared" si="36"/>
        <v>1.054989</v>
      </c>
      <c r="AM217">
        <f>VLOOKUP(TRIM(N217),'[1]All - Durations'!$E$2:$H$109,4,FALSE)</f>
        <v>0.9</v>
      </c>
      <c r="AN217">
        <f t="shared" si="37"/>
        <v>0.15498899999999993</v>
      </c>
      <c r="AO217">
        <f t="shared" si="38"/>
        <v>0.15498899999999993</v>
      </c>
    </row>
    <row r="218" spans="1:41" x14ac:dyDescent="0.25">
      <c r="A218">
        <v>259</v>
      </c>
      <c r="B218" t="s">
        <v>35</v>
      </c>
      <c r="C218">
        <v>3</v>
      </c>
      <c r="D218" t="s">
        <v>36</v>
      </c>
      <c r="E218">
        <v>2</v>
      </c>
      <c r="F218" t="s">
        <v>37</v>
      </c>
      <c r="G218">
        <v>4</v>
      </c>
      <c r="H218">
        <v>7</v>
      </c>
      <c r="I218">
        <v>1</v>
      </c>
      <c r="J218">
        <v>1</v>
      </c>
      <c r="K218">
        <v>10</v>
      </c>
      <c r="L218">
        <v>4</v>
      </c>
      <c r="M218">
        <v>1</v>
      </c>
      <c r="N218" t="s">
        <v>101</v>
      </c>
      <c r="O218" t="s">
        <v>39</v>
      </c>
      <c r="P218" t="s">
        <v>89</v>
      </c>
      <c r="Q218" t="s">
        <v>90</v>
      </c>
      <c r="R218" t="s">
        <v>51</v>
      </c>
      <c r="S218" t="s">
        <v>52</v>
      </c>
      <c r="T218" t="s">
        <v>102</v>
      </c>
      <c r="U218">
        <v>4</v>
      </c>
      <c r="V218" t="s">
        <v>93</v>
      </c>
      <c r="W218" t="s">
        <v>204</v>
      </c>
      <c r="X218" t="s">
        <v>87</v>
      </c>
      <c r="Y218">
        <v>1</v>
      </c>
      <c r="Z218">
        <v>2</v>
      </c>
      <c r="AA218">
        <v>44.1</v>
      </c>
      <c r="AB218">
        <v>1.0999999999999999E-2</v>
      </c>
      <c r="AC218" t="s">
        <v>204</v>
      </c>
      <c r="AD218">
        <v>4</v>
      </c>
      <c r="AE218">
        <v>2</v>
      </c>
      <c r="AF218">
        <v>0</v>
      </c>
      <c r="AG218">
        <v>1.9870000000000001</v>
      </c>
      <c r="AH218">
        <v>0.51700000000000002</v>
      </c>
      <c r="AI218">
        <v>0.01</v>
      </c>
      <c r="AJ218">
        <v>1.1749890000000001</v>
      </c>
      <c r="AL218">
        <f t="shared" si="36"/>
        <v>1.1749890000000001</v>
      </c>
      <c r="AM218">
        <f>VLOOKUP(TRIM(N218),'[1]All - Durations'!$E$2:$H$109,4,FALSE)</f>
        <v>0.93799999999999994</v>
      </c>
      <c r="AN218">
        <f t="shared" si="37"/>
        <v>0.23698900000000012</v>
      </c>
      <c r="AO218">
        <f t="shared" si="38"/>
        <v>0.23698900000000012</v>
      </c>
    </row>
    <row r="219" spans="1:41" x14ac:dyDescent="0.25">
      <c r="A219">
        <v>259</v>
      </c>
      <c r="B219" t="s">
        <v>35</v>
      </c>
      <c r="C219">
        <v>3</v>
      </c>
      <c r="D219" t="s">
        <v>36</v>
      </c>
      <c r="E219">
        <v>2</v>
      </c>
      <c r="F219" t="s">
        <v>37</v>
      </c>
      <c r="G219">
        <v>4</v>
      </c>
      <c r="H219">
        <v>7</v>
      </c>
      <c r="I219">
        <v>1</v>
      </c>
      <c r="J219">
        <v>2</v>
      </c>
      <c r="K219">
        <v>3</v>
      </c>
      <c r="L219">
        <v>1</v>
      </c>
      <c r="M219">
        <v>1</v>
      </c>
      <c r="N219" t="s">
        <v>70</v>
      </c>
      <c r="O219" t="s">
        <v>39</v>
      </c>
      <c r="P219" t="s">
        <v>71</v>
      </c>
      <c r="Q219" t="s">
        <v>72</v>
      </c>
      <c r="R219" t="s">
        <v>58</v>
      </c>
      <c r="S219" t="s">
        <v>59</v>
      </c>
      <c r="T219" t="s">
        <v>73</v>
      </c>
      <c r="U219">
        <v>4</v>
      </c>
      <c r="V219" t="s">
        <v>60</v>
      </c>
      <c r="W219" t="s">
        <v>130</v>
      </c>
      <c r="X219" t="s">
        <v>99</v>
      </c>
      <c r="Y219">
        <v>2</v>
      </c>
      <c r="Z219">
        <v>2</v>
      </c>
      <c r="AA219">
        <v>44.1</v>
      </c>
      <c r="AB219">
        <v>3.1E-2</v>
      </c>
      <c r="AC219" t="s">
        <v>73</v>
      </c>
      <c r="AD219">
        <v>1</v>
      </c>
      <c r="AE219">
        <v>4</v>
      </c>
      <c r="AF219">
        <v>1</v>
      </c>
      <c r="AG219">
        <v>2.5379999999999998</v>
      </c>
      <c r="AH219">
        <v>1.0009999999999999</v>
      </c>
      <c r="AI219">
        <v>2.5000000000000001E-2</v>
      </c>
      <c r="AJ219">
        <v>1.1749890000000001</v>
      </c>
      <c r="AL219">
        <f t="shared" si="36"/>
        <v>1.1749890000000001</v>
      </c>
      <c r="AM219">
        <f>VLOOKUP(TRIM(N219),'[1]All - Durations'!$E$2:$H$109,4,FALSE)</f>
        <v>0.94799999999999995</v>
      </c>
      <c r="AN219">
        <f t="shared" si="37"/>
        <v>0.22698900000000011</v>
      </c>
      <c r="AO219">
        <f t="shared" si="38"/>
        <v>0.22698900000000011</v>
      </c>
    </row>
    <row r="220" spans="1:41" x14ac:dyDescent="0.25">
      <c r="A220">
        <v>259</v>
      </c>
      <c r="B220" t="s">
        <v>35</v>
      </c>
      <c r="C220">
        <v>3</v>
      </c>
      <c r="D220" t="s">
        <v>36</v>
      </c>
      <c r="E220">
        <v>2</v>
      </c>
      <c r="F220" t="s">
        <v>37</v>
      </c>
      <c r="G220">
        <v>4</v>
      </c>
      <c r="H220">
        <v>7</v>
      </c>
      <c r="I220">
        <v>1</v>
      </c>
      <c r="J220">
        <v>3</v>
      </c>
      <c r="K220">
        <v>11</v>
      </c>
      <c r="L220">
        <v>43</v>
      </c>
      <c r="M220">
        <v>2</v>
      </c>
      <c r="N220" t="s">
        <v>105</v>
      </c>
      <c r="O220" t="s">
        <v>39</v>
      </c>
      <c r="P220" t="s">
        <v>77</v>
      </c>
      <c r="Q220" t="s">
        <v>78</v>
      </c>
      <c r="R220" t="s">
        <v>91</v>
      </c>
      <c r="S220" t="s">
        <v>92</v>
      </c>
      <c r="T220" t="s">
        <v>80</v>
      </c>
      <c r="U220">
        <v>5</v>
      </c>
      <c r="V220" t="s">
        <v>106</v>
      </c>
      <c r="W220" t="s">
        <v>75</v>
      </c>
      <c r="X220" t="s">
        <v>104</v>
      </c>
      <c r="Y220">
        <v>2</v>
      </c>
      <c r="Z220">
        <v>2</v>
      </c>
      <c r="AA220">
        <v>44.1</v>
      </c>
      <c r="AB220">
        <v>0.76</v>
      </c>
      <c r="AC220" t="s">
        <v>75</v>
      </c>
      <c r="AD220">
        <v>4</v>
      </c>
      <c r="AE220">
        <v>2</v>
      </c>
      <c r="AF220">
        <v>0</v>
      </c>
      <c r="AG220">
        <v>3.085</v>
      </c>
      <c r="AH220">
        <v>0.60099999999999998</v>
      </c>
      <c r="AI220">
        <v>0.76</v>
      </c>
      <c r="AJ220">
        <v>1.114989</v>
      </c>
      <c r="AL220">
        <f t="shared" si="36"/>
        <v>1.114989</v>
      </c>
      <c r="AM220">
        <f>VLOOKUP(TRIM(N220),'[1]All - Durations'!$E$2:$H$109,4,FALSE)</f>
        <v>1.002</v>
      </c>
      <c r="AN220">
        <f t="shared" si="37"/>
        <v>0.11298900000000001</v>
      </c>
      <c r="AO220">
        <f t="shared" si="38"/>
        <v>0.11298900000000001</v>
      </c>
    </row>
    <row r="221" spans="1:41" x14ac:dyDescent="0.25">
      <c r="A221">
        <v>259</v>
      </c>
      <c r="B221" t="s">
        <v>35</v>
      </c>
      <c r="C221">
        <v>3</v>
      </c>
      <c r="D221" t="s">
        <v>36</v>
      </c>
      <c r="E221">
        <v>2</v>
      </c>
      <c r="F221" t="s">
        <v>37</v>
      </c>
      <c r="G221">
        <v>4</v>
      </c>
      <c r="H221">
        <v>7</v>
      </c>
      <c r="I221">
        <v>1</v>
      </c>
      <c r="J221">
        <v>4</v>
      </c>
      <c r="K221">
        <v>8</v>
      </c>
      <c r="L221">
        <v>40</v>
      </c>
      <c r="M221">
        <v>2</v>
      </c>
      <c r="N221" t="s">
        <v>84</v>
      </c>
      <c r="O221" t="s">
        <v>39</v>
      </c>
      <c r="P221" t="s">
        <v>64</v>
      </c>
      <c r="Q221" t="s">
        <v>65</v>
      </c>
      <c r="R221" t="s">
        <v>42</v>
      </c>
      <c r="S221" t="s">
        <v>43</v>
      </c>
      <c r="T221" t="s">
        <v>67</v>
      </c>
      <c r="U221">
        <v>1</v>
      </c>
      <c r="V221" t="s">
        <v>85</v>
      </c>
      <c r="W221" t="s">
        <v>162</v>
      </c>
      <c r="X221" t="s">
        <v>139</v>
      </c>
      <c r="Y221">
        <v>2</v>
      </c>
      <c r="Z221">
        <v>2</v>
      </c>
      <c r="AA221">
        <v>44.1</v>
      </c>
      <c r="AB221">
        <v>4.2999999999999997E-2</v>
      </c>
      <c r="AC221" t="s">
        <v>85</v>
      </c>
      <c r="AD221">
        <v>3</v>
      </c>
      <c r="AE221">
        <v>4</v>
      </c>
      <c r="AF221">
        <v>0</v>
      </c>
      <c r="AG221">
        <v>2.8319999999999999</v>
      </c>
      <c r="AH221">
        <v>0.4</v>
      </c>
      <c r="AI221">
        <v>3.3000000000000002E-2</v>
      </c>
      <c r="AJ221">
        <v>1.1749890000000001</v>
      </c>
      <c r="AL221">
        <f t="shared" si="36"/>
        <v>1.1749890000000001</v>
      </c>
      <c r="AM221">
        <f>VLOOKUP(TRIM(N221),'[1]All - Durations'!$E$2:$H$109,4,FALSE)</f>
        <v>1.1020000000000001</v>
      </c>
      <c r="AN221">
        <f t="shared" si="37"/>
        <v>7.2988999999999971E-2</v>
      </c>
      <c r="AO221">
        <f t="shared" si="38"/>
        <v>7.2988999999999971E-2</v>
      </c>
    </row>
    <row r="222" spans="1:41" x14ac:dyDescent="0.25">
      <c r="A222">
        <v>259</v>
      </c>
      <c r="B222" t="s">
        <v>35</v>
      </c>
      <c r="C222">
        <v>3</v>
      </c>
      <c r="D222" t="s">
        <v>36</v>
      </c>
      <c r="E222">
        <v>2</v>
      </c>
      <c r="F222" t="s">
        <v>37</v>
      </c>
      <c r="G222">
        <v>4</v>
      </c>
      <c r="H222">
        <v>7</v>
      </c>
      <c r="I222">
        <v>1</v>
      </c>
      <c r="J222">
        <v>5</v>
      </c>
      <c r="K222">
        <v>4</v>
      </c>
      <c r="L222">
        <v>2</v>
      </c>
      <c r="M222">
        <v>1</v>
      </c>
      <c r="N222" t="s">
        <v>109</v>
      </c>
      <c r="O222" t="s">
        <v>39</v>
      </c>
      <c r="P222" t="s">
        <v>71</v>
      </c>
      <c r="Q222" t="s">
        <v>72</v>
      </c>
      <c r="R222" t="s">
        <v>91</v>
      </c>
      <c r="S222" t="s">
        <v>92</v>
      </c>
      <c r="T222" t="s">
        <v>94</v>
      </c>
      <c r="U222">
        <v>1</v>
      </c>
      <c r="V222" t="s">
        <v>73</v>
      </c>
      <c r="W222" t="s">
        <v>81</v>
      </c>
      <c r="X222" t="s">
        <v>110</v>
      </c>
      <c r="Y222">
        <v>1</v>
      </c>
      <c r="Z222">
        <v>2</v>
      </c>
      <c r="AA222">
        <v>44.1</v>
      </c>
      <c r="AB222">
        <v>5.0999999999999997E-2</v>
      </c>
      <c r="AC222" t="s">
        <v>94</v>
      </c>
      <c r="AD222">
        <v>1</v>
      </c>
      <c r="AE222">
        <v>1</v>
      </c>
      <c r="AF222">
        <v>1</v>
      </c>
      <c r="AG222">
        <v>2.4380000000000002</v>
      </c>
      <c r="AH222">
        <v>0.81699999999999995</v>
      </c>
      <c r="AI222">
        <v>4.5999999999999999E-2</v>
      </c>
      <c r="AJ222">
        <v>1.0349889999999999</v>
      </c>
      <c r="AL222">
        <f t="shared" si="36"/>
        <v>1.0349889999999999</v>
      </c>
      <c r="AM222">
        <f>VLOOKUP(TRIM(N222),'[1]All - Durations'!$E$2:$H$109,4,FALSE)</f>
        <v>0.872</v>
      </c>
      <c r="AN222">
        <f t="shared" si="37"/>
        <v>0.16298899999999994</v>
      </c>
      <c r="AO222">
        <f t="shared" si="38"/>
        <v>0.16298899999999994</v>
      </c>
    </row>
    <row r="223" spans="1:41" x14ac:dyDescent="0.25">
      <c r="A223">
        <v>259</v>
      </c>
      <c r="B223" t="s">
        <v>35</v>
      </c>
      <c r="C223">
        <v>3</v>
      </c>
      <c r="D223" t="s">
        <v>36</v>
      </c>
      <c r="E223">
        <v>2</v>
      </c>
      <c r="F223" t="s">
        <v>37</v>
      </c>
      <c r="G223">
        <v>4</v>
      </c>
      <c r="H223">
        <v>7</v>
      </c>
      <c r="I223">
        <v>1</v>
      </c>
      <c r="J223">
        <v>6</v>
      </c>
      <c r="K223">
        <v>1</v>
      </c>
      <c r="L223">
        <v>47</v>
      </c>
      <c r="M223">
        <v>2</v>
      </c>
      <c r="N223" t="s">
        <v>57</v>
      </c>
      <c r="O223" t="s">
        <v>39</v>
      </c>
      <c r="P223" t="s">
        <v>40</v>
      </c>
      <c r="Q223" t="s">
        <v>41</v>
      </c>
      <c r="R223" t="s">
        <v>58</v>
      </c>
      <c r="S223" t="s">
        <v>59</v>
      </c>
      <c r="T223" t="s">
        <v>60</v>
      </c>
      <c r="U223">
        <v>1</v>
      </c>
      <c r="V223" t="s">
        <v>44</v>
      </c>
      <c r="W223" t="s">
        <v>74</v>
      </c>
      <c r="X223" t="s">
        <v>86</v>
      </c>
      <c r="Y223">
        <v>1</v>
      </c>
      <c r="Z223">
        <v>2</v>
      </c>
      <c r="AA223">
        <v>44.1</v>
      </c>
      <c r="AB223">
        <v>6.8000000000000005E-2</v>
      </c>
      <c r="AC223" t="s">
        <v>44</v>
      </c>
      <c r="AD223">
        <v>2</v>
      </c>
      <c r="AE223">
        <v>5</v>
      </c>
      <c r="AF223">
        <v>0</v>
      </c>
      <c r="AG223">
        <v>2.488</v>
      </c>
      <c r="AH223">
        <v>0.5</v>
      </c>
      <c r="AI223">
        <v>6.5000000000000002E-2</v>
      </c>
      <c r="AJ223">
        <v>1.1749890000000001</v>
      </c>
      <c r="AL223">
        <f t="shared" si="36"/>
        <v>1.1749890000000001</v>
      </c>
      <c r="AM223">
        <f>VLOOKUP(TRIM(N223),'[1]All - Durations'!$E$2:$H$109,4,FALSE)</f>
        <v>0.93600000000000005</v>
      </c>
      <c r="AN223">
        <f t="shared" si="37"/>
        <v>0.23898900000000001</v>
      </c>
      <c r="AO223">
        <f t="shared" si="38"/>
        <v>0.23898900000000001</v>
      </c>
    </row>
    <row r="224" spans="1:41" x14ac:dyDescent="0.25">
      <c r="A224">
        <v>259</v>
      </c>
      <c r="B224" t="s">
        <v>35</v>
      </c>
      <c r="C224">
        <v>3</v>
      </c>
      <c r="D224" t="s">
        <v>36</v>
      </c>
      <c r="E224">
        <v>2</v>
      </c>
      <c r="F224" t="s">
        <v>37</v>
      </c>
      <c r="G224">
        <v>4</v>
      </c>
      <c r="H224">
        <v>7</v>
      </c>
      <c r="I224">
        <v>1</v>
      </c>
      <c r="J224">
        <v>7</v>
      </c>
      <c r="K224">
        <v>9</v>
      </c>
      <c r="L224">
        <v>3</v>
      </c>
      <c r="M224">
        <v>1</v>
      </c>
      <c r="N224" t="s">
        <v>88</v>
      </c>
      <c r="O224" t="s">
        <v>39</v>
      </c>
      <c r="P224" t="s">
        <v>89</v>
      </c>
      <c r="Q224" t="s">
        <v>90</v>
      </c>
      <c r="R224" t="s">
        <v>91</v>
      </c>
      <c r="S224" t="s">
        <v>92</v>
      </c>
      <c r="T224" t="s">
        <v>93</v>
      </c>
      <c r="U224">
        <v>1</v>
      </c>
      <c r="V224" t="s">
        <v>94</v>
      </c>
      <c r="W224" t="s">
        <v>47</v>
      </c>
      <c r="X224" t="s">
        <v>100</v>
      </c>
      <c r="Y224">
        <v>2</v>
      </c>
      <c r="Z224">
        <v>2</v>
      </c>
      <c r="AA224">
        <v>44.1</v>
      </c>
      <c r="AB224">
        <v>6.9000000000000006E-2</v>
      </c>
      <c r="AC224" t="s">
        <v>94</v>
      </c>
      <c r="AD224">
        <v>3</v>
      </c>
      <c r="AE224">
        <v>2</v>
      </c>
      <c r="AF224">
        <v>0</v>
      </c>
      <c r="AG224">
        <v>2.3919999999999999</v>
      </c>
      <c r="AH224">
        <v>0.5</v>
      </c>
      <c r="AI224">
        <v>7.3999999999999996E-2</v>
      </c>
      <c r="AJ224">
        <v>1.074989</v>
      </c>
      <c r="AL224">
        <f t="shared" si="36"/>
        <v>1.074989</v>
      </c>
      <c r="AM224">
        <f>VLOOKUP(TRIM(N224),'[1]All - Durations'!$E$2:$H$109,4,FALSE)</f>
        <v>0.89200000000000002</v>
      </c>
      <c r="AN224">
        <f t="shared" si="37"/>
        <v>0.18298899999999996</v>
      </c>
      <c r="AO224">
        <f t="shared" si="38"/>
        <v>0.18298899999999996</v>
      </c>
    </row>
    <row r="225" spans="1:41" x14ac:dyDescent="0.25">
      <c r="A225">
        <v>259</v>
      </c>
      <c r="B225" t="s">
        <v>35</v>
      </c>
      <c r="C225">
        <v>3</v>
      </c>
      <c r="D225" t="s">
        <v>36</v>
      </c>
      <c r="E225">
        <v>2</v>
      </c>
      <c r="F225" t="s">
        <v>37</v>
      </c>
      <c r="G225">
        <v>4</v>
      </c>
      <c r="H225">
        <v>7</v>
      </c>
      <c r="I225">
        <v>1</v>
      </c>
      <c r="J225">
        <v>8</v>
      </c>
      <c r="K225">
        <v>5</v>
      </c>
      <c r="L225">
        <v>37</v>
      </c>
      <c r="M225">
        <v>2</v>
      </c>
      <c r="N225" t="s">
        <v>97</v>
      </c>
      <c r="O225" t="s">
        <v>39</v>
      </c>
      <c r="P225" t="s">
        <v>49</v>
      </c>
      <c r="Q225" t="s">
        <v>50</v>
      </c>
      <c r="R225" t="s">
        <v>91</v>
      </c>
      <c r="S225" t="s">
        <v>92</v>
      </c>
      <c r="T225" t="s">
        <v>54</v>
      </c>
      <c r="U225">
        <v>4</v>
      </c>
      <c r="V225" t="s">
        <v>98</v>
      </c>
      <c r="W225" t="s">
        <v>82</v>
      </c>
      <c r="X225" t="s">
        <v>111</v>
      </c>
      <c r="Y225">
        <v>2</v>
      </c>
      <c r="Z225">
        <v>2</v>
      </c>
      <c r="AA225">
        <v>44.1</v>
      </c>
      <c r="AB225">
        <v>6.0999999999999999E-2</v>
      </c>
      <c r="AC225" t="s">
        <v>54</v>
      </c>
      <c r="AD225">
        <v>1</v>
      </c>
      <c r="AE225">
        <v>4</v>
      </c>
      <c r="AF225">
        <v>1</v>
      </c>
      <c r="AG225">
        <v>1.8740000000000001</v>
      </c>
      <c r="AH225">
        <v>0.55000000000000004</v>
      </c>
      <c r="AI225">
        <v>0.05</v>
      </c>
      <c r="AJ225">
        <v>1.0249889999999999</v>
      </c>
      <c r="AL225">
        <f t="shared" si="36"/>
        <v>1.0249889999999999</v>
      </c>
      <c r="AM225">
        <f>VLOOKUP(TRIM(N225),'[1]All - Durations'!$E$2:$H$109,4,FALSE)</f>
        <v>0.74</v>
      </c>
      <c r="AN225">
        <f t="shared" si="37"/>
        <v>0.28498899999999994</v>
      </c>
      <c r="AO225">
        <f t="shared" si="38"/>
        <v>0.28498899999999994</v>
      </c>
    </row>
    <row r="226" spans="1:41" x14ac:dyDescent="0.25">
      <c r="A226">
        <v>259</v>
      </c>
      <c r="B226" t="s">
        <v>35</v>
      </c>
      <c r="C226">
        <v>3</v>
      </c>
      <c r="D226" t="s">
        <v>36</v>
      </c>
      <c r="E226">
        <v>2</v>
      </c>
      <c r="F226" t="s">
        <v>37</v>
      </c>
      <c r="G226">
        <v>4</v>
      </c>
      <c r="H226">
        <v>7</v>
      </c>
      <c r="I226">
        <v>1</v>
      </c>
      <c r="J226">
        <v>9</v>
      </c>
      <c r="K226">
        <v>7</v>
      </c>
      <c r="L226">
        <v>39</v>
      </c>
      <c r="M226">
        <v>2</v>
      </c>
      <c r="N226" t="s">
        <v>63</v>
      </c>
      <c r="O226" t="s">
        <v>39</v>
      </c>
      <c r="P226" t="s">
        <v>64</v>
      </c>
      <c r="Q226" t="s">
        <v>65</v>
      </c>
      <c r="R226" t="s">
        <v>58</v>
      </c>
      <c r="S226" t="s">
        <v>59</v>
      </c>
      <c r="T226" t="s">
        <v>66</v>
      </c>
      <c r="U226">
        <v>2</v>
      </c>
      <c r="V226" t="s">
        <v>67</v>
      </c>
      <c r="W226" t="s">
        <v>155</v>
      </c>
      <c r="X226" t="s">
        <v>128</v>
      </c>
      <c r="Y226">
        <v>1</v>
      </c>
      <c r="Z226">
        <v>2</v>
      </c>
      <c r="AA226">
        <v>44.1</v>
      </c>
      <c r="AB226">
        <v>3.9E-2</v>
      </c>
      <c r="AC226" t="s">
        <v>155</v>
      </c>
      <c r="AD226">
        <v>4</v>
      </c>
      <c r="AE226">
        <v>4</v>
      </c>
      <c r="AF226">
        <v>0</v>
      </c>
      <c r="AG226">
        <v>2.7890000000000001</v>
      </c>
      <c r="AH226">
        <v>0.46700000000000003</v>
      </c>
      <c r="AI226">
        <v>3.7999999999999999E-2</v>
      </c>
      <c r="AJ226">
        <v>1.134989</v>
      </c>
      <c r="AL226">
        <f t="shared" si="36"/>
        <v>1.134989</v>
      </c>
      <c r="AM226">
        <f>VLOOKUP(TRIM(N226),'[1]All - Durations'!$E$2:$H$109,4,FALSE)</f>
        <v>0.96399999999999997</v>
      </c>
      <c r="AN226">
        <f t="shared" si="37"/>
        <v>0.17098900000000006</v>
      </c>
      <c r="AO226">
        <f t="shared" si="38"/>
        <v>0.17098900000000006</v>
      </c>
    </row>
    <row r="227" spans="1:41" x14ac:dyDescent="0.25">
      <c r="A227">
        <v>259</v>
      </c>
      <c r="B227" t="s">
        <v>35</v>
      </c>
      <c r="C227">
        <v>3</v>
      </c>
      <c r="D227" t="s">
        <v>36</v>
      </c>
      <c r="E227">
        <v>2</v>
      </c>
      <c r="F227" t="s">
        <v>37</v>
      </c>
      <c r="G227">
        <v>4</v>
      </c>
      <c r="H227">
        <v>7</v>
      </c>
      <c r="I227">
        <v>1</v>
      </c>
      <c r="J227">
        <v>10</v>
      </c>
      <c r="K227">
        <v>12</v>
      </c>
      <c r="L227">
        <v>44</v>
      </c>
      <c r="M227">
        <v>2</v>
      </c>
      <c r="N227" t="s">
        <v>76</v>
      </c>
      <c r="O227" t="s">
        <v>39</v>
      </c>
      <c r="P227" t="s">
        <v>77</v>
      </c>
      <c r="Q227" t="s">
        <v>78</v>
      </c>
      <c r="R227" t="s">
        <v>51</v>
      </c>
      <c r="S227" t="s">
        <v>52</v>
      </c>
      <c r="T227" t="s">
        <v>79</v>
      </c>
      <c r="U227">
        <v>2</v>
      </c>
      <c r="V227" t="s">
        <v>80</v>
      </c>
      <c r="W227" t="s">
        <v>146</v>
      </c>
      <c r="X227" t="s">
        <v>124</v>
      </c>
      <c r="Y227">
        <v>1</v>
      </c>
      <c r="Z227">
        <v>2</v>
      </c>
      <c r="AA227">
        <v>44.1</v>
      </c>
      <c r="AB227">
        <v>0.05</v>
      </c>
      <c r="AC227" t="s">
        <v>80</v>
      </c>
      <c r="AD227">
        <v>2</v>
      </c>
      <c r="AE227">
        <v>5</v>
      </c>
      <c r="AF227">
        <v>0</v>
      </c>
      <c r="AG227">
        <v>3.3279999999999998</v>
      </c>
      <c r="AH227">
        <v>0.71699999999999997</v>
      </c>
      <c r="AI227">
        <v>4.9000000000000002E-2</v>
      </c>
      <c r="AJ227">
        <v>1.104989</v>
      </c>
      <c r="AL227">
        <f t="shared" si="36"/>
        <v>1.104989</v>
      </c>
      <c r="AM227">
        <f>VLOOKUP(TRIM(N227),'[1]All - Durations'!$E$2:$H$109,4,FALSE)</f>
        <v>0.999</v>
      </c>
      <c r="AN227">
        <f t="shared" si="37"/>
        <v>0.105989</v>
      </c>
      <c r="AO227">
        <f t="shared" si="38"/>
        <v>0.105989</v>
      </c>
    </row>
    <row r="228" spans="1:41" x14ac:dyDescent="0.25">
      <c r="A228">
        <v>259</v>
      </c>
      <c r="B228" t="s">
        <v>35</v>
      </c>
      <c r="C228">
        <v>3</v>
      </c>
      <c r="D228" t="s">
        <v>36</v>
      </c>
      <c r="E228">
        <v>2</v>
      </c>
      <c r="F228" t="s">
        <v>37</v>
      </c>
      <c r="G228">
        <v>4</v>
      </c>
      <c r="H228">
        <v>7</v>
      </c>
      <c r="I228">
        <v>1</v>
      </c>
      <c r="J228">
        <v>11</v>
      </c>
      <c r="K228">
        <v>6</v>
      </c>
      <c r="L228">
        <v>38</v>
      </c>
      <c r="M228">
        <v>2</v>
      </c>
      <c r="N228" t="s">
        <v>48</v>
      </c>
      <c r="O228" t="s">
        <v>39</v>
      </c>
      <c r="P228" t="s">
        <v>49</v>
      </c>
      <c r="Q228" t="s">
        <v>50</v>
      </c>
      <c r="R228" t="s">
        <v>51</v>
      </c>
      <c r="S228" t="s">
        <v>52</v>
      </c>
      <c r="T228" t="s">
        <v>53</v>
      </c>
      <c r="U228">
        <v>5</v>
      </c>
      <c r="V228" t="s">
        <v>54</v>
      </c>
      <c r="W228" t="s">
        <v>46</v>
      </c>
      <c r="X228" t="s">
        <v>55</v>
      </c>
      <c r="Y228">
        <v>1</v>
      </c>
      <c r="Z228">
        <v>2</v>
      </c>
      <c r="AA228">
        <v>44.1</v>
      </c>
      <c r="AB228">
        <v>1.1379999999999999</v>
      </c>
      <c r="AC228" t="s">
        <v>54</v>
      </c>
      <c r="AD228">
        <v>2</v>
      </c>
      <c r="AE228">
        <v>2</v>
      </c>
      <c r="AF228">
        <v>0</v>
      </c>
      <c r="AG228">
        <v>2.0299999999999998</v>
      </c>
      <c r="AH228">
        <v>0.3</v>
      </c>
      <c r="AI228">
        <v>1.135</v>
      </c>
      <c r="AJ228">
        <v>1.134989</v>
      </c>
      <c r="AL228">
        <f t="shared" si="36"/>
        <v>1.134989</v>
      </c>
      <c r="AM228">
        <f>VLOOKUP(TRIM(N228),'[1]All - Durations'!$E$2:$H$109,4,FALSE)</f>
        <v>0.92200000000000004</v>
      </c>
      <c r="AN228">
        <f t="shared" si="37"/>
        <v>0.21298899999999998</v>
      </c>
      <c r="AO228">
        <f t="shared" si="38"/>
        <v>0.21298899999999998</v>
      </c>
    </row>
    <row r="229" spans="1:41" x14ac:dyDescent="0.25">
      <c r="A229">
        <v>259</v>
      </c>
      <c r="B229" t="s">
        <v>35</v>
      </c>
      <c r="C229">
        <v>3</v>
      </c>
      <c r="D229" t="s">
        <v>36</v>
      </c>
      <c r="E229">
        <v>2</v>
      </c>
      <c r="F229" t="s">
        <v>37</v>
      </c>
      <c r="G229">
        <v>4</v>
      </c>
      <c r="H229">
        <v>7</v>
      </c>
      <c r="I229">
        <v>1</v>
      </c>
      <c r="J229">
        <v>12</v>
      </c>
      <c r="K229">
        <v>2</v>
      </c>
      <c r="L229">
        <v>48</v>
      </c>
      <c r="M229">
        <v>2</v>
      </c>
      <c r="N229" t="s">
        <v>38</v>
      </c>
      <c r="O229" t="s">
        <v>39</v>
      </c>
      <c r="P229" t="s">
        <v>40</v>
      </c>
      <c r="Q229" t="s">
        <v>41</v>
      </c>
      <c r="R229" t="s">
        <v>42</v>
      </c>
      <c r="S229" t="s">
        <v>43</v>
      </c>
      <c r="T229" t="s">
        <v>44</v>
      </c>
      <c r="U229">
        <v>4</v>
      </c>
      <c r="V229" t="s">
        <v>45</v>
      </c>
      <c r="W229" t="s">
        <v>166</v>
      </c>
      <c r="X229" t="s">
        <v>214</v>
      </c>
      <c r="Y229">
        <v>2</v>
      </c>
      <c r="Z229">
        <v>2</v>
      </c>
      <c r="AA229">
        <v>44.1</v>
      </c>
      <c r="AB229">
        <v>1.0609999999999999</v>
      </c>
      <c r="AC229" t="s">
        <v>45</v>
      </c>
      <c r="AD229">
        <v>3</v>
      </c>
      <c r="AE229">
        <v>1</v>
      </c>
      <c r="AF229">
        <v>0</v>
      </c>
      <c r="AG229">
        <v>2.9609999999999999</v>
      </c>
      <c r="AH229">
        <v>0.33400000000000002</v>
      </c>
      <c r="AI229">
        <v>1.0620000000000001</v>
      </c>
      <c r="AJ229">
        <v>1.054989</v>
      </c>
      <c r="AL229">
        <f t="shared" si="36"/>
        <v>1.054989</v>
      </c>
      <c r="AM229">
        <f>VLOOKUP(TRIM(N229),'[1]All - Durations'!$E$2:$H$109,4,FALSE)</f>
        <v>0.87</v>
      </c>
      <c r="AN229">
        <f t="shared" si="37"/>
        <v>0.18498899999999996</v>
      </c>
      <c r="AO229">
        <f t="shared" si="38"/>
        <v>0.18498899999999996</v>
      </c>
    </row>
    <row r="230" spans="1:41" x14ac:dyDescent="0.25">
      <c r="A230">
        <v>259</v>
      </c>
      <c r="B230" t="s">
        <v>35</v>
      </c>
      <c r="C230">
        <v>3</v>
      </c>
      <c r="D230" t="s">
        <v>36</v>
      </c>
      <c r="E230">
        <v>2</v>
      </c>
      <c r="F230" t="s">
        <v>37</v>
      </c>
      <c r="G230">
        <v>4</v>
      </c>
      <c r="H230">
        <v>7</v>
      </c>
      <c r="I230">
        <v>1</v>
      </c>
      <c r="J230">
        <v>13</v>
      </c>
      <c r="K230">
        <v>17</v>
      </c>
      <c r="L230">
        <v>61</v>
      </c>
      <c r="M230">
        <v>2</v>
      </c>
      <c r="N230" t="s">
        <v>125</v>
      </c>
      <c r="O230" t="s">
        <v>113</v>
      </c>
      <c r="P230" t="s">
        <v>114</v>
      </c>
      <c r="Q230" t="s">
        <v>126</v>
      </c>
      <c r="R230" t="s">
        <v>114</v>
      </c>
      <c r="S230" t="s">
        <v>92</v>
      </c>
      <c r="T230" t="s">
        <v>127</v>
      </c>
      <c r="U230">
        <v>2</v>
      </c>
      <c r="V230" t="s">
        <v>128</v>
      </c>
      <c r="W230" t="s">
        <v>161</v>
      </c>
      <c r="X230" t="s">
        <v>131</v>
      </c>
      <c r="Y230">
        <v>1</v>
      </c>
      <c r="Z230">
        <v>2</v>
      </c>
      <c r="AA230">
        <v>44.1</v>
      </c>
      <c r="AB230">
        <v>0.86199999999999999</v>
      </c>
      <c r="AC230" t="s">
        <v>127</v>
      </c>
      <c r="AD230">
        <v>1</v>
      </c>
      <c r="AE230">
        <v>2</v>
      </c>
      <c r="AF230">
        <v>1</v>
      </c>
      <c r="AG230">
        <v>1.85</v>
      </c>
      <c r="AH230">
        <v>0.45</v>
      </c>
      <c r="AI230">
        <v>0.86899999999999999</v>
      </c>
      <c r="AJ230">
        <v>1.134989</v>
      </c>
      <c r="AL230">
        <f t="shared" si="36"/>
        <v>1.134989</v>
      </c>
      <c r="AM230">
        <f>VLOOKUP(TRIM(N230),'[1]All - Durations'!$E$2:$H$109,4,FALSE)</f>
        <v>0.94899999999999995</v>
      </c>
      <c r="AN230">
        <f t="shared" si="37"/>
        <v>0.18598900000000007</v>
      </c>
      <c r="AO230">
        <f t="shared" si="38"/>
        <v>0.18598900000000007</v>
      </c>
    </row>
    <row r="231" spans="1:41" x14ac:dyDescent="0.25">
      <c r="A231">
        <v>259</v>
      </c>
      <c r="B231" t="s">
        <v>35</v>
      </c>
      <c r="C231">
        <v>3</v>
      </c>
      <c r="D231" t="s">
        <v>36</v>
      </c>
      <c r="E231">
        <v>2</v>
      </c>
      <c r="F231" t="s">
        <v>37</v>
      </c>
      <c r="G231">
        <v>4</v>
      </c>
      <c r="H231">
        <v>7</v>
      </c>
      <c r="I231">
        <v>1</v>
      </c>
      <c r="J231">
        <v>14</v>
      </c>
      <c r="K231">
        <v>23</v>
      </c>
      <c r="L231">
        <v>67</v>
      </c>
      <c r="M231">
        <v>2</v>
      </c>
      <c r="N231" t="s">
        <v>145</v>
      </c>
      <c r="O231" t="s">
        <v>113</v>
      </c>
      <c r="P231" t="s">
        <v>114</v>
      </c>
      <c r="Q231" t="s">
        <v>136</v>
      </c>
      <c r="R231" t="s">
        <v>114</v>
      </c>
      <c r="S231" t="s">
        <v>92</v>
      </c>
      <c r="T231" t="s">
        <v>137</v>
      </c>
      <c r="U231">
        <v>5</v>
      </c>
      <c r="V231" t="s">
        <v>127</v>
      </c>
      <c r="W231" t="s">
        <v>47</v>
      </c>
      <c r="X231" t="s">
        <v>144</v>
      </c>
      <c r="Y231">
        <v>2</v>
      </c>
      <c r="Z231">
        <v>2</v>
      </c>
      <c r="AA231">
        <v>44.1</v>
      </c>
      <c r="AB231">
        <v>4.2999999999999997E-2</v>
      </c>
      <c r="AC231" t="s">
        <v>137</v>
      </c>
      <c r="AD231">
        <v>1</v>
      </c>
      <c r="AE231">
        <v>5</v>
      </c>
      <c r="AF231">
        <v>1</v>
      </c>
      <c r="AG231">
        <v>1.653</v>
      </c>
      <c r="AH231">
        <v>0.25</v>
      </c>
      <c r="AI231">
        <v>0.04</v>
      </c>
      <c r="AJ231">
        <v>1.094989</v>
      </c>
      <c r="AL231">
        <f t="shared" si="36"/>
        <v>1.094989</v>
      </c>
      <c r="AM231">
        <f>VLOOKUP(TRIM(N231),'[1]All - Durations'!$E$2:$H$109,4,FALSE)</f>
        <v>0.96199999999999997</v>
      </c>
      <c r="AN231">
        <f t="shared" si="37"/>
        <v>0.13298900000000002</v>
      </c>
      <c r="AO231">
        <f t="shared" si="38"/>
        <v>0.13298900000000002</v>
      </c>
    </row>
    <row r="232" spans="1:41" x14ac:dyDescent="0.25">
      <c r="A232">
        <v>259</v>
      </c>
      <c r="B232" t="s">
        <v>35</v>
      </c>
      <c r="C232">
        <v>3</v>
      </c>
      <c r="D232" t="s">
        <v>36</v>
      </c>
      <c r="E232">
        <v>2</v>
      </c>
      <c r="F232" t="s">
        <v>37</v>
      </c>
      <c r="G232">
        <v>4</v>
      </c>
      <c r="H232">
        <v>7</v>
      </c>
      <c r="I232">
        <v>1</v>
      </c>
      <c r="J232">
        <v>15</v>
      </c>
      <c r="K232">
        <v>21</v>
      </c>
      <c r="L232">
        <v>27</v>
      </c>
      <c r="M232">
        <v>1</v>
      </c>
      <c r="N232" t="s">
        <v>129</v>
      </c>
      <c r="O232" t="s">
        <v>113</v>
      </c>
      <c r="P232" t="s">
        <v>114</v>
      </c>
      <c r="Q232" t="s">
        <v>118</v>
      </c>
      <c r="R232" t="s">
        <v>114</v>
      </c>
      <c r="S232" t="s">
        <v>92</v>
      </c>
      <c r="T232" t="s">
        <v>120</v>
      </c>
      <c r="U232">
        <v>4</v>
      </c>
      <c r="V232" t="s">
        <v>130</v>
      </c>
      <c r="W232" t="s">
        <v>96</v>
      </c>
      <c r="X232" t="s">
        <v>138</v>
      </c>
      <c r="Y232">
        <v>2</v>
      </c>
      <c r="Z232">
        <v>2</v>
      </c>
      <c r="AA232">
        <v>44.1</v>
      </c>
      <c r="AB232">
        <v>0.90100000000000002</v>
      </c>
      <c r="AC232" t="s">
        <v>138</v>
      </c>
      <c r="AD232">
        <v>4</v>
      </c>
      <c r="AE232">
        <v>2</v>
      </c>
      <c r="AF232">
        <v>0</v>
      </c>
      <c r="AG232">
        <v>1.9379999999999999</v>
      </c>
      <c r="AH232">
        <v>0.23400000000000001</v>
      </c>
      <c r="AI232">
        <v>0.90600000000000003</v>
      </c>
      <c r="AJ232">
        <v>1.134989</v>
      </c>
      <c r="AL232">
        <f t="shared" si="36"/>
        <v>1.134989</v>
      </c>
      <c r="AM232">
        <f>VLOOKUP(TRIM(N232),'[1]All - Durations'!$E$2:$H$109,4,FALSE)</f>
        <v>0.92900000000000005</v>
      </c>
      <c r="AN232">
        <f t="shared" si="37"/>
        <v>0.20598899999999998</v>
      </c>
      <c r="AO232">
        <f t="shared" si="38"/>
        <v>0.20598899999999998</v>
      </c>
    </row>
    <row r="233" spans="1:41" x14ac:dyDescent="0.25">
      <c r="A233">
        <v>259</v>
      </c>
      <c r="B233" t="s">
        <v>35</v>
      </c>
      <c r="C233">
        <v>3</v>
      </c>
      <c r="D233" t="s">
        <v>36</v>
      </c>
      <c r="E233">
        <v>2</v>
      </c>
      <c r="F233" t="s">
        <v>37</v>
      </c>
      <c r="G233">
        <v>4</v>
      </c>
      <c r="H233">
        <v>7</v>
      </c>
      <c r="I233">
        <v>1</v>
      </c>
      <c r="J233">
        <v>16</v>
      </c>
      <c r="K233">
        <v>15</v>
      </c>
      <c r="L233">
        <v>25</v>
      </c>
      <c r="M233">
        <v>1</v>
      </c>
      <c r="N233" t="s">
        <v>122</v>
      </c>
      <c r="O233" t="s">
        <v>113</v>
      </c>
      <c r="P233" t="s">
        <v>114</v>
      </c>
      <c r="Q233" t="s">
        <v>123</v>
      </c>
      <c r="R233" t="s">
        <v>114</v>
      </c>
      <c r="S233" t="s">
        <v>59</v>
      </c>
      <c r="T233" t="s">
        <v>124</v>
      </c>
      <c r="U233">
        <v>5</v>
      </c>
      <c r="V233" t="s">
        <v>46</v>
      </c>
      <c r="W233" t="s">
        <v>94</v>
      </c>
      <c r="X233" t="s">
        <v>99</v>
      </c>
      <c r="Y233">
        <v>2</v>
      </c>
      <c r="Z233">
        <v>2</v>
      </c>
      <c r="AA233">
        <v>44.1</v>
      </c>
      <c r="AB233">
        <v>1.0720000000000001</v>
      </c>
      <c r="AC233" t="s">
        <v>124</v>
      </c>
      <c r="AD233">
        <v>1</v>
      </c>
      <c r="AE233">
        <v>5</v>
      </c>
      <c r="AF233">
        <v>1</v>
      </c>
      <c r="AG233">
        <v>2.0430000000000001</v>
      </c>
      <c r="AH233">
        <v>0.28399999999999997</v>
      </c>
      <c r="AI233">
        <v>1.0680000000000001</v>
      </c>
      <c r="AJ233">
        <v>1.064989</v>
      </c>
      <c r="AL233">
        <f t="shared" si="36"/>
        <v>1.064989</v>
      </c>
      <c r="AM233">
        <f>VLOOKUP(TRIM(N233),'[1]All - Durations'!$E$2:$H$109,4,FALSE)</f>
        <v>0.83899999999999997</v>
      </c>
      <c r="AN233">
        <f t="shared" si="37"/>
        <v>0.225989</v>
      </c>
      <c r="AO233">
        <f t="shared" si="38"/>
        <v>0.225989</v>
      </c>
    </row>
    <row r="234" spans="1:41" x14ac:dyDescent="0.25">
      <c r="A234">
        <v>259</v>
      </c>
      <c r="B234" t="s">
        <v>35</v>
      </c>
      <c r="C234">
        <v>3</v>
      </c>
      <c r="D234" t="s">
        <v>36</v>
      </c>
      <c r="E234">
        <v>2</v>
      </c>
      <c r="F234" t="s">
        <v>37</v>
      </c>
      <c r="G234">
        <v>4</v>
      </c>
      <c r="H234">
        <v>7</v>
      </c>
      <c r="I234">
        <v>1</v>
      </c>
      <c r="J234">
        <v>17</v>
      </c>
      <c r="K234">
        <v>19</v>
      </c>
      <c r="L234">
        <v>63</v>
      </c>
      <c r="M234">
        <v>2</v>
      </c>
      <c r="N234" t="s">
        <v>140</v>
      </c>
      <c r="O234" t="s">
        <v>113</v>
      </c>
      <c r="P234" t="s">
        <v>114</v>
      </c>
      <c r="Q234" t="s">
        <v>134</v>
      </c>
      <c r="R234" t="s">
        <v>114</v>
      </c>
      <c r="S234" t="s">
        <v>59</v>
      </c>
      <c r="T234" t="s">
        <v>95</v>
      </c>
      <c r="U234">
        <v>4</v>
      </c>
      <c r="V234" t="s">
        <v>100</v>
      </c>
      <c r="W234" t="s">
        <v>79</v>
      </c>
      <c r="X234" t="s">
        <v>141</v>
      </c>
      <c r="Y234">
        <v>1</v>
      </c>
      <c r="Z234">
        <v>2</v>
      </c>
      <c r="AA234">
        <v>44.1</v>
      </c>
      <c r="AB234">
        <v>1.042</v>
      </c>
      <c r="AC234" t="s">
        <v>79</v>
      </c>
      <c r="AD234">
        <v>4</v>
      </c>
      <c r="AE234">
        <v>5</v>
      </c>
      <c r="AF234">
        <v>0</v>
      </c>
      <c r="AG234">
        <v>1.7509999999999999</v>
      </c>
      <c r="AH234">
        <v>0.26700000000000002</v>
      </c>
      <c r="AI234">
        <v>1.05</v>
      </c>
      <c r="AJ234">
        <v>1.0449889999999999</v>
      </c>
      <c r="AL234">
        <f t="shared" si="36"/>
        <v>1.0449889999999999</v>
      </c>
      <c r="AM234">
        <f>VLOOKUP(TRIM(N234),'[1]All - Durations'!$E$2:$H$109,4,FALSE)</f>
        <v>0.86099999999999999</v>
      </c>
      <c r="AN234">
        <f t="shared" si="37"/>
        <v>0.18398899999999996</v>
      </c>
      <c r="AO234">
        <f t="shared" si="38"/>
        <v>0.18398899999999996</v>
      </c>
    </row>
    <row r="235" spans="1:41" x14ac:dyDescent="0.25">
      <c r="A235">
        <v>259</v>
      </c>
      <c r="B235" t="s">
        <v>35</v>
      </c>
      <c r="C235">
        <v>3</v>
      </c>
      <c r="D235" t="s">
        <v>36</v>
      </c>
      <c r="E235">
        <v>2</v>
      </c>
      <c r="F235" t="s">
        <v>37</v>
      </c>
      <c r="G235">
        <v>4</v>
      </c>
      <c r="H235">
        <v>7</v>
      </c>
      <c r="I235">
        <v>1</v>
      </c>
      <c r="J235">
        <v>18</v>
      </c>
      <c r="K235">
        <v>16</v>
      </c>
      <c r="L235">
        <v>26</v>
      </c>
      <c r="M235">
        <v>1</v>
      </c>
      <c r="N235" t="s">
        <v>148</v>
      </c>
      <c r="O235" t="s">
        <v>113</v>
      </c>
      <c r="P235" t="s">
        <v>114</v>
      </c>
      <c r="Q235" t="s">
        <v>123</v>
      </c>
      <c r="R235" t="s">
        <v>114</v>
      </c>
      <c r="S235" t="s">
        <v>92</v>
      </c>
      <c r="T235" t="s">
        <v>130</v>
      </c>
      <c r="U235">
        <v>1</v>
      </c>
      <c r="V235" t="s">
        <v>124</v>
      </c>
      <c r="W235" t="s">
        <v>75</v>
      </c>
      <c r="X235" t="s">
        <v>172</v>
      </c>
      <c r="Y235">
        <v>1</v>
      </c>
      <c r="Z235">
        <v>2</v>
      </c>
      <c r="AA235">
        <v>44.1</v>
      </c>
      <c r="AB235">
        <v>0.94899999999999995</v>
      </c>
      <c r="AC235" t="s">
        <v>130</v>
      </c>
      <c r="AD235">
        <v>1</v>
      </c>
      <c r="AE235">
        <v>1</v>
      </c>
      <c r="AF235">
        <v>1</v>
      </c>
      <c r="AG235">
        <v>2.4449999999999998</v>
      </c>
      <c r="AH235">
        <v>0.28399999999999997</v>
      </c>
      <c r="AI235">
        <v>0.94199999999999995</v>
      </c>
      <c r="AJ235">
        <v>1.0049889999999999</v>
      </c>
      <c r="AL235">
        <f t="shared" si="36"/>
        <v>1.0049889999999999</v>
      </c>
      <c r="AM235">
        <f>VLOOKUP(TRIM(N235),'[1]All - Durations'!$E$2:$H$109,4,FALSE)</f>
        <v>0.90400000000000003</v>
      </c>
      <c r="AN235">
        <f t="shared" si="37"/>
        <v>0.10098899999999988</v>
      </c>
      <c r="AO235">
        <f t="shared" si="38"/>
        <v>0.10098899999999988</v>
      </c>
    </row>
    <row r="236" spans="1:41" x14ac:dyDescent="0.25">
      <c r="A236">
        <v>259</v>
      </c>
      <c r="B236" t="s">
        <v>35</v>
      </c>
      <c r="C236">
        <v>3</v>
      </c>
      <c r="D236" t="s">
        <v>36</v>
      </c>
      <c r="E236">
        <v>2</v>
      </c>
      <c r="F236" t="s">
        <v>37</v>
      </c>
      <c r="G236">
        <v>4</v>
      </c>
      <c r="H236">
        <v>7</v>
      </c>
      <c r="I236">
        <v>1</v>
      </c>
      <c r="J236">
        <v>19</v>
      </c>
      <c r="K236">
        <v>18</v>
      </c>
      <c r="L236">
        <v>62</v>
      </c>
      <c r="M236">
        <v>2</v>
      </c>
      <c r="N236" t="s">
        <v>142</v>
      </c>
      <c r="O236" t="s">
        <v>113</v>
      </c>
      <c r="P236" t="s">
        <v>114</v>
      </c>
      <c r="Q236" t="s">
        <v>126</v>
      </c>
      <c r="R236" t="s">
        <v>114</v>
      </c>
      <c r="S236" t="s">
        <v>52</v>
      </c>
      <c r="T236" t="s">
        <v>128</v>
      </c>
      <c r="U236">
        <v>1</v>
      </c>
      <c r="V236" t="s">
        <v>61</v>
      </c>
      <c r="W236" t="s">
        <v>155</v>
      </c>
      <c r="X236" t="s">
        <v>44</v>
      </c>
      <c r="Y236">
        <v>2</v>
      </c>
      <c r="Z236">
        <v>2</v>
      </c>
      <c r="AA236">
        <v>44.1</v>
      </c>
      <c r="AB236">
        <v>0.88100000000000001</v>
      </c>
      <c r="AC236" t="s">
        <v>128</v>
      </c>
      <c r="AD236">
        <v>1</v>
      </c>
      <c r="AE236">
        <v>1</v>
      </c>
      <c r="AF236">
        <v>1</v>
      </c>
      <c r="AG236">
        <v>2.4630000000000001</v>
      </c>
      <c r="AH236">
        <v>0.317</v>
      </c>
      <c r="AI236">
        <v>0.877</v>
      </c>
      <c r="AJ236">
        <v>1.2449889999999999</v>
      </c>
      <c r="AL236">
        <f t="shared" si="36"/>
        <v>1.2449889999999999</v>
      </c>
      <c r="AM236">
        <f>VLOOKUP(TRIM(N236),'[1]All - Durations'!$E$2:$H$109,4,FALSE)</f>
        <v>1.1259999999999999</v>
      </c>
      <c r="AN236">
        <f t="shared" si="37"/>
        <v>0.11898900000000001</v>
      </c>
      <c r="AO236">
        <f t="shared" si="38"/>
        <v>0.11898900000000001</v>
      </c>
    </row>
    <row r="237" spans="1:41" x14ac:dyDescent="0.25">
      <c r="A237">
        <v>259</v>
      </c>
      <c r="B237" t="s">
        <v>35</v>
      </c>
      <c r="C237">
        <v>3</v>
      </c>
      <c r="D237" t="s">
        <v>36</v>
      </c>
      <c r="E237">
        <v>2</v>
      </c>
      <c r="F237" t="s">
        <v>37</v>
      </c>
      <c r="G237">
        <v>4</v>
      </c>
      <c r="H237">
        <v>7</v>
      </c>
      <c r="I237">
        <v>1</v>
      </c>
      <c r="J237">
        <v>20</v>
      </c>
      <c r="K237">
        <v>13</v>
      </c>
      <c r="L237">
        <v>71</v>
      </c>
      <c r="M237">
        <v>2</v>
      </c>
      <c r="N237" t="s">
        <v>143</v>
      </c>
      <c r="O237" t="s">
        <v>113</v>
      </c>
      <c r="P237" t="s">
        <v>114</v>
      </c>
      <c r="Q237" t="s">
        <v>115</v>
      </c>
      <c r="R237" t="s">
        <v>114</v>
      </c>
      <c r="S237" t="s">
        <v>59</v>
      </c>
      <c r="T237" t="s">
        <v>46</v>
      </c>
      <c r="U237">
        <v>4</v>
      </c>
      <c r="V237" t="s">
        <v>104</v>
      </c>
      <c r="W237" t="s">
        <v>62</v>
      </c>
      <c r="X237" t="s">
        <v>54</v>
      </c>
      <c r="Y237">
        <v>1</v>
      </c>
      <c r="Z237">
        <v>2</v>
      </c>
      <c r="AA237">
        <v>44.1</v>
      </c>
      <c r="AB237">
        <v>3.2000000000000001E-2</v>
      </c>
      <c r="AC237" t="s">
        <v>104</v>
      </c>
      <c r="AD237">
        <v>2</v>
      </c>
      <c r="AE237">
        <v>5</v>
      </c>
      <c r="AF237">
        <v>0</v>
      </c>
      <c r="AG237">
        <v>1.028</v>
      </c>
      <c r="AH237">
        <v>0.217</v>
      </c>
      <c r="AI237">
        <v>0.03</v>
      </c>
      <c r="AJ237">
        <v>1.0149889999999999</v>
      </c>
      <c r="AL237">
        <f t="shared" si="36"/>
        <v>1.0149889999999999</v>
      </c>
      <c r="AM237">
        <f>VLOOKUP(TRIM(N237),'[1]All - Durations'!$E$2:$H$109,4,FALSE)</f>
        <v>0.82799999999999996</v>
      </c>
      <c r="AN237">
        <f t="shared" si="37"/>
        <v>0.18698899999999996</v>
      </c>
      <c r="AO237">
        <f t="shared" si="38"/>
        <v>0.18698899999999996</v>
      </c>
    </row>
    <row r="238" spans="1:41" x14ac:dyDescent="0.25">
      <c r="A238">
        <v>259</v>
      </c>
      <c r="B238" t="s">
        <v>35</v>
      </c>
      <c r="C238">
        <v>3</v>
      </c>
      <c r="D238" t="s">
        <v>36</v>
      </c>
      <c r="E238">
        <v>2</v>
      </c>
      <c r="F238" t="s">
        <v>37</v>
      </c>
      <c r="G238">
        <v>4</v>
      </c>
      <c r="H238">
        <v>7</v>
      </c>
      <c r="I238">
        <v>1</v>
      </c>
      <c r="J238">
        <v>21</v>
      </c>
      <c r="K238">
        <v>24</v>
      </c>
      <c r="L238">
        <v>68</v>
      </c>
      <c r="M238">
        <v>2</v>
      </c>
      <c r="N238" t="s">
        <v>135</v>
      </c>
      <c r="O238" t="s">
        <v>113</v>
      </c>
      <c r="P238" t="s">
        <v>114</v>
      </c>
      <c r="Q238" t="s">
        <v>136</v>
      </c>
      <c r="R238" t="s">
        <v>114</v>
      </c>
      <c r="S238" t="s">
        <v>52</v>
      </c>
      <c r="T238" t="s">
        <v>74</v>
      </c>
      <c r="U238">
        <v>2</v>
      </c>
      <c r="V238" t="s">
        <v>137</v>
      </c>
      <c r="W238" t="s">
        <v>108</v>
      </c>
      <c r="X238" t="s">
        <v>73</v>
      </c>
      <c r="Y238">
        <v>1</v>
      </c>
      <c r="Z238">
        <v>2</v>
      </c>
      <c r="AA238">
        <v>44.1</v>
      </c>
      <c r="AB238">
        <v>1.284</v>
      </c>
      <c r="AC238" t="s">
        <v>74</v>
      </c>
      <c r="AD238">
        <v>1</v>
      </c>
      <c r="AE238">
        <v>2</v>
      </c>
      <c r="AF238">
        <v>1</v>
      </c>
      <c r="AG238">
        <v>2.0339999999999998</v>
      </c>
      <c r="AH238">
        <v>0.65100000000000002</v>
      </c>
      <c r="AI238">
        <v>1.282</v>
      </c>
      <c r="AJ238">
        <v>1.2749889999999999</v>
      </c>
      <c r="AL238">
        <f t="shared" si="36"/>
        <v>1.2749889999999999</v>
      </c>
      <c r="AM238">
        <f>VLOOKUP(TRIM(N238),'[1]All - Durations'!$E$2:$H$109,4,FALSE)</f>
        <v>1.0209999999999999</v>
      </c>
      <c r="AN238">
        <f t="shared" si="37"/>
        <v>0.25398900000000002</v>
      </c>
      <c r="AO238">
        <f t="shared" si="38"/>
        <v>0.25398900000000002</v>
      </c>
    </row>
    <row r="239" spans="1:41" x14ac:dyDescent="0.25">
      <c r="A239">
        <v>259</v>
      </c>
      <c r="B239" t="s">
        <v>35</v>
      </c>
      <c r="C239">
        <v>3</v>
      </c>
      <c r="D239" t="s">
        <v>36</v>
      </c>
      <c r="E239">
        <v>2</v>
      </c>
      <c r="F239" t="s">
        <v>37</v>
      </c>
      <c r="G239">
        <v>4</v>
      </c>
      <c r="H239">
        <v>7</v>
      </c>
      <c r="I239">
        <v>1</v>
      </c>
      <c r="J239">
        <v>22</v>
      </c>
      <c r="K239">
        <v>22</v>
      </c>
      <c r="L239">
        <v>28</v>
      </c>
      <c r="M239">
        <v>1</v>
      </c>
      <c r="N239" t="s">
        <v>117</v>
      </c>
      <c r="O239" t="s">
        <v>113</v>
      </c>
      <c r="P239" t="s">
        <v>114</v>
      </c>
      <c r="Q239" t="s">
        <v>118</v>
      </c>
      <c r="R239" t="s">
        <v>114</v>
      </c>
      <c r="S239" t="s">
        <v>52</v>
      </c>
      <c r="T239" t="s">
        <v>119</v>
      </c>
      <c r="U239">
        <v>5</v>
      </c>
      <c r="V239" t="s">
        <v>120</v>
      </c>
      <c r="W239" t="s">
        <v>45</v>
      </c>
      <c r="X239" t="s">
        <v>110</v>
      </c>
      <c r="Y239">
        <v>1</v>
      </c>
      <c r="Z239">
        <v>2</v>
      </c>
      <c r="AA239">
        <v>44.1</v>
      </c>
      <c r="AB239">
        <v>1.1040000000000001</v>
      </c>
      <c r="AC239" t="s">
        <v>120</v>
      </c>
      <c r="AD239">
        <v>2</v>
      </c>
      <c r="AE239">
        <v>4</v>
      </c>
      <c r="AF239">
        <v>0</v>
      </c>
      <c r="AG239">
        <v>1.893</v>
      </c>
      <c r="AH239">
        <v>0.317</v>
      </c>
      <c r="AI239">
        <v>1.091</v>
      </c>
      <c r="AJ239">
        <v>1.084989</v>
      </c>
      <c r="AL239">
        <f t="shared" si="36"/>
        <v>1.084989</v>
      </c>
      <c r="AM239">
        <f>VLOOKUP(TRIM(N239),'[1]All - Durations'!$E$2:$H$109,4,FALSE)</f>
        <v>0.97</v>
      </c>
      <c r="AN239">
        <f t="shared" si="37"/>
        <v>0.11498900000000001</v>
      </c>
      <c r="AO239">
        <f t="shared" si="38"/>
        <v>0.11498900000000001</v>
      </c>
    </row>
    <row r="240" spans="1:41" x14ac:dyDescent="0.25">
      <c r="A240">
        <v>259</v>
      </c>
      <c r="B240" t="s">
        <v>35</v>
      </c>
      <c r="C240">
        <v>3</v>
      </c>
      <c r="D240" t="s">
        <v>36</v>
      </c>
      <c r="E240">
        <v>2</v>
      </c>
      <c r="F240" t="s">
        <v>37</v>
      </c>
      <c r="G240">
        <v>4</v>
      </c>
      <c r="H240">
        <v>7</v>
      </c>
      <c r="I240">
        <v>1</v>
      </c>
      <c r="J240">
        <v>23</v>
      </c>
      <c r="K240">
        <v>14</v>
      </c>
      <c r="L240">
        <v>72</v>
      </c>
      <c r="M240">
        <v>2</v>
      </c>
      <c r="N240" t="s">
        <v>112</v>
      </c>
      <c r="O240" t="s">
        <v>113</v>
      </c>
      <c r="P240" t="s">
        <v>114</v>
      </c>
      <c r="Q240" t="s">
        <v>115</v>
      </c>
      <c r="R240" t="s">
        <v>114</v>
      </c>
      <c r="S240" t="s">
        <v>43</v>
      </c>
      <c r="T240" t="s">
        <v>104</v>
      </c>
      <c r="U240">
        <v>2</v>
      </c>
      <c r="V240" t="s">
        <v>116</v>
      </c>
      <c r="W240" t="s">
        <v>183</v>
      </c>
      <c r="X240" t="s">
        <v>93</v>
      </c>
      <c r="Y240">
        <v>2</v>
      </c>
      <c r="Z240">
        <v>2</v>
      </c>
      <c r="AA240">
        <v>44.1</v>
      </c>
      <c r="AB240">
        <v>1.232</v>
      </c>
      <c r="AC240" t="s">
        <v>104</v>
      </c>
      <c r="AD240">
        <v>1</v>
      </c>
      <c r="AE240">
        <v>2</v>
      </c>
      <c r="AF240">
        <v>1</v>
      </c>
      <c r="AG240">
        <v>2.2469999999999999</v>
      </c>
      <c r="AH240">
        <v>0.25</v>
      </c>
      <c r="AI240">
        <v>1.22</v>
      </c>
      <c r="AJ240">
        <v>1.2149890000000001</v>
      </c>
      <c r="AL240">
        <f t="shared" si="36"/>
        <v>1.2149890000000001</v>
      </c>
      <c r="AM240">
        <f>VLOOKUP(TRIM(N240),'[1]All - Durations'!$E$2:$H$109,4,FALSE)</f>
        <v>0.94499999999999995</v>
      </c>
      <c r="AN240">
        <f t="shared" si="37"/>
        <v>0.26998900000000015</v>
      </c>
      <c r="AO240">
        <f t="shared" si="38"/>
        <v>0.26998900000000015</v>
      </c>
    </row>
    <row r="241" spans="1:41" x14ac:dyDescent="0.25">
      <c r="A241">
        <v>259</v>
      </c>
      <c r="B241" t="s">
        <v>35</v>
      </c>
      <c r="C241">
        <v>3</v>
      </c>
      <c r="D241" t="s">
        <v>36</v>
      </c>
      <c r="E241">
        <v>2</v>
      </c>
      <c r="F241" t="s">
        <v>37</v>
      </c>
      <c r="G241">
        <v>4</v>
      </c>
      <c r="H241">
        <v>7</v>
      </c>
      <c r="I241">
        <v>1</v>
      </c>
      <c r="J241">
        <v>24</v>
      </c>
      <c r="K241">
        <v>20</v>
      </c>
      <c r="L241">
        <v>64</v>
      </c>
      <c r="M241">
        <v>2</v>
      </c>
      <c r="N241" t="s">
        <v>133</v>
      </c>
      <c r="O241" t="s">
        <v>113</v>
      </c>
      <c r="P241" t="s">
        <v>114</v>
      </c>
      <c r="Q241" t="s">
        <v>134</v>
      </c>
      <c r="R241" t="s">
        <v>114</v>
      </c>
      <c r="S241" t="s">
        <v>43</v>
      </c>
      <c r="T241" t="s">
        <v>100</v>
      </c>
      <c r="U241">
        <v>1</v>
      </c>
      <c r="V241" t="s">
        <v>107</v>
      </c>
      <c r="W241" t="s">
        <v>98</v>
      </c>
      <c r="X241" t="s">
        <v>139</v>
      </c>
      <c r="Y241">
        <v>2</v>
      </c>
      <c r="Z241">
        <v>2</v>
      </c>
      <c r="AA241">
        <v>44.1</v>
      </c>
      <c r="AB241">
        <v>0.99</v>
      </c>
      <c r="AC241" t="s">
        <v>100</v>
      </c>
      <c r="AD241">
        <v>1</v>
      </c>
      <c r="AE241">
        <v>1</v>
      </c>
      <c r="AF241">
        <v>1</v>
      </c>
      <c r="AG241">
        <v>0.71</v>
      </c>
      <c r="AH241">
        <v>0.38400000000000001</v>
      </c>
      <c r="AI241">
        <v>0.98199999999999998</v>
      </c>
      <c r="AJ241">
        <v>1.064989</v>
      </c>
      <c r="AL241">
        <f t="shared" si="36"/>
        <v>1.064989</v>
      </c>
      <c r="AM241">
        <f>VLOOKUP(TRIM(N241),'[1]All - Durations'!$E$2:$H$109,4,FALSE)</f>
        <v>0.80200000000000005</v>
      </c>
      <c r="AN241">
        <f t="shared" si="37"/>
        <v>0.26298899999999992</v>
      </c>
      <c r="AO241">
        <f t="shared" si="38"/>
        <v>0.26298899999999992</v>
      </c>
    </row>
    <row r="242" spans="1:41" x14ac:dyDescent="0.25">
      <c r="A242">
        <v>259</v>
      </c>
      <c r="B242" t="s">
        <v>35</v>
      </c>
      <c r="C242">
        <v>3</v>
      </c>
      <c r="D242" t="s">
        <v>36</v>
      </c>
      <c r="E242">
        <v>2</v>
      </c>
      <c r="F242" t="s">
        <v>37</v>
      </c>
      <c r="G242">
        <v>4</v>
      </c>
      <c r="H242">
        <v>7</v>
      </c>
      <c r="I242">
        <v>1</v>
      </c>
      <c r="J242">
        <v>25</v>
      </c>
      <c r="K242">
        <v>31</v>
      </c>
      <c r="L242">
        <v>51</v>
      </c>
      <c r="M242">
        <v>2</v>
      </c>
      <c r="N242" t="s">
        <v>176</v>
      </c>
      <c r="O242" t="s">
        <v>151</v>
      </c>
      <c r="P242" t="s">
        <v>177</v>
      </c>
      <c r="Q242" t="s">
        <v>178</v>
      </c>
      <c r="R242" t="s">
        <v>170</v>
      </c>
      <c r="S242" t="s">
        <v>59</v>
      </c>
      <c r="T242" t="s">
        <v>139</v>
      </c>
      <c r="U242">
        <v>4</v>
      </c>
      <c r="V242" t="s">
        <v>108</v>
      </c>
      <c r="W242" t="s">
        <v>120</v>
      </c>
      <c r="X242" t="s">
        <v>172</v>
      </c>
      <c r="Y242">
        <v>1</v>
      </c>
      <c r="Z242">
        <v>2</v>
      </c>
      <c r="AA242">
        <v>44.1</v>
      </c>
      <c r="AB242">
        <v>1.079</v>
      </c>
      <c r="AC242" t="s">
        <v>139</v>
      </c>
      <c r="AD242">
        <v>1</v>
      </c>
      <c r="AE242">
        <v>4</v>
      </c>
      <c r="AF242">
        <v>1</v>
      </c>
      <c r="AG242">
        <v>1.21</v>
      </c>
      <c r="AH242">
        <v>0.28399999999999997</v>
      </c>
      <c r="AI242">
        <v>1.075</v>
      </c>
      <c r="AJ242">
        <v>1.064989</v>
      </c>
      <c r="AL242">
        <f t="shared" si="36"/>
        <v>1.064989</v>
      </c>
      <c r="AM242">
        <f>VLOOKUP(TRIM(N242),'[1]All - Durations'!$E$2:$H$109,4,FALSE)</f>
        <v>0.879</v>
      </c>
      <c r="AN242">
        <f t="shared" si="37"/>
        <v>0.18598899999999996</v>
      </c>
      <c r="AO242">
        <f t="shared" si="38"/>
        <v>0.18598899999999996</v>
      </c>
    </row>
    <row r="243" spans="1:41" x14ac:dyDescent="0.25">
      <c r="A243">
        <v>259</v>
      </c>
      <c r="B243" t="s">
        <v>35</v>
      </c>
      <c r="C243">
        <v>3</v>
      </c>
      <c r="D243" t="s">
        <v>36</v>
      </c>
      <c r="E243">
        <v>2</v>
      </c>
      <c r="F243" t="s">
        <v>37</v>
      </c>
      <c r="G243">
        <v>4</v>
      </c>
      <c r="H243">
        <v>7</v>
      </c>
      <c r="I243">
        <v>1</v>
      </c>
      <c r="J243">
        <v>26</v>
      </c>
      <c r="K243">
        <v>33</v>
      </c>
      <c r="L243">
        <v>15</v>
      </c>
      <c r="M243">
        <v>1</v>
      </c>
      <c r="N243" t="s">
        <v>150</v>
      </c>
      <c r="O243" t="s">
        <v>151</v>
      </c>
      <c r="P243" t="s">
        <v>152</v>
      </c>
      <c r="Q243" t="s">
        <v>153</v>
      </c>
      <c r="R243" t="s">
        <v>154</v>
      </c>
      <c r="S243" t="s">
        <v>92</v>
      </c>
      <c r="T243" t="s">
        <v>155</v>
      </c>
      <c r="U243">
        <v>1</v>
      </c>
      <c r="V243" t="s">
        <v>141</v>
      </c>
      <c r="W243" t="s">
        <v>53</v>
      </c>
      <c r="X243" t="s">
        <v>74</v>
      </c>
      <c r="Y243">
        <v>2</v>
      </c>
      <c r="Z243">
        <v>2</v>
      </c>
      <c r="AA243">
        <v>44.1</v>
      </c>
      <c r="AB243">
        <v>1.0129999999999999</v>
      </c>
      <c r="AC243" t="s">
        <v>53</v>
      </c>
      <c r="AD243">
        <v>4</v>
      </c>
      <c r="AE243">
        <v>4</v>
      </c>
      <c r="AF243">
        <v>0</v>
      </c>
      <c r="AG243">
        <v>2.891</v>
      </c>
      <c r="AH243">
        <v>0.55000000000000004</v>
      </c>
      <c r="AI243">
        <v>1.0189999999999999</v>
      </c>
      <c r="AJ243">
        <v>1.1749890000000001</v>
      </c>
      <c r="AL243">
        <f t="shared" si="36"/>
        <v>1.1749890000000001</v>
      </c>
      <c r="AM243">
        <f>VLOOKUP(TRIM(N243),'[1]All - Durations'!$E$2:$H$109,4,FALSE)</f>
        <v>0.94299999999999995</v>
      </c>
      <c r="AN243">
        <f t="shared" si="37"/>
        <v>0.23198900000000011</v>
      </c>
      <c r="AO243">
        <f t="shared" si="38"/>
        <v>0.23198900000000011</v>
      </c>
    </row>
    <row r="244" spans="1:41" x14ac:dyDescent="0.25">
      <c r="A244">
        <v>259</v>
      </c>
      <c r="B244" t="s">
        <v>35</v>
      </c>
      <c r="C244">
        <v>3</v>
      </c>
      <c r="D244" t="s">
        <v>36</v>
      </c>
      <c r="E244">
        <v>2</v>
      </c>
      <c r="F244" t="s">
        <v>37</v>
      </c>
      <c r="G244">
        <v>4</v>
      </c>
      <c r="H244">
        <v>7</v>
      </c>
      <c r="I244">
        <v>1</v>
      </c>
      <c r="J244">
        <v>27</v>
      </c>
      <c r="K244">
        <v>25</v>
      </c>
      <c r="L244">
        <v>59</v>
      </c>
      <c r="M244">
        <v>2</v>
      </c>
      <c r="N244" t="s">
        <v>171</v>
      </c>
      <c r="O244" t="s">
        <v>151</v>
      </c>
      <c r="P244" t="s">
        <v>158</v>
      </c>
      <c r="Q244" t="s">
        <v>159</v>
      </c>
      <c r="R244" t="s">
        <v>170</v>
      </c>
      <c r="S244" t="s">
        <v>59</v>
      </c>
      <c r="T244" t="s">
        <v>103</v>
      </c>
      <c r="U244">
        <v>1</v>
      </c>
      <c r="V244" t="s">
        <v>161</v>
      </c>
      <c r="W244" t="s">
        <v>106</v>
      </c>
      <c r="X244" t="s">
        <v>61</v>
      </c>
      <c r="Y244">
        <v>1</v>
      </c>
      <c r="Z244">
        <v>2</v>
      </c>
      <c r="AA244">
        <v>44.1</v>
      </c>
      <c r="AB244">
        <v>6.0999999999999999E-2</v>
      </c>
      <c r="AC244" t="s">
        <v>103</v>
      </c>
      <c r="AD244">
        <v>1</v>
      </c>
      <c r="AE244">
        <v>1</v>
      </c>
      <c r="AF244">
        <v>1</v>
      </c>
      <c r="AG244">
        <v>0.65500000000000003</v>
      </c>
      <c r="AH244">
        <v>0.41699999999999998</v>
      </c>
      <c r="AI244">
        <v>6.6000000000000003E-2</v>
      </c>
      <c r="AJ244">
        <v>1.074989</v>
      </c>
      <c r="AL244">
        <f t="shared" si="36"/>
        <v>1.074989</v>
      </c>
      <c r="AM244">
        <f>VLOOKUP(TRIM(N244),'[1]All - Durations'!$E$2:$H$109,4,FALSE)</f>
        <v>0.92300000000000004</v>
      </c>
      <c r="AN244">
        <f t="shared" si="37"/>
        <v>0.15198899999999993</v>
      </c>
      <c r="AO244">
        <f t="shared" si="38"/>
        <v>0.15198899999999993</v>
      </c>
    </row>
    <row r="245" spans="1:41" x14ac:dyDescent="0.25">
      <c r="A245">
        <v>259</v>
      </c>
      <c r="B245" t="s">
        <v>35</v>
      </c>
      <c r="C245">
        <v>3</v>
      </c>
      <c r="D245" t="s">
        <v>36</v>
      </c>
      <c r="E245">
        <v>2</v>
      </c>
      <c r="F245" t="s">
        <v>37</v>
      </c>
      <c r="G245">
        <v>4</v>
      </c>
      <c r="H245">
        <v>7</v>
      </c>
      <c r="I245">
        <v>1</v>
      </c>
      <c r="J245">
        <v>28</v>
      </c>
      <c r="K245">
        <v>32</v>
      </c>
      <c r="L245">
        <v>52</v>
      </c>
      <c r="M245">
        <v>2</v>
      </c>
      <c r="N245" t="s">
        <v>188</v>
      </c>
      <c r="O245" t="s">
        <v>151</v>
      </c>
      <c r="P245" t="s">
        <v>177</v>
      </c>
      <c r="Q245" t="s">
        <v>178</v>
      </c>
      <c r="R245" t="s">
        <v>160</v>
      </c>
      <c r="S245" t="s">
        <v>43</v>
      </c>
      <c r="T245" t="s">
        <v>108</v>
      </c>
      <c r="U245">
        <v>4</v>
      </c>
      <c r="V245" t="s">
        <v>55</v>
      </c>
      <c r="W245" t="s">
        <v>56</v>
      </c>
      <c r="X245" t="s">
        <v>149</v>
      </c>
      <c r="Y245">
        <v>2</v>
      </c>
      <c r="Z245">
        <v>2</v>
      </c>
      <c r="AA245">
        <v>44.1</v>
      </c>
      <c r="AB245">
        <v>1.028</v>
      </c>
      <c r="AC245" t="s">
        <v>108</v>
      </c>
      <c r="AD245">
        <v>1</v>
      </c>
      <c r="AE245">
        <v>4</v>
      </c>
      <c r="AF245">
        <v>1</v>
      </c>
      <c r="AG245">
        <v>0.74299999999999999</v>
      </c>
      <c r="AH245">
        <v>0.183</v>
      </c>
      <c r="AI245">
        <v>1.022</v>
      </c>
      <c r="AJ245">
        <v>1.0149889999999999</v>
      </c>
      <c r="AL245">
        <f t="shared" si="36"/>
        <v>1.0149889999999999</v>
      </c>
      <c r="AM245">
        <f>VLOOKUP(TRIM(N245),'[1]All - Durations'!$E$2:$H$109,4,FALSE)</f>
        <v>0.90400000000000003</v>
      </c>
      <c r="AN245">
        <f t="shared" si="37"/>
        <v>0.11098899999999989</v>
      </c>
      <c r="AO245">
        <f t="shared" si="38"/>
        <v>0.11098899999999989</v>
      </c>
    </row>
    <row r="246" spans="1:41" x14ac:dyDescent="0.25">
      <c r="A246">
        <v>259</v>
      </c>
      <c r="B246" t="s">
        <v>35</v>
      </c>
      <c r="C246">
        <v>3</v>
      </c>
      <c r="D246" t="s">
        <v>36</v>
      </c>
      <c r="E246">
        <v>2</v>
      </c>
      <c r="F246" t="s">
        <v>37</v>
      </c>
      <c r="G246">
        <v>4</v>
      </c>
      <c r="H246">
        <v>7</v>
      </c>
      <c r="I246">
        <v>1</v>
      </c>
      <c r="J246">
        <v>29</v>
      </c>
      <c r="K246">
        <v>27</v>
      </c>
      <c r="L246">
        <v>13</v>
      </c>
      <c r="M246">
        <v>1</v>
      </c>
      <c r="N246" t="s">
        <v>167</v>
      </c>
      <c r="O246" t="s">
        <v>151</v>
      </c>
      <c r="P246" t="s">
        <v>168</v>
      </c>
      <c r="Q246" t="s">
        <v>169</v>
      </c>
      <c r="R246" t="s">
        <v>170</v>
      </c>
      <c r="S246" t="s">
        <v>59</v>
      </c>
      <c r="T246" t="s">
        <v>96</v>
      </c>
      <c r="U246">
        <v>4</v>
      </c>
      <c r="V246" t="s">
        <v>103</v>
      </c>
      <c r="W246" t="s">
        <v>111</v>
      </c>
      <c r="X246" t="s">
        <v>67</v>
      </c>
      <c r="Y246">
        <v>2</v>
      </c>
      <c r="Z246">
        <v>2</v>
      </c>
      <c r="AA246">
        <v>44.1</v>
      </c>
      <c r="AB246">
        <v>0.88300000000000001</v>
      </c>
      <c r="AC246" t="s">
        <v>96</v>
      </c>
      <c r="AD246">
        <v>1</v>
      </c>
      <c r="AE246">
        <v>4</v>
      </c>
      <c r="AF246">
        <v>1</v>
      </c>
      <c r="AG246">
        <v>1.923</v>
      </c>
      <c r="AH246">
        <v>0.2</v>
      </c>
      <c r="AI246">
        <v>0.88200000000000001</v>
      </c>
      <c r="AJ246">
        <v>1.154989</v>
      </c>
      <c r="AL246">
        <f t="shared" si="36"/>
        <v>1.154989</v>
      </c>
      <c r="AM246">
        <f>VLOOKUP(TRIM(N246),'[1]All - Durations'!$E$2:$H$109,4,FALSE)</f>
        <v>0.97399999999999998</v>
      </c>
      <c r="AN246">
        <f t="shared" si="37"/>
        <v>0.18098900000000007</v>
      </c>
      <c r="AO246">
        <f t="shared" si="38"/>
        <v>0.18098900000000007</v>
      </c>
    </row>
    <row r="247" spans="1:41" x14ac:dyDescent="0.25">
      <c r="A247">
        <v>259</v>
      </c>
      <c r="B247" t="s">
        <v>35</v>
      </c>
      <c r="C247">
        <v>3</v>
      </c>
      <c r="D247" t="s">
        <v>36</v>
      </c>
      <c r="E247">
        <v>2</v>
      </c>
      <c r="F247" t="s">
        <v>37</v>
      </c>
      <c r="G247">
        <v>4</v>
      </c>
      <c r="H247">
        <v>7</v>
      </c>
      <c r="I247">
        <v>1</v>
      </c>
      <c r="J247">
        <v>30</v>
      </c>
      <c r="K247">
        <v>36</v>
      </c>
      <c r="L247">
        <v>56</v>
      </c>
      <c r="M247">
        <v>2</v>
      </c>
      <c r="N247" t="s">
        <v>175</v>
      </c>
      <c r="O247" t="s">
        <v>151</v>
      </c>
      <c r="P247" t="s">
        <v>164</v>
      </c>
      <c r="Q247" t="s">
        <v>165</v>
      </c>
      <c r="R247" t="s">
        <v>174</v>
      </c>
      <c r="S247" t="s">
        <v>52</v>
      </c>
      <c r="T247" t="s">
        <v>166</v>
      </c>
      <c r="U247">
        <v>1</v>
      </c>
      <c r="V247" t="s">
        <v>132</v>
      </c>
      <c r="W247" t="s">
        <v>45</v>
      </c>
      <c r="X247" t="s">
        <v>116</v>
      </c>
      <c r="Y247">
        <v>2</v>
      </c>
      <c r="Z247">
        <v>2</v>
      </c>
      <c r="AA247">
        <v>44.1</v>
      </c>
      <c r="AB247">
        <v>1.0109999999999999</v>
      </c>
      <c r="AC247" t="s">
        <v>132</v>
      </c>
      <c r="AD247">
        <v>3</v>
      </c>
      <c r="AE247">
        <v>5</v>
      </c>
      <c r="AF247">
        <v>0</v>
      </c>
      <c r="AG247">
        <v>0.89300000000000002</v>
      </c>
      <c r="AH247">
        <v>0.217</v>
      </c>
      <c r="AI247">
        <v>1.006</v>
      </c>
      <c r="AJ247">
        <v>1.0049889999999999</v>
      </c>
      <c r="AL247">
        <f t="shared" si="36"/>
        <v>1.0049889999999999</v>
      </c>
      <c r="AM247">
        <f>VLOOKUP(TRIM(N247),'[1]All - Durations'!$E$2:$H$109,4,FALSE)</f>
        <v>0.97099999999999997</v>
      </c>
      <c r="AN247">
        <f t="shared" si="37"/>
        <v>3.3988999999999936E-2</v>
      </c>
      <c r="AO247">
        <f t="shared" si="38"/>
        <v>3.3988999999999936E-2</v>
      </c>
    </row>
    <row r="248" spans="1:41" x14ac:dyDescent="0.25">
      <c r="A248">
        <v>259</v>
      </c>
      <c r="B248" t="s">
        <v>35</v>
      </c>
      <c r="C248">
        <v>3</v>
      </c>
      <c r="D248" t="s">
        <v>36</v>
      </c>
      <c r="E248">
        <v>2</v>
      </c>
      <c r="F248" t="s">
        <v>37</v>
      </c>
      <c r="G248">
        <v>4</v>
      </c>
      <c r="H248">
        <v>7</v>
      </c>
      <c r="I248">
        <v>1</v>
      </c>
      <c r="J248">
        <v>31</v>
      </c>
      <c r="K248">
        <v>26</v>
      </c>
      <c r="L248">
        <v>60</v>
      </c>
      <c r="M248">
        <v>2</v>
      </c>
      <c r="N248" t="s">
        <v>157</v>
      </c>
      <c r="O248" t="s">
        <v>151</v>
      </c>
      <c r="P248" t="s">
        <v>158</v>
      </c>
      <c r="Q248" t="s">
        <v>159</v>
      </c>
      <c r="R248" t="s">
        <v>160</v>
      </c>
      <c r="S248" t="s">
        <v>43</v>
      </c>
      <c r="T248" t="s">
        <v>161</v>
      </c>
      <c r="U248">
        <v>4</v>
      </c>
      <c r="V248" t="s">
        <v>121</v>
      </c>
      <c r="W248" t="s">
        <v>98</v>
      </c>
      <c r="X248" t="s">
        <v>130</v>
      </c>
      <c r="Y248">
        <v>2</v>
      </c>
      <c r="Z248">
        <v>2</v>
      </c>
      <c r="AA248">
        <v>44.1</v>
      </c>
      <c r="AB248">
        <v>1.234</v>
      </c>
      <c r="AC248" t="s">
        <v>161</v>
      </c>
      <c r="AD248">
        <v>1</v>
      </c>
      <c r="AE248">
        <v>4</v>
      </c>
      <c r="AF248">
        <v>1</v>
      </c>
      <c r="AG248">
        <v>0.497</v>
      </c>
      <c r="AH248">
        <v>0.28399999999999997</v>
      </c>
      <c r="AI248">
        <v>1.23</v>
      </c>
      <c r="AJ248">
        <v>1.2249890000000001</v>
      </c>
      <c r="AL248">
        <f t="shared" si="36"/>
        <v>1.2249890000000001</v>
      </c>
      <c r="AM248">
        <f>VLOOKUP(TRIM(N248),'[1]All - Durations'!$E$2:$H$109,4,FALSE)</f>
        <v>1.0549999999999999</v>
      </c>
      <c r="AN248">
        <f t="shared" si="37"/>
        <v>0.16998900000000017</v>
      </c>
      <c r="AO248">
        <f t="shared" si="38"/>
        <v>0.16998900000000017</v>
      </c>
    </row>
    <row r="249" spans="1:41" x14ac:dyDescent="0.25">
      <c r="A249">
        <v>259</v>
      </c>
      <c r="B249" t="s">
        <v>35</v>
      </c>
      <c r="C249">
        <v>3</v>
      </c>
      <c r="D249" t="s">
        <v>36</v>
      </c>
      <c r="E249">
        <v>2</v>
      </c>
      <c r="F249" t="s">
        <v>37</v>
      </c>
      <c r="G249">
        <v>4</v>
      </c>
      <c r="H249">
        <v>7</v>
      </c>
      <c r="I249">
        <v>1</v>
      </c>
      <c r="J249">
        <v>32</v>
      </c>
      <c r="K249">
        <v>29</v>
      </c>
      <c r="L249">
        <v>49</v>
      </c>
      <c r="M249">
        <v>2</v>
      </c>
      <c r="N249" t="s">
        <v>180</v>
      </c>
      <c r="O249" t="s">
        <v>151</v>
      </c>
      <c r="P249" t="s">
        <v>181</v>
      </c>
      <c r="Q249" t="s">
        <v>182</v>
      </c>
      <c r="R249" t="s">
        <v>154</v>
      </c>
      <c r="S249" t="s">
        <v>92</v>
      </c>
      <c r="T249" t="s">
        <v>183</v>
      </c>
      <c r="U249">
        <v>2</v>
      </c>
      <c r="V249" t="s">
        <v>86</v>
      </c>
      <c r="W249" t="s">
        <v>128</v>
      </c>
      <c r="X249" t="s">
        <v>144</v>
      </c>
      <c r="Y249">
        <v>2</v>
      </c>
      <c r="Z249">
        <v>2</v>
      </c>
      <c r="AA249">
        <v>44.1</v>
      </c>
      <c r="AB249">
        <v>0.79800000000000004</v>
      </c>
      <c r="AC249" t="s">
        <v>144</v>
      </c>
      <c r="AD249">
        <v>4</v>
      </c>
      <c r="AE249">
        <v>1</v>
      </c>
      <c r="AF249">
        <v>0</v>
      </c>
      <c r="AG249">
        <v>1.603</v>
      </c>
      <c r="AH249">
        <v>0.25</v>
      </c>
      <c r="AI249">
        <v>0.79500000000000004</v>
      </c>
      <c r="AJ249">
        <v>1.074989</v>
      </c>
      <c r="AL249">
        <f t="shared" si="36"/>
        <v>1.074989</v>
      </c>
      <c r="AM249">
        <f>VLOOKUP(TRIM(N249),'[1]All - Durations'!$E$2:$H$109,4,FALSE)</f>
        <v>0.81799999999999995</v>
      </c>
      <c r="AN249">
        <f t="shared" si="37"/>
        <v>0.25698900000000002</v>
      </c>
      <c r="AO249">
        <f t="shared" si="38"/>
        <v>0.25698900000000002</v>
      </c>
    </row>
    <row r="250" spans="1:41" x14ac:dyDescent="0.25">
      <c r="A250">
        <v>259</v>
      </c>
      <c r="B250" t="s">
        <v>35</v>
      </c>
      <c r="C250">
        <v>3</v>
      </c>
      <c r="D250" t="s">
        <v>36</v>
      </c>
      <c r="E250">
        <v>2</v>
      </c>
      <c r="F250" t="s">
        <v>37</v>
      </c>
      <c r="G250">
        <v>4</v>
      </c>
      <c r="H250">
        <v>7</v>
      </c>
      <c r="I250">
        <v>1</v>
      </c>
      <c r="J250">
        <v>33</v>
      </c>
      <c r="K250">
        <v>28</v>
      </c>
      <c r="L250">
        <v>14</v>
      </c>
      <c r="M250">
        <v>1</v>
      </c>
      <c r="N250" t="s">
        <v>184</v>
      </c>
      <c r="O250" t="s">
        <v>151</v>
      </c>
      <c r="P250" t="s">
        <v>168</v>
      </c>
      <c r="Q250" t="s">
        <v>169</v>
      </c>
      <c r="R250" t="s">
        <v>154</v>
      </c>
      <c r="S250" t="s">
        <v>92</v>
      </c>
      <c r="T250" t="s">
        <v>141</v>
      </c>
      <c r="U250">
        <v>1</v>
      </c>
      <c r="V250" t="s">
        <v>96</v>
      </c>
      <c r="W250" t="s">
        <v>102</v>
      </c>
      <c r="X250" t="s">
        <v>107</v>
      </c>
      <c r="Y250">
        <v>1</v>
      </c>
      <c r="Z250">
        <v>2</v>
      </c>
      <c r="AA250">
        <v>44.1</v>
      </c>
      <c r="AB250">
        <v>0.92800000000000005</v>
      </c>
      <c r="AC250" t="s">
        <v>96</v>
      </c>
      <c r="AD250">
        <v>2</v>
      </c>
      <c r="AE250">
        <v>5</v>
      </c>
      <c r="AF250">
        <v>0</v>
      </c>
      <c r="AG250">
        <v>1.3280000000000001</v>
      </c>
      <c r="AH250">
        <v>0.26700000000000002</v>
      </c>
      <c r="AI250">
        <v>0.93</v>
      </c>
      <c r="AJ250">
        <v>1.1849890000000001</v>
      </c>
      <c r="AL250">
        <f t="shared" si="36"/>
        <v>1.1849890000000001</v>
      </c>
      <c r="AM250">
        <f>VLOOKUP(TRIM(N250),'[1]All - Durations'!$E$2:$H$109,4,FALSE)</f>
        <v>0.91</v>
      </c>
      <c r="AN250">
        <f t="shared" si="37"/>
        <v>0.27498900000000004</v>
      </c>
      <c r="AO250">
        <f t="shared" si="38"/>
        <v>0.27498900000000004</v>
      </c>
    </row>
    <row r="251" spans="1:41" x14ac:dyDescent="0.25">
      <c r="A251">
        <v>259</v>
      </c>
      <c r="B251" t="s">
        <v>35</v>
      </c>
      <c r="C251">
        <v>3</v>
      </c>
      <c r="D251" t="s">
        <v>36</v>
      </c>
      <c r="E251">
        <v>2</v>
      </c>
      <c r="F251" t="s">
        <v>37</v>
      </c>
      <c r="G251">
        <v>4</v>
      </c>
      <c r="H251">
        <v>7</v>
      </c>
      <c r="I251">
        <v>1</v>
      </c>
      <c r="J251">
        <v>34</v>
      </c>
      <c r="K251">
        <v>34</v>
      </c>
      <c r="L251">
        <v>16</v>
      </c>
      <c r="M251">
        <v>1</v>
      </c>
      <c r="N251" t="s">
        <v>173</v>
      </c>
      <c r="O251" t="s">
        <v>151</v>
      </c>
      <c r="P251" t="s">
        <v>152</v>
      </c>
      <c r="Q251" t="s">
        <v>153</v>
      </c>
      <c r="R251" t="s">
        <v>174</v>
      </c>
      <c r="S251" t="s">
        <v>52</v>
      </c>
      <c r="T251" t="s">
        <v>99</v>
      </c>
      <c r="U251">
        <v>1</v>
      </c>
      <c r="V251" t="s">
        <v>155</v>
      </c>
      <c r="W251" t="s">
        <v>147</v>
      </c>
      <c r="X251" t="s">
        <v>162</v>
      </c>
      <c r="Y251">
        <v>1</v>
      </c>
      <c r="Z251">
        <v>2</v>
      </c>
      <c r="AA251">
        <v>44.1</v>
      </c>
      <c r="AB251">
        <v>1.0009999999999999</v>
      </c>
      <c r="AC251" t="s">
        <v>147</v>
      </c>
      <c r="AD251">
        <v>4</v>
      </c>
      <c r="AE251">
        <v>4</v>
      </c>
      <c r="AF251">
        <v>0</v>
      </c>
      <c r="AG251">
        <v>2.1309999999999998</v>
      </c>
      <c r="AH251">
        <v>0.25</v>
      </c>
      <c r="AI251">
        <v>0.997</v>
      </c>
      <c r="AJ251">
        <v>1.1749890000000001</v>
      </c>
      <c r="AL251">
        <f t="shared" si="36"/>
        <v>1.1749890000000001</v>
      </c>
      <c r="AM251">
        <f>VLOOKUP(TRIM(N251),'[1]All - Durations'!$E$2:$H$109,4,FALSE)</f>
        <v>0.996</v>
      </c>
      <c r="AN251">
        <f t="shared" si="37"/>
        <v>0.17898900000000006</v>
      </c>
      <c r="AO251">
        <f t="shared" si="38"/>
        <v>0.17898900000000006</v>
      </c>
    </row>
    <row r="252" spans="1:41" x14ac:dyDescent="0.25">
      <c r="A252">
        <v>259</v>
      </c>
      <c r="B252" t="s">
        <v>35</v>
      </c>
      <c r="C252">
        <v>3</v>
      </c>
      <c r="D252" t="s">
        <v>36</v>
      </c>
      <c r="E252">
        <v>2</v>
      </c>
      <c r="F252" t="s">
        <v>37</v>
      </c>
      <c r="G252">
        <v>4</v>
      </c>
      <c r="H252">
        <v>7</v>
      </c>
      <c r="I252">
        <v>1</v>
      </c>
      <c r="J252">
        <v>35</v>
      </c>
      <c r="K252">
        <v>35</v>
      </c>
      <c r="L252">
        <v>55</v>
      </c>
      <c r="M252">
        <v>2</v>
      </c>
      <c r="N252" t="s">
        <v>163</v>
      </c>
      <c r="O252" t="s">
        <v>151</v>
      </c>
      <c r="P252" t="s">
        <v>164</v>
      </c>
      <c r="Q252" t="s">
        <v>165</v>
      </c>
      <c r="R252" t="s">
        <v>154</v>
      </c>
      <c r="S252" t="s">
        <v>92</v>
      </c>
      <c r="T252" t="s">
        <v>86</v>
      </c>
      <c r="U252">
        <v>2</v>
      </c>
      <c r="V252" t="s">
        <v>166</v>
      </c>
      <c r="W252" t="s">
        <v>100</v>
      </c>
      <c r="X252" t="s">
        <v>131</v>
      </c>
      <c r="Y252">
        <v>1</v>
      </c>
      <c r="Z252">
        <v>2</v>
      </c>
      <c r="AA252">
        <v>44.1</v>
      </c>
      <c r="AB252">
        <v>4.3999999999999997E-2</v>
      </c>
      <c r="AC252" t="s">
        <v>86</v>
      </c>
      <c r="AD252">
        <v>1</v>
      </c>
      <c r="AE252">
        <v>2</v>
      </c>
      <c r="AF252">
        <v>1</v>
      </c>
      <c r="AG252">
        <v>2.0299999999999998</v>
      </c>
      <c r="AH252">
        <v>0.23400000000000001</v>
      </c>
      <c r="AI252">
        <v>0.04</v>
      </c>
      <c r="AJ252">
        <v>1.2549889999999999</v>
      </c>
      <c r="AL252">
        <f t="shared" si="36"/>
        <v>1.2549889999999999</v>
      </c>
      <c r="AM252">
        <f>VLOOKUP(TRIM(N252),'[1]All - Durations'!$E$2:$H$109,4,FALSE)</f>
        <v>0.877</v>
      </c>
      <c r="AN252">
        <f t="shared" si="37"/>
        <v>0.37798899999999991</v>
      </c>
      <c r="AO252">
        <f t="shared" si="38"/>
        <v>0.37798899999999991</v>
      </c>
    </row>
    <row r="253" spans="1:41" x14ac:dyDescent="0.25">
      <c r="A253">
        <v>259</v>
      </c>
      <c r="B253" t="s">
        <v>35</v>
      </c>
      <c r="C253">
        <v>3</v>
      </c>
      <c r="D253" t="s">
        <v>36</v>
      </c>
      <c r="E253">
        <v>2</v>
      </c>
      <c r="F253" t="s">
        <v>37</v>
      </c>
      <c r="G253">
        <v>4</v>
      </c>
      <c r="H253">
        <v>7</v>
      </c>
      <c r="I253">
        <v>1</v>
      </c>
      <c r="J253">
        <v>36</v>
      </c>
      <c r="K253">
        <v>30</v>
      </c>
      <c r="L253">
        <v>50</v>
      </c>
      <c r="M253">
        <v>2</v>
      </c>
      <c r="N253" t="s">
        <v>186</v>
      </c>
      <c r="O253" t="s">
        <v>151</v>
      </c>
      <c r="P253" t="s">
        <v>181</v>
      </c>
      <c r="Q253" t="s">
        <v>182</v>
      </c>
      <c r="R253" t="s">
        <v>174</v>
      </c>
      <c r="S253" t="s">
        <v>52</v>
      </c>
      <c r="T253" t="s">
        <v>187</v>
      </c>
      <c r="U253">
        <v>5</v>
      </c>
      <c r="V253" t="s">
        <v>183</v>
      </c>
      <c r="W253" t="s">
        <v>124</v>
      </c>
      <c r="X253" t="s">
        <v>138</v>
      </c>
      <c r="Y253">
        <v>1</v>
      </c>
      <c r="Z253">
        <v>2</v>
      </c>
      <c r="AA253">
        <v>44.1</v>
      </c>
      <c r="AB253">
        <v>0.749</v>
      </c>
      <c r="AC253" t="s">
        <v>187</v>
      </c>
      <c r="AD253">
        <v>1</v>
      </c>
      <c r="AE253">
        <v>5</v>
      </c>
      <c r="AF253">
        <v>1</v>
      </c>
      <c r="AG253">
        <v>1.65</v>
      </c>
      <c r="AH253">
        <v>0.3</v>
      </c>
      <c r="AI253">
        <v>0.74399999999999999</v>
      </c>
      <c r="AJ253">
        <v>1.074989</v>
      </c>
      <c r="AL253">
        <f t="shared" si="36"/>
        <v>1.074989</v>
      </c>
      <c r="AM253">
        <f>VLOOKUP(TRIM(N253),'[1]All - Durations'!$E$2:$H$109,4,FALSE)</f>
        <v>0.89100000000000001</v>
      </c>
      <c r="AN253">
        <f t="shared" si="37"/>
        <v>0.18398899999999996</v>
      </c>
      <c r="AO253">
        <f t="shared" si="38"/>
        <v>0.18398899999999996</v>
      </c>
    </row>
    <row r="254" spans="1:41" x14ac:dyDescent="0.25">
      <c r="A254">
        <v>259</v>
      </c>
      <c r="B254" t="s">
        <v>35</v>
      </c>
      <c r="C254">
        <v>3</v>
      </c>
      <c r="D254" t="s">
        <v>36</v>
      </c>
      <c r="E254">
        <v>2</v>
      </c>
      <c r="F254" t="s">
        <v>37</v>
      </c>
      <c r="G254">
        <v>4</v>
      </c>
      <c r="H254">
        <v>7</v>
      </c>
      <c r="I254">
        <v>1</v>
      </c>
      <c r="J254">
        <v>37</v>
      </c>
      <c r="K254">
        <v>38</v>
      </c>
      <c r="L254">
        <v>12</v>
      </c>
      <c r="M254">
        <v>1</v>
      </c>
      <c r="N254" t="s">
        <v>206</v>
      </c>
      <c r="O254" t="s">
        <v>39</v>
      </c>
      <c r="P254" t="s">
        <v>207</v>
      </c>
      <c r="Q254" t="s">
        <v>208</v>
      </c>
      <c r="R254" t="s">
        <v>42</v>
      </c>
      <c r="S254" t="s">
        <v>43</v>
      </c>
      <c r="T254" t="s">
        <v>131</v>
      </c>
      <c r="U254">
        <v>2</v>
      </c>
      <c r="V254" t="s">
        <v>185</v>
      </c>
      <c r="W254" t="s">
        <v>209</v>
      </c>
      <c r="X254" t="s">
        <v>141</v>
      </c>
      <c r="Y254">
        <v>2</v>
      </c>
      <c r="Z254">
        <v>2</v>
      </c>
      <c r="AA254">
        <v>44.1</v>
      </c>
      <c r="AB254">
        <v>0.17</v>
      </c>
      <c r="AC254" t="s">
        <v>131</v>
      </c>
      <c r="AD254">
        <v>1</v>
      </c>
      <c r="AE254">
        <v>2</v>
      </c>
      <c r="AF254">
        <v>1</v>
      </c>
      <c r="AG254">
        <v>0.92400000000000004</v>
      </c>
      <c r="AH254">
        <v>0.28399999999999997</v>
      </c>
      <c r="AI254">
        <v>0.16800000000000001</v>
      </c>
      <c r="AJ254">
        <v>1.0149889999999999</v>
      </c>
      <c r="AL254">
        <f t="shared" si="36"/>
        <v>1.0149889999999999</v>
      </c>
      <c r="AM254">
        <f>VLOOKUP(TRIM(N254),'[1]All - Durations'!$E$2:$H$109,4,FALSE)</f>
        <v>0.82699999999999996</v>
      </c>
      <c r="AN254">
        <f t="shared" si="37"/>
        <v>0.18798899999999996</v>
      </c>
      <c r="AO254">
        <f t="shared" si="38"/>
        <v>0.18798899999999996</v>
      </c>
    </row>
    <row r="255" spans="1:41" x14ac:dyDescent="0.25">
      <c r="A255">
        <v>259</v>
      </c>
      <c r="B255" t="s">
        <v>35</v>
      </c>
      <c r="C255">
        <v>3</v>
      </c>
      <c r="D255" t="s">
        <v>36</v>
      </c>
      <c r="E255">
        <v>2</v>
      </c>
      <c r="F255" t="s">
        <v>37</v>
      </c>
      <c r="G255">
        <v>4</v>
      </c>
      <c r="H255">
        <v>7</v>
      </c>
      <c r="I255">
        <v>1</v>
      </c>
      <c r="J255">
        <v>38</v>
      </c>
      <c r="K255">
        <v>41</v>
      </c>
      <c r="L255">
        <v>41</v>
      </c>
      <c r="M255">
        <v>2</v>
      </c>
      <c r="N255" t="s">
        <v>198</v>
      </c>
      <c r="O255" t="s">
        <v>39</v>
      </c>
      <c r="P255" t="s">
        <v>199</v>
      </c>
      <c r="Q255" t="s">
        <v>200</v>
      </c>
      <c r="R255" t="s">
        <v>58</v>
      </c>
      <c r="S255" t="s">
        <v>59</v>
      </c>
      <c r="T255" t="s">
        <v>138</v>
      </c>
      <c r="U255">
        <v>4</v>
      </c>
      <c r="V255" t="s">
        <v>66</v>
      </c>
      <c r="W255" t="s">
        <v>108</v>
      </c>
      <c r="X255" t="s">
        <v>179</v>
      </c>
      <c r="Y255">
        <v>2</v>
      </c>
      <c r="Z255">
        <v>2</v>
      </c>
      <c r="AA255">
        <v>44.1</v>
      </c>
      <c r="AB255">
        <v>1.2589999999999999</v>
      </c>
      <c r="AC255" t="s">
        <v>66</v>
      </c>
      <c r="AD255">
        <v>3</v>
      </c>
      <c r="AE255">
        <v>2</v>
      </c>
      <c r="AF255">
        <v>0</v>
      </c>
      <c r="AG255">
        <v>1.71</v>
      </c>
      <c r="AH255">
        <v>0.23300000000000001</v>
      </c>
      <c r="AI255">
        <v>1.2509999999999999</v>
      </c>
      <c r="AJ255">
        <v>1.354989</v>
      </c>
      <c r="AL255">
        <f t="shared" si="36"/>
        <v>1.354989</v>
      </c>
      <c r="AM255">
        <f>VLOOKUP(TRIM(N255),'[1]All - Durations'!$E$2:$H$109,4,FALSE)</f>
        <v>0.97199999999999998</v>
      </c>
      <c r="AN255">
        <f t="shared" si="37"/>
        <v>0.38298900000000002</v>
      </c>
      <c r="AO255">
        <f t="shared" si="38"/>
        <v>0.38298900000000002</v>
      </c>
    </row>
    <row r="256" spans="1:41" x14ac:dyDescent="0.25">
      <c r="A256">
        <v>259</v>
      </c>
      <c r="B256" t="s">
        <v>35</v>
      </c>
      <c r="C256">
        <v>3</v>
      </c>
      <c r="D256" t="s">
        <v>36</v>
      </c>
      <c r="E256">
        <v>2</v>
      </c>
      <c r="F256" t="s">
        <v>37</v>
      </c>
      <c r="G256">
        <v>4</v>
      </c>
      <c r="H256">
        <v>7</v>
      </c>
      <c r="I256">
        <v>1</v>
      </c>
      <c r="J256">
        <v>39</v>
      </c>
      <c r="K256">
        <v>48</v>
      </c>
      <c r="L256">
        <v>10</v>
      </c>
      <c r="M256">
        <v>1</v>
      </c>
      <c r="N256" t="s">
        <v>201</v>
      </c>
      <c r="O256" t="s">
        <v>39</v>
      </c>
      <c r="P256" t="s">
        <v>202</v>
      </c>
      <c r="Q256" t="s">
        <v>203</v>
      </c>
      <c r="R256" t="s">
        <v>51</v>
      </c>
      <c r="S256" t="s">
        <v>52</v>
      </c>
      <c r="T256" t="s">
        <v>172</v>
      </c>
      <c r="U256">
        <v>1</v>
      </c>
      <c r="V256" t="s">
        <v>102</v>
      </c>
      <c r="W256" t="s">
        <v>95</v>
      </c>
      <c r="X256" t="s">
        <v>103</v>
      </c>
      <c r="Y256">
        <v>2</v>
      </c>
      <c r="Z256">
        <v>2</v>
      </c>
      <c r="AA256">
        <v>44.1</v>
      </c>
      <c r="AB256">
        <v>3.1E-2</v>
      </c>
      <c r="AC256" t="s">
        <v>172</v>
      </c>
      <c r="AD256">
        <v>1</v>
      </c>
      <c r="AE256">
        <v>1</v>
      </c>
      <c r="AF256">
        <v>1</v>
      </c>
      <c r="AG256">
        <v>1.337</v>
      </c>
      <c r="AH256">
        <v>0.25</v>
      </c>
      <c r="AI256">
        <v>2.1999999999999999E-2</v>
      </c>
      <c r="AJ256">
        <v>1.134989</v>
      </c>
      <c r="AL256">
        <f t="shared" si="36"/>
        <v>1.134989</v>
      </c>
      <c r="AM256">
        <f>VLOOKUP(TRIM(N256),'[1]All - Durations'!$E$2:$H$109,4,FALSE)</f>
        <v>0.997</v>
      </c>
      <c r="AN256">
        <f t="shared" si="37"/>
        <v>0.13798900000000003</v>
      </c>
      <c r="AO256">
        <f t="shared" si="38"/>
        <v>0.13798900000000003</v>
      </c>
    </row>
    <row r="257" spans="1:41" x14ac:dyDescent="0.25">
      <c r="A257">
        <v>259</v>
      </c>
      <c r="B257" t="s">
        <v>35</v>
      </c>
      <c r="C257">
        <v>3</v>
      </c>
      <c r="D257" t="s">
        <v>36</v>
      </c>
      <c r="E257">
        <v>2</v>
      </c>
      <c r="F257" t="s">
        <v>37</v>
      </c>
      <c r="G257">
        <v>4</v>
      </c>
      <c r="H257">
        <v>7</v>
      </c>
      <c r="I257">
        <v>1</v>
      </c>
      <c r="J257">
        <v>40</v>
      </c>
      <c r="K257">
        <v>44</v>
      </c>
      <c r="L257">
        <v>6</v>
      </c>
      <c r="M257">
        <v>1</v>
      </c>
      <c r="N257" t="s">
        <v>215</v>
      </c>
      <c r="O257" t="s">
        <v>39</v>
      </c>
      <c r="P257" t="s">
        <v>193</v>
      </c>
      <c r="Q257" t="s">
        <v>194</v>
      </c>
      <c r="R257" t="s">
        <v>42</v>
      </c>
      <c r="S257" t="s">
        <v>43</v>
      </c>
      <c r="T257" t="s">
        <v>185</v>
      </c>
      <c r="U257">
        <v>5</v>
      </c>
      <c r="V257" t="s">
        <v>144</v>
      </c>
      <c r="W257" t="s">
        <v>183</v>
      </c>
      <c r="X257" t="s">
        <v>137</v>
      </c>
      <c r="Y257">
        <v>1</v>
      </c>
      <c r="Z257">
        <v>2</v>
      </c>
      <c r="AA257">
        <v>44.1</v>
      </c>
      <c r="AB257">
        <v>0.86099999999999999</v>
      </c>
      <c r="AC257" t="s">
        <v>185</v>
      </c>
      <c r="AD257">
        <v>1</v>
      </c>
      <c r="AE257">
        <v>5</v>
      </c>
      <c r="AF257">
        <v>1</v>
      </c>
      <c r="AG257">
        <v>2.2490000000000001</v>
      </c>
      <c r="AH257">
        <v>0.28399999999999997</v>
      </c>
      <c r="AI257">
        <v>0.86899999999999999</v>
      </c>
      <c r="AJ257">
        <v>1.1849890000000001</v>
      </c>
      <c r="AL257">
        <f t="shared" si="36"/>
        <v>1.1849890000000001</v>
      </c>
      <c r="AM257">
        <f>VLOOKUP(TRIM(N257),'[1]All - Durations'!$E$2:$H$109,4,FALSE)</f>
        <v>0.88200000000000001</v>
      </c>
      <c r="AN257">
        <f t="shared" si="37"/>
        <v>0.30298900000000006</v>
      </c>
      <c r="AO257">
        <f t="shared" si="38"/>
        <v>0.30298900000000006</v>
      </c>
    </row>
    <row r="258" spans="1:41" x14ac:dyDescent="0.25">
      <c r="A258">
        <v>259</v>
      </c>
      <c r="B258" t="s">
        <v>35</v>
      </c>
      <c r="C258">
        <v>3</v>
      </c>
      <c r="D258" t="s">
        <v>36</v>
      </c>
      <c r="E258">
        <v>2</v>
      </c>
      <c r="F258" t="s">
        <v>37</v>
      </c>
      <c r="G258">
        <v>4</v>
      </c>
      <c r="H258">
        <v>7</v>
      </c>
      <c r="I258">
        <v>1</v>
      </c>
      <c r="J258">
        <v>41</v>
      </c>
      <c r="K258">
        <v>42</v>
      </c>
      <c r="L258">
        <v>42</v>
      </c>
      <c r="M258">
        <v>2</v>
      </c>
      <c r="N258" t="s">
        <v>216</v>
      </c>
      <c r="O258" t="s">
        <v>39</v>
      </c>
      <c r="P258" t="s">
        <v>199</v>
      </c>
      <c r="Q258" t="s">
        <v>200</v>
      </c>
      <c r="R258" t="s">
        <v>91</v>
      </c>
      <c r="S258" t="s">
        <v>92</v>
      </c>
      <c r="T258" t="s">
        <v>98</v>
      </c>
      <c r="U258">
        <v>5</v>
      </c>
      <c r="V258" t="s">
        <v>138</v>
      </c>
      <c r="W258" t="s">
        <v>116</v>
      </c>
      <c r="X258" t="s">
        <v>187</v>
      </c>
      <c r="Y258">
        <v>1</v>
      </c>
      <c r="Z258">
        <v>2</v>
      </c>
      <c r="AA258">
        <v>44.1</v>
      </c>
      <c r="AB258">
        <v>4.1000000000000002E-2</v>
      </c>
      <c r="AC258" t="s">
        <v>187</v>
      </c>
      <c r="AD258">
        <v>4</v>
      </c>
      <c r="AE258">
        <v>4</v>
      </c>
      <c r="AF258">
        <v>0</v>
      </c>
      <c r="AG258">
        <v>1.1279999999999999</v>
      </c>
      <c r="AH258">
        <v>0.35</v>
      </c>
      <c r="AI258">
        <v>0.05</v>
      </c>
      <c r="AJ258">
        <v>0.95498899999999998</v>
      </c>
      <c r="AL258">
        <f t="shared" si="36"/>
        <v>0.95498899999999998</v>
      </c>
      <c r="AM258">
        <f>VLOOKUP(TRIM(N258),'[1]All - Durations'!$E$2:$H$109,4,FALSE)</f>
        <v>0.85899999999999999</v>
      </c>
      <c r="AN258">
        <f t="shared" si="37"/>
        <v>9.5988999999999991E-2</v>
      </c>
      <c r="AO258">
        <f t="shared" si="38"/>
        <v>9.5988999999999991E-2</v>
      </c>
    </row>
    <row r="259" spans="1:41" x14ac:dyDescent="0.25">
      <c r="A259">
        <v>259</v>
      </c>
      <c r="B259" t="s">
        <v>35</v>
      </c>
      <c r="C259">
        <v>3</v>
      </c>
      <c r="D259" t="s">
        <v>36</v>
      </c>
      <c r="E259">
        <v>2</v>
      </c>
      <c r="F259" t="s">
        <v>37</v>
      </c>
      <c r="G259">
        <v>4</v>
      </c>
      <c r="H259">
        <v>7</v>
      </c>
      <c r="I259">
        <v>1</v>
      </c>
      <c r="J259">
        <v>42</v>
      </c>
      <c r="K259">
        <v>46</v>
      </c>
      <c r="L259">
        <v>46</v>
      </c>
      <c r="M259">
        <v>2</v>
      </c>
      <c r="N259" t="s">
        <v>189</v>
      </c>
      <c r="O259" t="s">
        <v>39</v>
      </c>
      <c r="P259" t="s">
        <v>190</v>
      </c>
      <c r="Q259" t="s">
        <v>191</v>
      </c>
      <c r="R259" t="s">
        <v>42</v>
      </c>
      <c r="S259" t="s">
        <v>43</v>
      </c>
      <c r="T259" t="s">
        <v>45</v>
      </c>
      <c r="U259">
        <v>2</v>
      </c>
      <c r="V259" t="s">
        <v>149</v>
      </c>
      <c r="W259" t="s">
        <v>96</v>
      </c>
      <c r="X259" t="s">
        <v>56</v>
      </c>
      <c r="Y259">
        <v>1</v>
      </c>
      <c r="Z259">
        <v>2</v>
      </c>
      <c r="AA259">
        <v>44.1</v>
      </c>
      <c r="AB259">
        <v>1.1020000000000001</v>
      </c>
      <c r="AC259" t="s">
        <v>149</v>
      </c>
      <c r="AD259">
        <v>2</v>
      </c>
      <c r="AE259">
        <v>5</v>
      </c>
      <c r="AF259">
        <v>0</v>
      </c>
      <c r="AG259">
        <v>2.29</v>
      </c>
      <c r="AH259">
        <v>0.25</v>
      </c>
      <c r="AI259">
        <v>1.097</v>
      </c>
      <c r="AJ259">
        <v>1.094989</v>
      </c>
      <c r="AL259">
        <f t="shared" ref="AL259:AL322" si="39">IF(ISNUMBER(AK259), AK259, IF(AND(AK259="",AJ259=""),"",IF(AK259="",AJ259,"")))</f>
        <v>1.094989</v>
      </c>
      <c r="AM259">
        <f>VLOOKUP(TRIM(N259),'[1]All - Durations'!$E$2:$H$109,4,FALSE)</f>
        <v>1.091</v>
      </c>
      <c r="AN259">
        <f t="shared" ref="AN259:AN322" si="40">AL259-AM259</f>
        <v>3.9890000000000203E-3</v>
      </c>
      <c r="AO259">
        <f t="shared" ref="AO259:AO322" si="41">IF(ISNUMBER(AN259), AN259, "")</f>
        <v>3.9890000000000203E-3</v>
      </c>
    </row>
    <row r="260" spans="1:41" x14ac:dyDescent="0.25">
      <c r="A260">
        <v>259</v>
      </c>
      <c r="B260" t="s">
        <v>35</v>
      </c>
      <c r="C260">
        <v>3</v>
      </c>
      <c r="D260" t="s">
        <v>36</v>
      </c>
      <c r="E260">
        <v>2</v>
      </c>
      <c r="F260" t="s">
        <v>37</v>
      </c>
      <c r="G260">
        <v>4</v>
      </c>
      <c r="H260">
        <v>7</v>
      </c>
      <c r="I260">
        <v>1</v>
      </c>
      <c r="J260">
        <v>43</v>
      </c>
      <c r="K260">
        <v>37</v>
      </c>
      <c r="L260">
        <v>11</v>
      </c>
      <c r="M260">
        <v>1</v>
      </c>
      <c r="N260" t="s">
        <v>213</v>
      </c>
      <c r="O260" t="s">
        <v>39</v>
      </c>
      <c r="P260" t="s">
        <v>207</v>
      </c>
      <c r="Q260" t="s">
        <v>208</v>
      </c>
      <c r="R260" t="s">
        <v>91</v>
      </c>
      <c r="S260" t="s">
        <v>92</v>
      </c>
      <c r="T260" t="s">
        <v>106</v>
      </c>
      <c r="U260">
        <v>1</v>
      </c>
      <c r="V260" t="s">
        <v>131</v>
      </c>
      <c r="W260" t="s">
        <v>119</v>
      </c>
      <c r="X260" t="s">
        <v>132</v>
      </c>
      <c r="Y260">
        <v>1</v>
      </c>
      <c r="Z260">
        <v>2</v>
      </c>
      <c r="AA260">
        <v>44.1</v>
      </c>
      <c r="AB260">
        <v>4.1000000000000002E-2</v>
      </c>
      <c r="AC260" t="s">
        <v>106</v>
      </c>
      <c r="AD260">
        <v>1</v>
      </c>
      <c r="AE260">
        <v>1</v>
      </c>
      <c r="AF260">
        <v>1</v>
      </c>
      <c r="AG260">
        <v>1.34</v>
      </c>
      <c r="AH260">
        <v>0.26700000000000002</v>
      </c>
      <c r="AI260">
        <v>4.2000000000000003E-2</v>
      </c>
      <c r="AJ260">
        <v>1.0249889999999999</v>
      </c>
      <c r="AL260">
        <f t="shared" si="39"/>
        <v>1.0249889999999999</v>
      </c>
      <c r="AM260">
        <f>VLOOKUP(TRIM(N260),'[1]All - Durations'!$E$2:$H$109,4,FALSE)</f>
        <v>0.86599999999999999</v>
      </c>
      <c r="AN260">
        <f t="shared" si="40"/>
        <v>0.15898899999999994</v>
      </c>
      <c r="AO260">
        <f t="shared" si="41"/>
        <v>0.15898899999999994</v>
      </c>
    </row>
    <row r="261" spans="1:41" x14ac:dyDescent="0.25">
      <c r="A261">
        <v>259</v>
      </c>
      <c r="B261" t="s">
        <v>35</v>
      </c>
      <c r="C261">
        <v>3</v>
      </c>
      <c r="D261" t="s">
        <v>36</v>
      </c>
      <c r="E261">
        <v>2</v>
      </c>
      <c r="F261" t="s">
        <v>37</v>
      </c>
      <c r="G261">
        <v>4</v>
      </c>
      <c r="H261">
        <v>7</v>
      </c>
      <c r="I261">
        <v>1</v>
      </c>
      <c r="J261">
        <v>44</v>
      </c>
      <c r="K261">
        <v>39</v>
      </c>
      <c r="L261">
        <v>7</v>
      </c>
      <c r="M261">
        <v>1</v>
      </c>
      <c r="N261" t="s">
        <v>205</v>
      </c>
      <c r="O261" t="s">
        <v>39</v>
      </c>
      <c r="P261" t="s">
        <v>196</v>
      </c>
      <c r="Q261" t="s">
        <v>197</v>
      </c>
      <c r="R261" t="s">
        <v>58</v>
      </c>
      <c r="S261" t="s">
        <v>59</v>
      </c>
      <c r="T261" t="s">
        <v>156</v>
      </c>
      <c r="U261">
        <v>2</v>
      </c>
      <c r="V261" t="s">
        <v>147</v>
      </c>
      <c r="W261" t="s">
        <v>161</v>
      </c>
      <c r="X261" t="s">
        <v>69</v>
      </c>
      <c r="Y261">
        <v>2</v>
      </c>
      <c r="Z261">
        <v>2</v>
      </c>
      <c r="AA261">
        <v>44.1</v>
      </c>
      <c r="AB261">
        <v>1.161</v>
      </c>
      <c r="AC261" t="s">
        <v>156</v>
      </c>
      <c r="AD261">
        <v>1</v>
      </c>
      <c r="AE261">
        <v>2</v>
      </c>
      <c r="AF261">
        <v>1</v>
      </c>
      <c r="AG261">
        <v>2.4039999999999999</v>
      </c>
      <c r="AH261">
        <v>0.317</v>
      </c>
      <c r="AI261">
        <v>1.169</v>
      </c>
      <c r="AJ261">
        <v>1.1649890000000001</v>
      </c>
      <c r="AL261">
        <f t="shared" si="39"/>
        <v>1.1649890000000001</v>
      </c>
      <c r="AM261">
        <f>VLOOKUP(TRIM(N261),'[1]All - Durations'!$E$2:$H$109,4,FALSE)</f>
        <v>0.94499999999999995</v>
      </c>
      <c r="AN261">
        <f t="shared" si="40"/>
        <v>0.2199890000000001</v>
      </c>
      <c r="AO261">
        <f t="shared" si="41"/>
        <v>0.2199890000000001</v>
      </c>
    </row>
    <row r="262" spans="1:41" x14ac:dyDescent="0.25">
      <c r="A262">
        <v>259</v>
      </c>
      <c r="B262" t="s">
        <v>35</v>
      </c>
      <c r="C262">
        <v>3</v>
      </c>
      <c r="D262" t="s">
        <v>36</v>
      </c>
      <c r="E262">
        <v>2</v>
      </c>
      <c r="F262" t="s">
        <v>37</v>
      </c>
      <c r="G262">
        <v>4</v>
      </c>
      <c r="H262">
        <v>7</v>
      </c>
      <c r="I262">
        <v>1</v>
      </c>
      <c r="J262">
        <v>45</v>
      </c>
      <c r="K262">
        <v>45</v>
      </c>
      <c r="L262">
        <v>45</v>
      </c>
      <c r="M262">
        <v>2</v>
      </c>
      <c r="N262" t="s">
        <v>210</v>
      </c>
      <c r="O262" t="s">
        <v>39</v>
      </c>
      <c r="P262" t="s">
        <v>190</v>
      </c>
      <c r="Q262" t="s">
        <v>191</v>
      </c>
      <c r="R262" t="s">
        <v>51</v>
      </c>
      <c r="S262" t="s">
        <v>52</v>
      </c>
      <c r="T262" t="s">
        <v>149</v>
      </c>
      <c r="U262">
        <v>2</v>
      </c>
      <c r="V262" t="s">
        <v>79</v>
      </c>
      <c r="W262" t="s">
        <v>62</v>
      </c>
      <c r="X262" t="s">
        <v>120</v>
      </c>
      <c r="Y262">
        <v>2</v>
      </c>
      <c r="Z262">
        <v>2</v>
      </c>
      <c r="AA262">
        <v>44.1</v>
      </c>
      <c r="AB262">
        <v>3.9E-2</v>
      </c>
      <c r="AC262" t="s">
        <v>120</v>
      </c>
      <c r="AD262">
        <v>4</v>
      </c>
      <c r="AE262">
        <v>4</v>
      </c>
      <c r="AF262">
        <v>0</v>
      </c>
      <c r="AG262">
        <v>1.698</v>
      </c>
      <c r="AH262">
        <v>0.61699999999999999</v>
      </c>
      <c r="AI262">
        <v>0.04</v>
      </c>
      <c r="AJ262">
        <v>1.2249890000000001</v>
      </c>
      <c r="AL262">
        <f t="shared" si="39"/>
        <v>1.2249890000000001</v>
      </c>
      <c r="AM262">
        <f>VLOOKUP(TRIM(N262),'[1]All - Durations'!$E$2:$H$109,4,FALSE)</f>
        <v>1.004</v>
      </c>
      <c r="AN262">
        <f t="shared" si="40"/>
        <v>0.2209890000000001</v>
      </c>
      <c r="AO262">
        <f t="shared" si="41"/>
        <v>0.2209890000000001</v>
      </c>
    </row>
    <row r="263" spans="1:41" x14ac:dyDescent="0.25">
      <c r="A263">
        <v>259</v>
      </c>
      <c r="B263" t="s">
        <v>35</v>
      </c>
      <c r="C263">
        <v>3</v>
      </c>
      <c r="D263" t="s">
        <v>36</v>
      </c>
      <c r="E263">
        <v>2</v>
      </c>
      <c r="F263" t="s">
        <v>37</v>
      </c>
      <c r="G263">
        <v>4</v>
      </c>
      <c r="H263">
        <v>7</v>
      </c>
      <c r="I263">
        <v>1</v>
      </c>
      <c r="J263">
        <v>46</v>
      </c>
      <c r="K263">
        <v>43</v>
      </c>
      <c r="L263">
        <v>5</v>
      </c>
      <c r="M263">
        <v>1</v>
      </c>
      <c r="N263" t="s">
        <v>192</v>
      </c>
      <c r="O263" t="s">
        <v>39</v>
      </c>
      <c r="P263" t="s">
        <v>193</v>
      </c>
      <c r="Q263" t="s">
        <v>194</v>
      </c>
      <c r="R263" t="s">
        <v>51</v>
      </c>
      <c r="S263" t="s">
        <v>52</v>
      </c>
      <c r="T263" t="s">
        <v>144</v>
      </c>
      <c r="U263">
        <v>2</v>
      </c>
      <c r="V263" t="s">
        <v>53</v>
      </c>
      <c r="W263" t="s">
        <v>107</v>
      </c>
      <c r="X263" t="s">
        <v>211</v>
      </c>
      <c r="Y263">
        <v>2</v>
      </c>
      <c r="Z263">
        <v>2</v>
      </c>
      <c r="AA263">
        <v>44.1</v>
      </c>
      <c r="AB263">
        <v>0.10199999999999999</v>
      </c>
      <c r="AC263" t="s">
        <v>144</v>
      </c>
      <c r="AD263">
        <v>1</v>
      </c>
      <c r="AE263">
        <v>2</v>
      </c>
      <c r="AF263">
        <v>1</v>
      </c>
      <c r="AG263">
        <v>1.099</v>
      </c>
      <c r="AH263">
        <v>0.28399999999999997</v>
      </c>
      <c r="AI263">
        <v>9.4E-2</v>
      </c>
      <c r="AJ263">
        <v>1.1749890000000001</v>
      </c>
      <c r="AL263">
        <f t="shared" si="39"/>
        <v>1.1749890000000001</v>
      </c>
      <c r="AM263">
        <f>VLOOKUP(TRIM(N263),'[1]All - Durations'!$E$2:$H$109,4,FALSE)</f>
        <v>1.0669999999999999</v>
      </c>
      <c r="AN263">
        <f t="shared" si="40"/>
        <v>0.10798900000000011</v>
      </c>
      <c r="AO263">
        <f t="shared" si="41"/>
        <v>0.10798900000000011</v>
      </c>
    </row>
    <row r="264" spans="1:41" x14ac:dyDescent="0.25">
      <c r="A264">
        <v>259</v>
      </c>
      <c r="B264" t="s">
        <v>35</v>
      </c>
      <c r="C264">
        <v>3</v>
      </c>
      <c r="D264" t="s">
        <v>36</v>
      </c>
      <c r="E264">
        <v>2</v>
      </c>
      <c r="F264" t="s">
        <v>37</v>
      </c>
      <c r="G264">
        <v>4</v>
      </c>
      <c r="H264">
        <v>7</v>
      </c>
      <c r="I264">
        <v>1</v>
      </c>
      <c r="J264">
        <v>47</v>
      </c>
      <c r="K264">
        <v>40</v>
      </c>
      <c r="L264">
        <v>8</v>
      </c>
      <c r="M264">
        <v>1</v>
      </c>
      <c r="N264" t="s">
        <v>195</v>
      </c>
      <c r="O264" t="s">
        <v>39</v>
      </c>
      <c r="P264" t="s">
        <v>196</v>
      </c>
      <c r="Q264" t="s">
        <v>197</v>
      </c>
      <c r="R264" t="s">
        <v>42</v>
      </c>
      <c r="S264" t="s">
        <v>43</v>
      </c>
      <c r="T264" t="s">
        <v>85</v>
      </c>
      <c r="U264">
        <v>5</v>
      </c>
      <c r="V264" t="s">
        <v>156</v>
      </c>
      <c r="W264" t="s">
        <v>61</v>
      </c>
      <c r="X264" t="s">
        <v>68</v>
      </c>
      <c r="Y264">
        <v>1</v>
      </c>
      <c r="Z264">
        <v>2</v>
      </c>
      <c r="AA264">
        <v>44.1</v>
      </c>
      <c r="AB264">
        <v>0.95099999999999996</v>
      </c>
      <c r="AC264" t="s">
        <v>61</v>
      </c>
      <c r="AD264">
        <v>4</v>
      </c>
      <c r="AE264">
        <v>2</v>
      </c>
      <c r="AF264">
        <v>0</v>
      </c>
      <c r="AG264">
        <v>2.2599999999999998</v>
      </c>
      <c r="AH264">
        <v>0.317</v>
      </c>
      <c r="AI264">
        <v>0.95299999999999996</v>
      </c>
      <c r="AJ264">
        <v>1.2249890000000001</v>
      </c>
      <c r="AL264">
        <f t="shared" si="39"/>
        <v>1.2249890000000001</v>
      </c>
      <c r="AM264">
        <f>VLOOKUP(TRIM(N264),'[1]All - Durations'!$E$2:$H$109,4,FALSE)</f>
        <v>0.92600000000000005</v>
      </c>
      <c r="AN264">
        <f t="shared" si="40"/>
        <v>0.29898900000000006</v>
      </c>
      <c r="AO264">
        <f t="shared" si="41"/>
        <v>0.29898900000000006</v>
      </c>
    </row>
    <row r="265" spans="1:41" x14ac:dyDescent="0.25">
      <c r="A265">
        <v>259</v>
      </c>
      <c r="B265" t="s">
        <v>35</v>
      </c>
      <c r="C265">
        <v>3</v>
      </c>
      <c r="D265" t="s">
        <v>36</v>
      </c>
      <c r="E265">
        <v>2</v>
      </c>
      <c r="F265" t="s">
        <v>37</v>
      </c>
      <c r="G265">
        <v>4</v>
      </c>
      <c r="H265">
        <v>7</v>
      </c>
      <c r="I265">
        <v>1</v>
      </c>
      <c r="J265">
        <v>48</v>
      </c>
      <c r="K265">
        <v>47</v>
      </c>
      <c r="L265">
        <v>9</v>
      </c>
      <c r="M265">
        <v>1</v>
      </c>
      <c r="N265" t="s">
        <v>212</v>
      </c>
      <c r="O265" t="s">
        <v>39</v>
      </c>
      <c r="P265" t="s">
        <v>202</v>
      </c>
      <c r="Q265" t="s">
        <v>203</v>
      </c>
      <c r="R265" t="s">
        <v>58</v>
      </c>
      <c r="S265" t="s">
        <v>59</v>
      </c>
      <c r="T265" t="s">
        <v>147</v>
      </c>
      <c r="U265">
        <v>2</v>
      </c>
      <c r="V265" t="s">
        <v>172</v>
      </c>
      <c r="W265" t="s">
        <v>127</v>
      </c>
      <c r="X265" t="s">
        <v>121</v>
      </c>
      <c r="Y265">
        <v>1</v>
      </c>
      <c r="Z265">
        <v>2</v>
      </c>
      <c r="AA265">
        <v>44.1</v>
      </c>
      <c r="AB265">
        <v>2.1000000000000001E-2</v>
      </c>
      <c r="AC265" t="s">
        <v>147</v>
      </c>
      <c r="AD265">
        <v>1</v>
      </c>
      <c r="AE265">
        <v>2</v>
      </c>
      <c r="AF265">
        <v>1</v>
      </c>
      <c r="AG265">
        <v>2.8490000000000002</v>
      </c>
      <c r="AH265">
        <v>0.41699999999999998</v>
      </c>
      <c r="AI265">
        <v>1.9E-2</v>
      </c>
      <c r="AJ265">
        <v>1.094989</v>
      </c>
      <c r="AL265">
        <f t="shared" si="39"/>
        <v>1.094989</v>
      </c>
      <c r="AM265">
        <f>VLOOKUP(TRIM(N265),'[1]All - Durations'!$E$2:$H$109,4,FALSE)</f>
        <v>0.93500000000000005</v>
      </c>
      <c r="AN265">
        <f t="shared" si="40"/>
        <v>0.15998899999999994</v>
      </c>
      <c r="AO265">
        <f t="shared" si="41"/>
        <v>0.15998899999999994</v>
      </c>
    </row>
    <row r="266" spans="1:41" x14ac:dyDescent="0.25">
      <c r="A266">
        <v>259</v>
      </c>
      <c r="B266" t="s">
        <v>35</v>
      </c>
      <c r="C266">
        <v>3</v>
      </c>
      <c r="D266" t="s">
        <v>36</v>
      </c>
      <c r="E266">
        <v>2</v>
      </c>
      <c r="F266" t="s">
        <v>37</v>
      </c>
      <c r="G266">
        <v>4</v>
      </c>
      <c r="H266">
        <v>7</v>
      </c>
      <c r="I266">
        <v>1</v>
      </c>
      <c r="J266">
        <v>49</v>
      </c>
      <c r="K266">
        <v>60</v>
      </c>
      <c r="L266">
        <v>34</v>
      </c>
      <c r="M266">
        <v>1</v>
      </c>
      <c r="N266" t="s">
        <v>228</v>
      </c>
      <c r="O266" t="s">
        <v>113</v>
      </c>
      <c r="P266" t="s">
        <v>114</v>
      </c>
      <c r="Q266" t="s">
        <v>224</v>
      </c>
      <c r="R266" t="s">
        <v>114</v>
      </c>
      <c r="S266" t="s">
        <v>52</v>
      </c>
      <c r="T266" t="s">
        <v>61</v>
      </c>
      <c r="U266">
        <v>5</v>
      </c>
      <c r="V266" t="s">
        <v>56</v>
      </c>
      <c r="W266" t="s">
        <v>185</v>
      </c>
      <c r="X266" t="s">
        <v>55</v>
      </c>
      <c r="Y266">
        <v>1</v>
      </c>
      <c r="Z266">
        <v>2</v>
      </c>
      <c r="AA266">
        <v>44.1</v>
      </c>
      <c r="AB266">
        <v>4.2999999999999997E-2</v>
      </c>
      <c r="AC266" t="s">
        <v>61</v>
      </c>
      <c r="AD266">
        <v>1</v>
      </c>
      <c r="AE266">
        <v>5</v>
      </c>
      <c r="AF266">
        <v>1</v>
      </c>
      <c r="AG266">
        <v>1.226</v>
      </c>
      <c r="AH266">
        <v>0.35</v>
      </c>
      <c r="AI266">
        <v>4.1000000000000002E-2</v>
      </c>
      <c r="AJ266">
        <v>1.134989</v>
      </c>
      <c r="AL266">
        <f t="shared" si="39"/>
        <v>1.134989</v>
      </c>
      <c r="AM266">
        <f>VLOOKUP(TRIM(N266),'[1]All - Durations'!$E$2:$H$109,4,FALSE)</f>
        <v>0.93300000000000005</v>
      </c>
      <c r="AN266">
        <f t="shared" si="40"/>
        <v>0.20198899999999997</v>
      </c>
      <c r="AO266">
        <f t="shared" si="41"/>
        <v>0.20198899999999997</v>
      </c>
    </row>
    <row r="267" spans="1:41" x14ac:dyDescent="0.25">
      <c r="A267">
        <v>259</v>
      </c>
      <c r="B267" t="s">
        <v>35</v>
      </c>
      <c r="C267">
        <v>3</v>
      </c>
      <c r="D267" t="s">
        <v>36</v>
      </c>
      <c r="E267">
        <v>2</v>
      </c>
      <c r="F267" t="s">
        <v>37</v>
      </c>
      <c r="G267">
        <v>4</v>
      </c>
      <c r="H267">
        <v>7</v>
      </c>
      <c r="I267">
        <v>1</v>
      </c>
      <c r="J267">
        <v>50</v>
      </c>
      <c r="K267">
        <v>57</v>
      </c>
      <c r="L267">
        <v>69</v>
      </c>
      <c r="M267">
        <v>2</v>
      </c>
      <c r="N267" t="s">
        <v>221</v>
      </c>
      <c r="O267" t="s">
        <v>113</v>
      </c>
      <c r="P267" t="s">
        <v>114</v>
      </c>
      <c r="Q267" t="s">
        <v>222</v>
      </c>
      <c r="R267" t="s">
        <v>114</v>
      </c>
      <c r="S267" t="s">
        <v>52</v>
      </c>
      <c r="T267" t="s">
        <v>69</v>
      </c>
      <c r="U267">
        <v>5</v>
      </c>
      <c r="V267" t="s">
        <v>119</v>
      </c>
      <c r="W267" t="s">
        <v>146</v>
      </c>
      <c r="X267" t="s">
        <v>80</v>
      </c>
      <c r="Y267">
        <v>2</v>
      </c>
      <c r="Z267">
        <v>2</v>
      </c>
      <c r="AA267">
        <v>44.1</v>
      </c>
      <c r="AB267">
        <v>0.83899999999999997</v>
      </c>
      <c r="AC267" t="s">
        <v>69</v>
      </c>
      <c r="AD267">
        <v>1</v>
      </c>
      <c r="AE267">
        <v>5</v>
      </c>
      <c r="AF267">
        <v>1</v>
      </c>
      <c r="AG267">
        <v>2.391</v>
      </c>
      <c r="AH267">
        <v>0.25</v>
      </c>
      <c r="AI267">
        <v>0.84799999999999998</v>
      </c>
      <c r="AJ267">
        <v>1.104989</v>
      </c>
      <c r="AL267">
        <f t="shared" si="39"/>
        <v>1.104989</v>
      </c>
      <c r="AM267">
        <f>VLOOKUP(TRIM(N267),'[1]All - Durations'!$E$2:$H$109,4,FALSE)</f>
        <v>0.79100000000000004</v>
      </c>
      <c r="AN267">
        <f t="shared" si="40"/>
        <v>0.31398899999999996</v>
      </c>
      <c r="AO267">
        <f t="shared" si="41"/>
        <v>0.31398899999999996</v>
      </c>
    </row>
    <row r="268" spans="1:41" x14ac:dyDescent="0.25">
      <c r="A268">
        <v>259</v>
      </c>
      <c r="B268" t="s">
        <v>35</v>
      </c>
      <c r="C268">
        <v>3</v>
      </c>
      <c r="D268" t="s">
        <v>36</v>
      </c>
      <c r="E268">
        <v>2</v>
      </c>
      <c r="F268" t="s">
        <v>37</v>
      </c>
      <c r="G268">
        <v>4</v>
      </c>
      <c r="H268">
        <v>7</v>
      </c>
      <c r="I268">
        <v>1</v>
      </c>
      <c r="J268">
        <v>51</v>
      </c>
      <c r="K268">
        <v>54</v>
      </c>
      <c r="L268">
        <v>66</v>
      </c>
      <c r="M268">
        <v>2</v>
      </c>
      <c r="N268" t="s">
        <v>229</v>
      </c>
      <c r="O268" t="s">
        <v>113</v>
      </c>
      <c r="P268" t="s">
        <v>114</v>
      </c>
      <c r="Q268" t="s">
        <v>226</v>
      </c>
      <c r="R268" t="s">
        <v>114</v>
      </c>
      <c r="S268" t="s">
        <v>92</v>
      </c>
      <c r="T268" t="s">
        <v>209</v>
      </c>
      <c r="U268">
        <v>4</v>
      </c>
      <c r="V268" t="s">
        <v>87</v>
      </c>
      <c r="W268" t="s">
        <v>53</v>
      </c>
      <c r="X268" t="s">
        <v>121</v>
      </c>
      <c r="Y268">
        <v>1</v>
      </c>
      <c r="Z268">
        <v>2</v>
      </c>
      <c r="AA268">
        <v>44.1</v>
      </c>
      <c r="AB268">
        <v>7.1999999999999995E-2</v>
      </c>
      <c r="AC268" t="s">
        <v>121</v>
      </c>
      <c r="AD268">
        <v>4</v>
      </c>
      <c r="AE268">
        <v>2</v>
      </c>
      <c r="AF268">
        <v>0</v>
      </c>
      <c r="AG268">
        <v>2.137</v>
      </c>
      <c r="AH268">
        <v>0.184</v>
      </c>
      <c r="AI268">
        <v>7.0000000000000007E-2</v>
      </c>
      <c r="AJ268">
        <v>0.91498900000000005</v>
      </c>
      <c r="AL268">
        <f t="shared" si="39"/>
        <v>0.91498900000000005</v>
      </c>
      <c r="AM268">
        <f>VLOOKUP(TRIM(N268),'[1]All - Durations'!$E$2:$H$109,4,FALSE)</f>
        <v>0.88600000000000001</v>
      </c>
      <c r="AN268">
        <f t="shared" si="40"/>
        <v>2.8989000000000043E-2</v>
      </c>
      <c r="AO268">
        <f t="shared" si="41"/>
        <v>2.8989000000000043E-2</v>
      </c>
    </row>
    <row r="269" spans="1:41" x14ac:dyDescent="0.25">
      <c r="A269">
        <v>259</v>
      </c>
      <c r="B269" t="s">
        <v>35</v>
      </c>
      <c r="C269">
        <v>3</v>
      </c>
      <c r="D269" t="s">
        <v>36</v>
      </c>
      <c r="E269">
        <v>2</v>
      </c>
      <c r="F269" t="s">
        <v>37</v>
      </c>
      <c r="G269">
        <v>4</v>
      </c>
      <c r="H269">
        <v>7</v>
      </c>
      <c r="I269">
        <v>1</v>
      </c>
      <c r="J269">
        <v>52</v>
      </c>
      <c r="K269">
        <v>56</v>
      </c>
      <c r="L269">
        <v>30</v>
      </c>
      <c r="M269">
        <v>1</v>
      </c>
      <c r="N269" t="s">
        <v>233</v>
      </c>
      <c r="O269" t="s">
        <v>113</v>
      </c>
      <c r="P269" t="s">
        <v>114</v>
      </c>
      <c r="Q269" t="s">
        <v>218</v>
      </c>
      <c r="R269" t="s">
        <v>114</v>
      </c>
      <c r="S269" t="s">
        <v>43</v>
      </c>
      <c r="T269" t="s">
        <v>107</v>
      </c>
      <c r="U269">
        <v>1</v>
      </c>
      <c r="V269" t="s">
        <v>214</v>
      </c>
      <c r="W269" t="s">
        <v>60</v>
      </c>
      <c r="X269" t="s">
        <v>211</v>
      </c>
      <c r="Y269">
        <v>1</v>
      </c>
      <c r="Z269">
        <v>2</v>
      </c>
      <c r="AA269">
        <v>44.1</v>
      </c>
      <c r="AB269">
        <v>6.9000000000000006E-2</v>
      </c>
      <c r="AC269" t="s">
        <v>214</v>
      </c>
      <c r="AD269">
        <v>2</v>
      </c>
      <c r="AE269">
        <v>4</v>
      </c>
      <c r="AF269">
        <v>0</v>
      </c>
      <c r="AG269">
        <v>3.0230000000000001</v>
      </c>
      <c r="AH269">
        <v>0.3</v>
      </c>
      <c r="AI269">
        <v>6.8000000000000005E-2</v>
      </c>
      <c r="AJ269">
        <v>1.054989</v>
      </c>
      <c r="AL269">
        <f t="shared" si="39"/>
        <v>1.054989</v>
      </c>
      <c r="AM269">
        <f>VLOOKUP(TRIM(N269),'[1]All - Durations'!$E$2:$H$109,4,FALSE)</f>
        <v>0.85599999999999998</v>
      </c>
      <c r="AN269">
        <f t="shared" si="40"/>
        <v>0.19898899999999997</v>
      </c>
      <c r="AO269">
        <f t="shared" si="41"/>
        <v>0.19898899999999997</v>
      </c>
    </row>
    <row r="270" spans="1:41" x14ac:dyDescent="0.25">
      <c r="A270">
        <v>259</v>
      </c>
      <c r="B270" t="s">
        <v>35</v>
      </c>
      <c r="C270">
        <v>3</v>
      </c>
      <c r="D270" t="s">
        <v>36</v>
      </c>
      <c r="E270">
        <v>2</v>
      </c>
      <c r="F270" t="s">
        <v>37</v>
      </c>
      <c r="G270">
        <v>4</v>
      </c>
      <c r="H270">
        <v>7</v>
      </c>
      <c r="I270">
        <v>1</v>
      </c>
      <c r="J270">
        <v>53</v>
      </c>
      <c r="K270">
        <v>59</v>
      </c>
      <c r="L270">
        <v>33</v>
      </c>
      <c r="M270">
        <v>1</v>
      </c>
      <c r="N270" t="s">
        <v>223</v>
      </c>
      <c r="O270" t="s">
        <v>113</v>
      </c>
      <c r="P270" t="s">
        <v>114</v>
      </c>
      <c r="Q270" t="s">
        <v>224</v>
      </c>
      <c r="R270" t="s">
        <v>114</v>
      </c>
      <c r="S270" t="s">
        <v>59</v>
      </c>
      <c r="T270" t="s">
        <v>56</v>
      </c>
      <c r="U270">
        <v>1</v>
      </c>
      <c r="V270" t="s">
        <v>95</v>
      </c>
      <c r="W270" t="s">
        <v>82</v>
      </c>
      <c r="X270" t="s">
        <v>67</v>
      </c>
      <c r="Y270">
        <v>2</v>
      </c>
      <c r="Z270">
        <v>2</v>
      </c>
      <c r="AA270">
        <v>44.1</v>
      </c>
      <c r="AB270">
        <v>1.2430000000000001</v>
      </c>
      <c r="AC270" t="s">
        <v>67</v>
      </c>
      <c r="AD270">
        <v>4</v>
      </c>
      <c r="AE270">
        <v>2</v>
      </c>
      <c r="AF270">
        <v>0</v>
      </c>
      <c r="AG270">
        <v>1.593</v>
      </c>
      <c r="AH270">
        <v>0.317</v>
      </c>
      <c r="AI270">
        <v>1.2330000000000001</v>
      </c>
      <c r="AJ270">
        <v>1.2349889999999999</v>
      </c>
      <c r="AL270">
        <f t="shared" si="39"/>
        <v>1.2349889999999999</v>
      </c>
      <c r="AM270">
        <f>VLOOKUP(TRIM(N270),'[1]All - Durations'!$E$2:$H$109,4,FALSE)</f>
        <v>1.0089999999999999</v>
      </c>
      <c r="AN270">
        <f t="shared" si="40"/>
        <v>0.225989</v>
      </c>
      <c r="AO270">
        <f t="shared" si="41"/>
        <v>0.225989</v>
      </c>
    </row>
    <row r="271" spans="1:41" x14ac:dyDescent="0.25">
      <c r="A271">
        <v>259</v>
      </c>
      <c r="B271" t="s">
        <v>35</v>
      </c>
      <c r="C271">
        <v>3</v>
      </c>
      <c r="D271" t="s">
        <v>36</v>
      </c>
      <c r="E271">
        <v>2</v>
      </c>
      <c r="F271" t="s">
        <v>37</v>
      </c>
      <c r="G271">
        <v>4</v>
      </c>
      <c r="H271">
        <v>7</v>
      </c>
      <c r="I271">
        <v>1</v>
      </c>
      <c r="J271">
        <v>54</v>
      </c>
      <c r="K271">
        <v>58</v>
      </c>
      <c r="L271">
        <v>70</v>
      </c>
      <c r="M271">
        <v>2</v>
      </c>
      <c r="N271" t="s">
        <v>232</v>
      </c>
      <c r="O271" t="s">
        <v>113</v>
      </c>
      <c r="P271" t="s">
        <v>114</v>
      </c>
      <c r="Q271" t="s">
        <v>222</v>
      </c>
      <c r="R271" t="s">
        <v>114</v>
      </c>
      <c r="S271" t="s">
        <v>43</v>
      </c>
      <c r="T271" t="s">
        <v>81</v>
      </c>
      <c r="U271">
        <v>1</v>
      </c>
      <c r="V271" t="s">
        <v>69</v>
      </c>
      <c r="W271" t="s">
        <v>147</v>
      </c>
      <c r="X271" t="s">
        <v>68</v>
      </c>
      <c r="Y271">
        <v>1</v>
      </c>
      <c r="Z271">
        <v>2</v>
      </c>
      <c r="AA271">
        <v>44.1</v>
      </c>
      <c r="AB271">
        <v>1.581</v>
      </c>
      <c r="AC271" t="s">
        <v>81</v>
      </c>
      <c r="AD271">
        <v>1</v>
      </c>
      <c r="AE271">
        <v>1</v>
      </c>
      <c r="AF271">
        <v>1</v>
      </c>
      <c r="AG271">
        <v>2.8879999999999999</v>
      </c>
      <c r="AH271">
        <v>0.25</v>
      </c>
      <c r="AI271">
        <v>1.5820000000000001</v>
      </c>
      <c r="AJ271">
        <v>1.574989</v>
      </c>
      <c r="AL271">
        <f t="shared" si="39"/>
        <v>1.574989</v>
      </c>
      <c r="AM271">
        <f>VLOOKUP(TRIM(N271),'[1]All - Durations'!$E$2:$H$109,4,FALSE)</f>
        <v>1.0269999999999999</v>
      </c>
      <c r="AN271">
        <f t="shared" si="40"/>
        <v>0.54798900000000006</v>
      </c>
      <c r="AO271">
        <f t="shared" si="41"/>
        <v>0.54798900000000006</v>
      </c>
    </row>
    <row r="272" spans="1:41" x14ac:dyDescent="0.25">
      <c r="A272">
        <v>259</v>
      </c>
      <c r="B272" t="s">
        <v>35</v>
      </c>
      <c r="C272">
        <v>3</v>
      </c>
      <c r="D272" t="s">
        <v>36</v>
      </c>
      <c r="E272">
        <v>2</v>
      </c>
      <c r="F272" t="s">
        <v>37</v>
      </c>
      <c r="G272">
        <v>4</v>
      </c>
      <c r="H272">
        <v>7</v>
      </c>
      <c r="I272">
        <v>1</v>
      </c>
      <c r="J272">
        <v>55</v>
      </c>
      <c r="K272">
        <v>52</v>
      </c>
      <c r="L272">
        <v>32</v>
      </c>
      <c r="M272">
        <v>1</v>
      </c>
      <c r="N272" t="s">
        <v>234</v>
      </c>
      <c r="O272" t="s">
        <v>113</v>
      </c>
      <c r="P272" t="s">
        <v>114</v>
      </c>
      <c r="Q272" t="s">
        <v>231</v>
      </c>
      <c r="R272" t="s">
        <v>114</v>
      </c>
      <c r="S272" t="s">
        <v>43</v>
      </c>
      <c r="T272" t="s">
        <v>111</v>
      </c>
      <c r="U272">
        <v>1</v>
      </c>
      <c r="V272" t="s">
        <v>81</v>
      </c>
      <c r="W272" t="s">
        <v>106</v>
      </c>
      <c r="X272" t="s">
        <v>103</v>
      </c>
      <c r="Y272">
        <v>2</v>
      </c>
      <c r="Z272">
        <v>2</v>
      </c>
      <c r="AA272">
        <v>44.1</v>
      </c>
      <c r="AB272">
        <v>6.0999999999999999E-2</v>
      </c>
      <c r="AC272" t="s">
        <v>81</v>
      </c>
      <c r="AD272">
        <v>3</v>
      </c>
      <c r="AE272">
        <v>5</v>
      </c>
      <c r="AF272">
        <v>0</v>
      </c>
      <c r="AG272">
        <v>2.101</v>
      </c>
      <c r="AH272">
        <v>0.217</v>
      </c>
      <c r="AI272">
        <v>5.1999999999999998E-2</v>
      </c>
      <c r="AJ272">
        <v>1.144989</v>
      </c>
      <c r="AL272">
        <f t="shared" si="39"/>
        <v>1.144989</v>
      </c>
      <c r="AM272">
        <f>VLOOKUP(TRIM(N272),'[1]All - Durations'!$E$2:$H$109,4,FALSE)</f>
        <v>0.9</v>
      </c>
      <c r="AN272">
        <f t="shared" si="40"/>
        <v>0.24498900000000001</v>
      </c>
      <c r="AO272">
        <f t="shared" si="41"/>
        <v>0.24498900000000001</v>
      </c>
    </row>
    <row r="273" spans="1:41" x14ac:dyDescent="0.25">
      <c r="A273">
        <v>259</v>
      </c>
      <c r="B273" t="s">
        <v>35</v>
      </c>
      <c r="C273">
        <v>3</v>
      </c>
      <c r="D273" t="s">
        <v>36</v>
      </c>
      <c r="E273">
        <v>2</v>
      </c>
      <c r="F273" t="s">
        <v>37</v>
      </c>
      <c r="G273">
        <v>4</v>
      </c>
      <c r="H273">
        <v>7</v>
      </c>
      <c r="I273">
        <v>1</v>
      </c>
      <c r="J273">
        <v>56</v>
      </c>
      <c r="K273">
        <v>49</v>
      </c>
      <c r="L273">
        <v>35</v>
      </c>
      <c r="M273">
        <v>1</v>
      </c>
      <c r="N273" t="s">
        <v>219</v>
      </c>
      <c r="O273" t="s">
        <v>113</v>
      </c>
      <c r="P273" t="s">
        <v>114</v>
      </c>
      <c r="Q273" t="s">
        <v>220</v>
      </c>
      <c r="R273" t="s">
        <v>114</v>
      </c>
      <c r="S273" t="s">
        <v>92</v>
      </c>
      <c r="T273" t="s">
        <v>179</v>
      </c>
      <c r="U273">
        <v>4</v>
      </c>
      <c r="V273" t="s">
        <v>209</v>
      </c>
      <c r="W273" t="s">
        <v>166</v>
      </c>
      <c r="X273" t="s">
        <v>149</v>
      </c>
      <c r="Y273">
        <v>2</v>
      </c>
      <c r="Z273">
        <v>2</v>
      </c>
      <c r="AA273">
        <v>44.1</v>
      </c>
      <c r="AB273">
        <v>0.05</v>
      </c>
      <c r="AC273" t="s">
        <v>179</v>
      </c>
      <c r="AD273">
        <v>1</v>
      </c>
      <c r="AE273">
        <v>4</v>
      </c>
      <c r="AF273">
        <v>1</v>
      </c>
      <c r="AG273">
        <v>0.56000000000000005</v>
      </c>
      <c r="AH273">
        <v>0.4</v>
      </c>
      <c r="AI273">
        <v>4.8000000000000001E-2</v>
      </c>
      <c r="AJ273">
        <v>1.0149889999999999</v>
      </c>
      <c r="AL273">
        <f t="shared" si="39"/>
        <v>1.0149889999999999</v>
      </c>
      <c r="AM273">
        <f>VLOOKUP(TRIM(N273),'[1]All - Durations'!$E$2:$H$109,4,FALSE)</f>
        <v>0.99299999999999999</v>
      </c>
      <c r="AN273">
        <f t="shared" si="40"/>
        <v>2.1988999999999925E-2</v>
      </c>
      <c r="AO273">
        <f t="shared" si="41"/>
        <v>2.1988999999999925E-2</v>
      </c>
    </row>
    <row r="274" spans="1:41" x14ac:dyDescent="0.25">
      <c r="A274">
        <v>259</v>
      </c>
      <c r="B274" t="s">
        <v>35</v>
      </c>
      <c r="C274">
        <v>3</v>
      </c>
      <c r="D274" t="s">
        <v>36</v>
      </c>
      <c r="E274">
        <v>2</v>
      </c>
      <c r="F274" t="s">
        <v>37</v>
      </c>
      <c r="G274">
        <v>4</v>
      </c>
      <c r="H274">
        <v>7</v>
      </c>
      <c r="I274">
        <v>1</v>
      </c>
      <c r="J274">
        <v>57</v>
      </c>
      <c r="K274">
        <v>53</v>
      </c>
      <c r="L274">
        <v>65</v>
      </c>
      <c r="M274">
        <v>2</v>
      </c>
      <c r="N274" t="s">
        <v>225</v>
      </c>
      <c r="O274" t="s">
        <v>113</v>
      </c>
      <c r="P274" t="s">
        <v>114</v>
      </c>
      <c r="Q274" t="s">
        <v>226</v>
      </c>
      <c r="R274" t="s">
        <v>114</v>
      </c>
      <c r="S274" t="s">
        <v>59</v>
      </c>
      <c r="T274" t="s">
        <v>87</v>
      </c>
      <c r="U274">
        <v>2</v>
      </c>
      <c r="V274" t="s">
        <v>162</v>
      </c>
      <c r="W274" t="s">
        <v>85</v>
      </c>
      <c r="X274" t="s">
        <v>187</v>
      </c>
      <c r="Y274">
        <v>2</v>
      </c>
      <c r="Z274">
        <v>2</v>
      </c>
      <c r="AA274">
        <v>44.1</v>
      </c>
      <c r="AB274">
        <v>1.1220000000000001</v>
      </c>
      <c r="AC274" t="s">
        <v>162</v>
      </c>
      <c r="AD274">
        <v>3</v>
      </c>
      <c r="AE274">
        <v>4</v>
      </c>
      <c r="AF274">
        <v>0</v>
      </c>
      <c r="AG274">
        <v>2.13</v>
      </c>
      <c r="AH274">
        <v>0.25</v>
      </c>
      <c r="AI274">
        <v>1.115</v>
      </c>
      <c r="AJ274">
        <v>1.104989</v>
      </c>
      <c r="AL274">
        <f t="shared" si="39"/>
        <v>1.104989</v>
      </c>
      <c r="AM274">
        <f>VLOOKUP(TRIM(N274),'[1]All - Durations'!$E$2:$H$109,4,FALSE)</f>
        <v>0.97099999999999997</v>
      </c>
      <c r="AN274">
        <f t="shared" si="40"/>
        <v>0.13398900000000002</v>
      </c>
      <c r="AO274">
        <f t="shared" si="41"/>
        <v>0.13398900000000002</v>
      </c>
    </row>
    <row r="275" spans="1:41" x14ac:dyDescent="0.25">
      <c r="A275">
        <v>259</v>
      </c>
      <c r="B275" t="s">
        <v>35</v>
      </c>
      <c r="C275">
        <v>3</v>
      </c>
      <c r="D275" t="s">
        <v>36</v>
      </c>
      <c r="E275">
        <v>2</v>
      </c>
      <c r="F275" t="s">
        <v>37</v>
      </c>
      <c r="G275">
        <v>4</v>
      </c>
      <c r="H275">
        <v>7</v>
      </c>
      <c r="I275">
        <v>1</v>
      </c>
      <c r="J275">
        <v>58</v>
      </c>
      <c r="K275">
        <v>51</v>
      </c>
      <c r="L275">
        <v>31</v>
      </c>
      <c r="M275">
        <v>1</v>
      </c>
      <c r="N275" t="s">
        <v>230</v>
      </c>
      <c r="O275" t="s">
        <v>113</v>
      </c>
      <c r="P275" t="s">
        <v>114</v>
      </c>
      <c r="Q275" t="s">
        <v>231</v>
      </c>
      <c r="R275" t="s">
        <v>114</v>
      </c>
      <c r="S275" t="s">
        <v>59</v>
      </c>
      <c r="T275" t="s">
        <v>162</v>
      </c>
      <c r="U275">
        <v>1</v>
      </c>
      <c r="V275" t="s">
        <v>111</v>
      </c>
      <c r="W275" t="s">
        <v>102</v>
      </c>
      <c r="X275" t="s">
        <v>86</v>
      </c>
      <c r="Y275">
        <v>1</v>
      </c>
      <c r="Z275">
        <v>2</v>
      </c>
      <c r="AA275">
        <v>44.1</v>
      </c>
      <c r="AB275">
        <v>1.0129999999999999</v>
      </c>
      <c r="AC275" t="s">
        <v>111</v>
      </c>
      <c r="AD275">
        <v>2</v>
      </c>
      <c r="AE275">
        <v>5</v>
      </c>
      <c r="AF275">
        <v>0</v>
      </c>
      <c r="AG275">
        <v>1.845</v>
      </c>
      <c r="AH275">
        <v>0.2</v>
      </c>
      <c r="AI275">
        <v>1.0089999999999999</v>
      </c>
      <c r="AJ275">
        <v>1.0049889999999999</v>
      </c>
      <c r="AL275">
        <f t="shared" si="39"/>
        <v>1.0049889999999999</v>
      </c>
      <c r="AM275">
        <f>VLOOKUP(TRIM(N275),'[1]All - Durations'!$E$2:$H$109,4,FALSE)</f>
        <v>0.92100000000000004</v>
      </c>
      <c r="AN275">
        <f t="shared" si="40"/>
        <v>8.3988999999999869E-2</v>
      </c>
      <c r="AO275">
        <f t="shared" si="41"/>
        <v>8.3988999999999869E-2</v>
      </c>
    </row>
    <row r="276" spans="1:41" x14ac:dyDescent="0.25">
      <c r="A276">
        <v>259</v>
      </c>
      <c r="B276" t="s">
        <v>35</v>
      </c>
      <c r="C276">
        <v>3</v>
      </c>
      <c r="D276" t="s">
        <v>36</v>
      </c>
      <c r="E276">
        <v>2</v>
      </c>
      <c r="F276" t="s">
        <v>37</v>
      </c>
      <c r="G276">
        <v>4</v>
      </c>
      <c r="H276">
        <v>7</v>
      </c>
      <c r="I276">
        <v>1</v>
      </c>
      <c r="J276">
        <v>59</v>
      </c>
      <c r="K276">
        <v>55</v>
      </c>
      <c r="L276">
        <v>29</v>
      </c>
      <c r="M276">
        <v>1</v>
      </c>
      <c r="N276" t="s">
        <v>217</v>
      </c>
      <c r="O276" t="s">
        <v>113</v>
      </c>
      <c r="P276" t="s">
        <v>114</v>
      </c>
      <c r="Q276" t="s">
        <v>218</v>
      </c>
      <c r="R276" t="s">
        <v>114</v>
      </c>
      <c r="S276" t="s">
        <v>52</v>
      </c>
      <c r="T276" t="s">
        <v>214</v>
      </c>
      <c r="U276">
        <v>1</v>
      </c>
      <c r="V276" t="s">
        <v>74</v>
      </c>
      <c r="W276" t="s">
        <v>204</v>
      </c>
      <c r="X276" t="s">
        <v>156</v>
      </c>
      <c r="Y276">
        <v>2</v>
      </c>
      <c r="Z276">
        <v>2</v>
      </c>
      <c r="AA276">
        <v>44.1</v>
      </c>
      <c r="AB276">
        <v>1.081</v>
      </c>
      <c r="AC276" t="s">
        <v>74</v>
      </c>
      <c r="AD276">
        <v>3</v>
      </c>
      <c r="AE276">
        <v>2</v>
      </c>
      <c r="AF276">
        <v>0</v>
      </c>
      <c r="AG276">
        <v>2.0099999999999998</v>
      </c>
      <c r="AH276">
        <v>0.25</v>
      </c>
      <c r="AI276">
        <v>1.07</v>
      </c>
      <c r="AJ276">
        <v>1.064989</v>
      </c>
      <c r="AL276">
        <f t="shared" si="39"/>
        <v>1.064989</v>
      </c>
      <c r="AM276">
        <f>VLOOKUP(TRIM(N276),'[1]All - Durations'!$E$2:$H$109,4,FALSE)</f>
        <v>0.76300000000000001</v>
      </c>
      <c r="AN276">
        <f t="shared" si="40"/>
        <v>0.30198899999999995</v>
      </c>
      <c r="AO276">
        <f t="shared" si="41"/>
        <v>0.30198899999999995</v>
      </c>
    </row>
    <row r="277" spans="1:41" x14ac:dyDescent="0.25">
      <c r="A277">
        <v>259</v>
      </c>
      <c r="B277" t="s">
        <v>35</v>
      </c>
      <c r="C277">
        <v>3</v>
      </c>
      <c r="D277" t="s">
        <v>36</v>
      </c>
      <c r="E277">
        <v>2</v>
      </c>
      <c r="F277" t="s">
        <v>37</v>
      </c>
      <c r="G277">
        <v>4</v>
      </c>
      <c r="H277">
        <v>7</v>
      </c>
      <c r="I277">
        <v>1</v>
      </c>
      <c r="J277">
        <v>60</v>
      </c>
      <c r="K277">
        <v>50</v>
      </c>
      <c r="L277">
        <v>36</v>
      </c>
      <c r="M277">
        <v>1</v>
      </c>
      <c r="N277" t="s">
        <v>227</v>
      </c>
      <c r="O277" t="s">
        <v>113</v>
      </c>
      <c r="P277" t="s">
        <v>114</v>
      </c>
      <c r="Q277" t="s">
        <v>220</v>
      </c>
      <c r="R277" t="s">
        <v>114</v>
      </c>
      <c r="S277" t="s">
        <v>43</v>
      </c>
      <c r="T277" t="s">
        <v>116</v>
      </c>
      <c r="U277">
        <v>5</v>
      </c>
      <c r="V277" t="s">
        <v>179</v>
      </c>
      <c r="W277" t="s">
        <v>66</v>
      </c>
      <c r="X277" t="s">
        <v>132</v>
      </c>
      <c r="Y277">
        <v>1</v>
      </c>
      <c r="Z277">
        <v>2</v>
      </c>
      <c r="AA277">
        <v>44.1</v>
      </c>
      <c r="AB277">
        <v>0.01</v>
      </c>
      <c r="AC277" t="s">
        <v>132</v>
      </c>
      <c r="AD277">
        <v>4</v>
      </c>
      <c r="AE277">
        <v>2</v>
      </c>
      <c r="AF277">
        <v>0</v>
      </c>
      <c r="AG277">
        <v>3.6520000000000001</v>
      </c>
      <c r="AH277">
        <v>0.58399999999999996</v>
      </c>
      <c r="AI277">
        <v>1E-3</v>
      </c>
      <c r="AJ277">
        <v>1.104989</v>
      </c>
      <c r="AL277">
        <f t="shared" si="39"/>
        <v>1.104989</v>
      </c>
      <c r="AM277">
        <f>VLOOKUP(TRIM(N277),'[1]All - Durations'!$E$2:$H$109,4,FALSE)</f>
        <v>0.95299999999999996</v>
      </c>
      <c r="AN277">
        <f t="shared" si="40"/>
        <v>0.15198900000000004</v>
      </c>
      <c r="AO277">
        <f t="shared" si="41"/>
        <v>0.15198900000000004</v>
      </c>
    </row>
    <row r="278" spans="1:41" x14ac:dyDescent="0.25">
      <c r="A278">
        <v>259</v>
      </c>
      <c r="B278" t="s">
        <v>35</v>
      </c>
      <c r="C278">
        <v>3</v>
      </c>
      <c r="D278" t="s">
        <v>36</v>
      </c>
      <c r="E278">
        <v>2</v>
      </c>
      <c r="F278" t="s">
        <v>37</v>
      </c>
      <c r="G278">
        <v>4</v>
      </c>
      <c r="H278">
        <v>7</v>
      </c>
      <c r="I278">
        <v>1</v>
      </c>
      <c r="J278">
        <v>61</v>
      </c>
      <c r="K278">
        <v>67</v>
      </c>
      <c r="L278">
        <v>17</v>
      </c>
      <c r="M278">
        <v>1</v>
      </c>
      <c r="N278" t="s">
        <v>254</v>
      </c>
      <c r="O278" t="s">
        <v>151</v>
      </c>
      <c r="P278" t="s">
        <v>255</v>
      </c>
      <c r="Q278" t="s">
        <v>256</v>
      </c>
      <c r="R278" t="s">
        <v>174</v>
      </c>
      <c r="S278" t="s">
        <v>52</v>
      </c>
      <c r="T278" t="s">
        <v>47</v>
      </c>
      <c r="U278">
        <v>5</v>
      </c>
      <c r="V278" t="s">
        <v>187</v>
      </c>
      <c r="W278" t="s">
        <v>137</v>
      </c>
      <c r="X278" t="s">
        <v>156</v>
      </c>
      <c r="Y278">
        <v>2</v>
      </c>
      <c r="Z278">
        <v>2</v>
      </c>
      <c r="AA278">
        <v>44.1</v>
      </c>
      <c r="AB278">
        <v>2.1000000000000001E-2</v>
      </c>
      <c r="AC278" t="s">
        <v>47</v>
      </c>
      <c r="AD278">
        <v>1</v>
      </c>
      <c r="AE278">
        <v>5</v>
      </c>
      <c r="AF278">
        <v>1</v>
      </c>
      <c r="AG278">
        <v>3.282</v>
      </c>
      <c r="AH278">
        <v>0.51700000000000002</v>
      </c>
      <c r="AI278">
        <v>1.2E-2</v>
      </c>
      <c r="AJ278">
        <v>1.104989</v>
      </c>
      <c r="AL278">
        <f t="shared" si="39"/>
        <v>1.104989</v>
      </c>
      <c r="AM278">
        <f>VLOOKUP(TRIM(N278),'[1]All - Durations'!$E$2:$H$109,4,FALSE)</f>
        <v>0.97499999999999998</v>
      </c>
      <c r="AN278">
        <f t="shared" si="40"/>
        <v>0.12998900000000002</v>
      </c>
      <c r="AO278">
        <f t="shared" si="41"/>
        <v>0.12998900000000002</v>
      </c>
    </row>
    <row r="279" spans="1:41" x14ac:dyDescent="0.25">
      <c r="A279">
        <v>259</v>
      </c>
      <c r="B279" t="s">
        <v>35</v>
      </c>
      <c r="C279">
        <v>3</v>
      </c>
      <c r="D279" t="s">
        <v>36</v>
      </c>
      <c r="E279">
        <v>2</v>
      </c>
      <c r="F279" t="s">
        <v>37</v>
      </c>
      <c r="G279">
        <v>4</v>
      </c>
      <c r="H279">
        <v>7</v>
      </c>
      <c r="I279">
        <v>1</v>
      </c>
      <c r="J279">
        <v>62</v>
      </c>
      <c r="K279">
        <v>61</v>
      </c>
      <c r="L279">
        <v>23</v>
      </c>
      <c r="M279">
        <v>1</v>
      </c>
      <c r="N279" t="s">
        <v>244</v>
      </c>
      <c r="O279" t="s">
        <v>151</v>
      </c>
      <c r="P279" t="s">
        <v>245</v>
      </c>
      <c r="Q279" t="s">
        <v>246</v>
      </c>
      <c r="R279" t="s">
        <v>154</v>
      </c>
      <c r="S279" t="s">
        <v>92</v>
      </c>
      <c r="T279" t="s">
        <v>62</v>
      </c>
      <c r="U279">
        <v>4</v>
      </c>
      <c r="V279" t="s">
        <v>68</v>
      </c>
      <c r="W279" t="s">
        <v>66</v>
      </c>
      <c r="X279" t="s">
        <v>81</v>
      </c>
      <c r="Y279">
        <v>2</v>
      </c>
      <c r="Z279">
        <v>2</v>
      </c>
      <c r="AA279">
        <v>44.1</v>
      </c>
      <c r="AB279">
        <v>1.2999999999999999E-2</v>
      </c>
      <c r="AC279" t="s">
        <v>62</v>
      </c>
      <c r="AD279">
        <v>1</v>
      </c>
      <c r="AE279">
        <v>4</v>
      </c>
      <c r="AF279">
        <v>1</v>
      </c>
      <c r="AG279">
        <v>2.835</v>
      </c>
      <c r="AH279">
        <v>0.317</v>
      </c>
      <c r="AI279">
        <v>3.0000000000000001E-3</v>
      </c>
      <c r="AJ279">
        <v>1.324989</v>
      </c>
      <c r="AL279">
        <f t="shared" si="39"/>
        <v>1.324989</v>
      </c>
      <c r="AM279">
        <f>VLOOKUP(TRIM(N279),'[1]All - Durations'!$E$2:$H$109,4,FALSE)</f>
        <v>0.88300000000000001</v>
      </c>
      <c r="AN279">
        <f t="shared" si="40"/>
        <v>0.44198899999999997</v>
      </c>
      <c r="AO279">
        <f t="shared" si="41"/>
        <v>0.44198899999999997</v>
      </c>
    </row>
    <row r="280" spans="1:41" x14ac:dyDescent="0.25">
      <c r="A280">
        <v>259</v>
      </c>
      <c r="B280" t="s">
        <v>35</v>
      </c>
      <c r="C280">
        <v>3</v>
      </c>
      <c r="D280" t="s">
        <v>36</v>
      </c>
      <c r="E280">
        <v>2</v>
      </c>
      <c r="F280" t="s">
        <v>37</v>
      </c>
      <c r="G280">
        <v>4</v>
      </c>
      <c r="H280">
        <v>7</v>
      </c>
      <c r="I280">
        <v>1</v>
      </c>
      <c r="J280">
        <v>63</v>
      </c>
      <c r="K280">
        <v>63</v>
      </c>
      <c r="L280">
        <v>19</v>
      </c>
      <c r="M280">
        <v>1</v>
      </c>
      <c r="N280" t="s">
        <v>253</v>
      </c>
      <c r="O280" t="s">
        <v>151</v>
      </c>
      <c r="P280" t="s">
        <v>239</v>
      </c>
      <c r="Q280" t="s">
        <v>240</v>
      </c>
      <c r="R280" t="s">
        <v>170</v>
      </c>
      <c r="S280" t="s">
        <v>59</v>
      </c>
      <c r="T280" t="s">
        <v>211</v>
      </c>
      <c r="U280">
        <v>1</v>
      </c>
      <c r="V280" t="s">
        <v>82</v>
      </c>
      <c r="W280" t="s">
        <v>214</v>
      </c>
      <c r="X280" t="s">
        <v>54</v>
      </c>
      <c r="Y280">
        <v>1</v>
      </c>
      <c r="Z280">
        <v>2</v>
      </c>
      <c r="AA280">
        <v>44.1</v>
      </c>
      <c r="AB280">
        <v>0.86299999999999999</v>
      </c>
      <c r="AC280" t="s">
        <v>82</v>
      </c>
      <c r="AD280">
        <v>2</v>
      </c>
      <c r="AE280">
        <v>4</v>
      </c>
      <c r="AF280">
        <v>0</v>
      </c>
      <c r="AG280">
        <v>1.4159999999999999</v>
      </c>
      <c r="AH280">
        <v>0.25</v>
      </c>
      <c r="AI280">
        <v>0.86899999999999999</v>
      </c>
      <c r="AJ280">
        <v>1.064989</v>
      </c>
      <c r="AL280">
        <f t="shared" si="39"/>
        <v>1.064989</v>
      </c>
      <c r="AM280">
        <f>VLOOKUP(TRIM(N280),'[1]All - Durations'!$E$2:$H$109,4,FALSE)</f>
        <v>0.92100000000000004</v>
      </c>
      <c r="AN280">
        <f t="shared" si="40"/>
        <v>0.14398899999999992</v>
      </c>
      <c r="AO280">
        <f t="shared" si="41"/>
        <v>0.14398899999999992</v>
      </c>
    </row>
    <row r="281" spans="1:41" x14ac:dyDescent="0.25">
      <c r="A281">
        <v>259</v>
      </c>
      <c r="B281" t="s">
        <v>35</v>
      </c>
      <c r="C281">
        <v>3</v>
      </c>
      <c r="D281" t="s">
        <v>36</v>
      </c>
      <c r="E281">
        <v>2</v>
      </c>
      <c r="F281" t="s">
        <v>37</v>
      </c>
      <c r="G281">
        <v>4</v>
      </c>
      <c r="H281">
        <v>7</v>
      </c>
      <c r="I281">
        <v>1</v>
      </c>
      <c r="J281">
        <v>64</v>
      </c>
      <c r="K281">
        <v>70</v>
      </c>
      <c r="L281">
        <v>58</v>
      </c>
      <c r="M281">
        <v>2</v>
      </c>
      <c r="N281" t="s">
        <v>235</v>
      </c>
      <c r="O281" t="s">
        <v>151</v>
      </c>
      <c r="P281" t="s">
        <v>236</v>
      </c>
      <c r="Q281" t="s">
        <v>237</v>
      </c>
      <c r="R281" t="s">
        <v>160</v>
      </c>
      <c r="S281" t="s">
        <v>43</v>
      </c>
      <c r="T281" t="s">
        <v>55</v>
      </c>
      <c r="U281">
        <v>2</v>
      </c>
      <c r="V281" t="s">
        <v>75</v>
      </c>
      <c r="W281" t="s">
        <v>94</v>
      </c>
      <c r="X281" t="s">
        <v>95</v>
      </c>
      <c r="Y281">
        <v>1</v>
      </c>
      <c r="Z281">
        <v>2</v>
      </c>
      <c r="AA281">
        <v>44.1</v>
      </c>
      <c r="AB281">
        <v>5.2999999999999999E-2</v>
      </c>
      <c r="AC281" t="s">
        <v>55</v>
      </c>
      <c r="AD281">
        <v>1</v>
      </c>
      <c r="AE281">
        <v>2</v>
      </c>
      <c r="AF281">
        <v>1</v>
      </c>
      <c r="AG281">
        <v>2.7130000000000001</v>
      </c>
      <c r="AH281">
        <v>0.51700000000000002</v>
      </c>
      <c r="AI281">
        <v>5.2999999999999999E-2</v>
      </c>
      <c r="AJ281">
        <v>1.144989</v>
      </c>
      <c r="AL281">
        <f t="shared" si="39"/>
        <v>1.144989</v>
      </c>
      <c r="AM281">
        <f>VLOOKUP(TRIM(N281),'[1]All - Durations'!$E$2:$H$109,4,FALSE)</f>
        <v>0.85899999999999999</v>
      </c>
      <c r="AN281">
        <f t="shared" si="40"/>
        <v>0.28598900000000005</v>
      </c>
      <c r="AO281">
        <f t="shared" si="41"/>
        <v>0.28598900000000005</v>
      </c>
    </row>
    <row r="282" spans="1:41" x14ac:dyDescent="0.25">
      <c r="A282">
        <v>259</v>
      </c>
      <c r="B282" t="s">
        <v>35</v>
      </c>
      <c r="C282">
        <v>3</v>
      </c>
      <c r="D282" t="s">
        <v>36</v>
      </c>
      <c r="E282">
        <v>2</v>
      </c>
      <c r="F282" t="s">
        <v>37</v>
      </c>
      <c r="G282">
        <v>4</v>
      </c>
      <c r="H282">
        <v>7</v>
      </c>
      <c r="I282">
        <v>1</v>
      </c>
      <c r="J282">
        <v>65</v>
      </c>
      <c r="K282">
        <v>62</v>
      </c>
      <c r="L282">
        <v>24</v>
      </c>
      <c r="M282">
        <v>1</v>
      </c>
      <c r="N282" t="s">
        <v>251</v>
      </c>
      <c r="O282" t="s">
        <v>151</v>
      </c>
      <c r="P282" t="s">
        <v>245</v>
      </c>
      <c r="Q282" t="s">
        <v>246</v>
      </c>
      <c r="R282" t="s">
        <v>160</v>
      </c>
      <c r="S282" t="s">
        <v>43</v>
      </c>
      <c r="T282" t="s">
        <v>121</v>
      </c>
      <c r="U282">
        <v>2</v>
      </c>
      <c r="V282" t="s">
        <v>62</v>
      </c>
      <c r="W282" t="s">
        <v>87</v>
      </c>
      <c r="X282" t="s">
        <v>73</v>
      </c>
      <c r="Y282">
        <v>1</v>
      </c>
      <c r="Z282">
        <v>2</v>
      </c>
      <c r="AA282">
        <v>44.1</v>
      </c>
      <c r="AB282">
        <v>3.1E-2</v>
      </c>
      <c r="AC282" t="s">
        <v>121</v>
      </c>
      <c r="AD282">
        <v>1</v>
      </c>
      <c r="AE282">
        <v>2</v>
      </c>
      <c r="AF282">
        <v>1</v>
      </c>
      <c r="AG282">
        <v>2.6920000000000002</v>
      </c>
      <c r="AH282">
        <v>0.434</v>
      </c>
      <c r="AI282">
        <v>2.1999999999999999E-2</v>
      </c>
      <c r="AJ282">
        <v>1.0249889999999999</v>
      </c>
      <c r="AL282">
        <f t="shared" si="39"/>
        <v>1.0249889999999999</v>
      </c>
      <c r="AM282">
        <f>VLOOKUP(TRIM(N282),'[1]All - Durations'!$E$2:$H$109,4,FALSE)</f>
        <v>0.81699999999999995</v>
      </c>
      <c r="AN282">
        <f t="shared" si="40"/>
        <v>0.20798899999999998</v>
      </c>
      <c r="AO282">
        <f t="shared" si="41"/>
        <v>0.20798899999999998</v>
      </c>
    </row>
    <row r="283" spans="1:41" x14ac:dyDescent="0.25">
      <c r="A283">
        <v>259</v>
      </c>
      <c r="B283" t="s">
        <v>35</v>
      </c>
      <c r="C283">
        <v>3</v>
      </c>
      <c r="D283" t="s">
        <v>36</v>
      </c>
      <c r="E283">
        <v>2</v>
      </c>
      <c r="F283" t="s">
        <v>37</v>
      </c>
      <c r="G283">
        <v>4</v>
      </c>
      <c r="H283">
        <v>7</v>
      </c>
      <c r="I283">
        <v>1</v>
      </c>
      <c r="J283">
        <v>66</v>
      </c>
      <c r="K283">
        <v>65</v>
      </c>
      <c r="L283">
        <v>53</v>
      </c>
      <c r="M283">
        <v>2</v>
      </c>
      <c r="N283" t="s">
        <v>257</v>
      </c>
      <c r="O283" t="s">
        <v>151</v>
      </c>
      <c r="P283" t="s">
        <v>249</v>
      </c>
      <c r="Q283" t="s">
        <v>250</v>
      </c>
      <c r="R283" t="s">
        <v>170</v>
      </c>
      <c r="S283" t="s">
        <v>59</v>
      </c>
      <c r="T283" t="s">
        <v>204</v>
      </c>
      <c r="U283">
        <v>1</v>
      </c>
      <c r="V283" t="s">
        <v>211</v>
      </c>
      <c r="W283" t="s">
        <v>85</v>
      </c>
      <c r="X283" t="s">
        <v>119</v>
      </c>
      <c r="Y283">
        <v>2</v>
      </c>
      <c r="Z283">
        <v>2</v>
      </c>
      <c r="AA283">
        <v>44.1</v>
      </c>
      <c r="AB283">
        <v>0.85</v>
      </c>
      <c r="AC283" t="s">
        <v>204</v>
      </c>
      <c r="AD283">
        <v>1</v>
      </c>
      <c r="AE283">
        <v>1</v>
      </c>
      <c r="AF283">
        <v>1</v>
      </c>
      <c r="AG283">
        <v>2.0449999999999999</v>
      </c>
      <c r="AH283">
        <v>0.28399999999999997</v>
      </c>
      <c r="AI283">
        <v>0.86</v>
      </c>
      <c r="AJ283">
        <v>1.154989</v>
      </c>
      <c r="AL283">
        <f t="shared" si="39"/>
        <v>1.154989</v>
      </c>
      <c r="AM283">
        <f>VLOOKUP(TRIM(N283),'[1]All - Durations'!$E$2:$H$109,4,FALSE)</f>
        <v>0.98299999999999998</v>
      </c>
      <c r="AN283">
        <f t="shared" si="40"/>
        <v>0.17198900000000006</v>
      </c>
      <c r="AO283">
        <f t="shared" si="41"/>
        <v>0.17198900000000006</v>
      </c>
    </row>
    <row r="284" spans="1:41" x14ac:dyDescent="0.25">
      <c r="A284">
        <v>259</v>
      </c>
      <c r="B284" t="s">
        <v>35</v>
      </c>
      <c r="C284">
        <v>3</v>
      </c>
      <c r="D284" t="s">
        <v>36</v>
      </c>
      <c r="E284">
        <v>2</v>
      </c>
      <c r="F284" t="s">
        <v>37</v>
      </c>
      <c r="G284">
        <v>4</v>
      </c>
      <c r="H284">
        <v>7</v>
      </c>
      <c r="I284">
        <v>1</v>
      </c>
      <c r="J284">
        <v>67</v>
      </c>
      <c r="K284">
        <v>72</v>
      </c>
      <c r="L284">
        <v>22</v>
      </c>
      <c r="M284">
        <v>1</v>
      </c>
      <c r="N284" t="s">
        <v>241</v>
      </c>
      <c r="O284" t="s">
        <v>151</v>
      </c>
      <c r="P284" t="s">
        <v>242</v>
      </c>
      <c r="Q284" t="s">
        <v>243</v>
      </c>
      <c r="R284" t="s">
        <v>174</v>
      </c>
      <c r="S284" t="s">
        <v>52</v>
      </c>
      <c r="T284" t="s">
        <v>132</v>
      </c>
      <c r="U284">
        <v>4</v>
      </c>
      <c r="V284" t="s">
        <v>146</v>
      </c>
      <c r="W284" t="s">
        <v>185</v>
      </c>
      <c r="X284" t="s">
        <v>127</v>
      </c>
      <c r="Y284">
        <v>1</v>
      </c>
      <c r="Z284">
        <v>2</v>
      </c>
      <c r="AA284">
        <v>44.1</v>
      </c>
      <c r="AB284">
        <v>0.19</v>
      </c>
      <c r="AC284" t="s">
        <v>185</v>
      </c>
      <c r="AD284">
        <v>4</v>
      </c>
      <c r="AE284">
        <v>2</v>
      </c>
      <c r="AF284">
        <v>0</v>
      </c>
      <c r="AG284">
        <v>3.1440000000000001</v>
      </c>
      <c r="AH284">
        <v>0.26700000000000002</v>
      </c>
      <c r="AI284">
        <v>0.184</v>
      </c>
      <c r="AJ284">
        <v>1.2849889999999999</v>
      </c>
      <c r="AL284">
        <f t="shared" si="39"/>
        <v>1.2849889999999999</v>
      </c>
      <c r="AM284">
        <f>VLOOKUP(TRIM(N284),'[1]All - Durations'!$E$2:$H$109,4,FALSE)</f>
        <v>0.97099999999999997</v>
      </c>
      <c r="AN284">
        <f t="shared" si="40"/>
        <v>0.31398899999999996</v>
      </c>
      <c r="AO284">
        <f t="shared" si="41"/>
        <v>0.31398899999999996</v>
      </c>
    </row>
    <row r="285" spans="1:41" x14ac:dyDescent="0.25">
      <c r="A285">
        <v>259</v>
      </c>
      <c r="B285" t="s">
        <v>35</v>
      </c>
      <c r="C285">
        <v>3</v>
      </c>
      <c r="D285" t="s">
        <v>36</v>
      </c>
      <c r="E285">
        <v>2</v>
      </c>
      <c r="F285" t="s">
        <v>37</v>
      </c>
      <c r="G285">
        <v>4</v>
      </c>
      <c r="H285">
        <v>7</v>
      </c>
      <c r="I285">
        <v>1</v>
      </c>
      <c r="J285">
        <v>68</v>
      </c>
      <c r="K285">
        <v>64</v>
      </c>
      <c r="L285">
        <v>20</v>
      </c>
      <c r="M285">
        <v>1</v>
      </c>
      <c r="N285" t="s">
        <v>238</v>
      </c>
      <c r="O285" t="s">
        <v>151</v>
      </c>
      <c r="P285" t="s">
        <v>239</v>
      </c>
      <c r="Q285" t="s">
        <v>240</v>
      </c>
      <c r="R285" t="s">
        <v>160</v>
      </c>
      <c r="S285" t="s">
        <v>43</v>
      </c>
      <c r="T285" t="s">
        <v>82</v>
      </c>
      <c r="U285">
        <v>1</v>
      </c>
      <c r="V285" t="s">
        <v>110</v>
      </c>
      <c r="W285" t="s">
        <v>69</v>
      </c>
      <c r="X285" t="s">
        <v>80</v>
      </c>
      <c r="Y285">
        <v>2</v>
      </c>
      <c r="Z285">
        <v>2</v>
      </c>
      <c r="AA285">
        <v>44.1</v>
      </c>
      <c r="AB285">
        <v>0.96</v>
      </c>
      <c r="AC285" t="s">
        <v>82</v>
      </c>
      <c r="AD285">
        <v>1</v>
      </c>
      <c r="AE285">
        <v>1</v>
      </c>
      <c r="AF285">
        <v>1</v>
      </c>
      <c r="AG285">
        <v>0.82299999999999995</v>
      </c>
      <c r="AH285">
        <v>0.26700000000000002</v>
      </c>
      <c r="AI285">
        <v>0.96</v>
      </c>
      <c r="AJ285">
        <v>0.99498900000000001</v>
      </c>
      <c r="AL285">
        <f t="shared" si="39"/>
        <v>0.99498900000000001</v>
      </c>
      <c r="AM285">
        <f>VLOOKUP(TRIM(N285),'[1]All - Durations'!$E$2:$H$109,4,FALSE)</f>
        <v>0.9</v>
      </c>
      <c r="AN285">
        <f t="shared" si="40"/>
        <v>9.498899999999999E-2</v>
      </c>
      <c r="AO285">
        <f t="shared" si="41"/>
        <v>9.498899999999999E-2</v>
      </c>
    </row>
    <row r="286" spans="1:41" x14ac:dyDescent="0.25">
      <c r="A286">
        <v>259</v>
      </c>
      <c r="B286" t="s">
        <v>35</v>
      </c>
      <c r="C286">
        <v>3</v>
      </c>
      <c r="D286" t="s">
        <v>36</v>
      </c>
      <c r="E286">
        <v>2</v>
      </c>
      <c r="F286" t="s">
        <v>37</v>
      </c>
      <c r="G286">
        <v>4</v>
      </c>
      <c r="H286">
        <v>7</v>
      </c>
      <c r="I286">
        <v>1</v>
      </c>
      <c r="J286">
        <v>69</v>
      </c>
      <c r="K286">
        <v>66</v>
      </c>
      <c r="L286">
        <v>54</v>
      </c>
      <c r="M286">
        <v>2</v>
      </c>
      <c r="N286" t="s">
        <v>248</v>
      </c>
      <c r="O286" t="s">
        <v>151</v>
      </c>
      <c r="P286" t="s">
        <v>249</v>
      </c>
      <c r="Q286" t="s">
        <v>250</v>
      </c>
      <c r="R286" t="s">
        <v>154</v>
      </c>
      <c r="S286" t="s">
        <v>92</v>
      </c>
      <c r="T286" t="s">
        <v>68</v>
      </c>
      <c r="U286">
        <v>1</v>
      </c>
      <c r="V286" t="s">
        <v>204</v>
      </c>
      <c r="W286" t="s">
        <v>104</v>
      </c>
      <c r="X286" t="s">
        <v>44</v>
      </c>
      <c r="Y286">
        <v>1</v>
      </c>
      <c r="Z286">
        <v>2</v>
      </c>
      <c r="AA286">
        <v>44.1</v>
      </c>
      <c r="AB286">
        <v>0.81299999999999994</v>
      </c>
      <c r="AC286" t="s">
        <v>68</v>
      </c>
      <c r="AD286">
        <v>1</v>
      </c>
      <c r="AE286">
        <v>1</v>
      </c>
      <c r="AF286">
        <v>1</v>
      </c>
      <c r="AG286">
        <v>1.5369999999999999</v>
      </c>
      <c r="AH286">
        <v>0.2</v>
      </c>
      <c r="AI286">
        <v>0.80300000000000005</v>
      </c>
      <c r="AJ286">
        <v>1.124989</v>
      </c>
      <c r="AL286">
        <f t="shared" si="39"/>
        <v>1.124989</v>
      </c>
      <c r="AM286">
        <f>VLOOKUP(TRIM(N286),'[1]All - Durations'!$E$2:$H$109,4,FALSE)</f>
        <v>0.94199999999999995</v>
      </c>
      <c r="AN286">
        <f t="shared" si="40"/>
        <v>0.18298900000000007</v>
      </c>
      <c r="AO286">
        <f t="shared" si="41"/>
        <v>0.18298900000000007</v>
      </c>
    </row>
    <row r="287" spans="1:41" x14ac:dyDescent="0.25">
      <c r="A287">
        <v>259</v>
      </c>
      <c r="B287" t="s">
        <v>35</v>
      </c>
      <c r="C287">
        <v>3</v>
      </c>
      <c r="D287" t="s">
        <v>36</v>
      </c>
      <c r="E287">
        <v>2</v>
      </c>
      <c r="F287" t="s">
        <v>37</v>
      </c>
      <c r="G287">
        <v>4</v>
      </c>
      <c r="H287">
        <v>7</v>
      </c>
      <c r="I287">
        <v>1</v>
      </c>
      <c r="J287">
        <v>70</v>
      </c>
      <c r="K287">
        <v>71</v>
      </c>
      <c r="L287">
        <v>21</v>
      </c>
      <c r="M287">
        <v>1</v>
      </c>
      <c r="N287" t="s">
        <v>252</v>
      </c>
      <c r="O287" t="s">
        <v>151</v>
      </c>
      <c r="P287" t="s">
        <v>242</v>
      </c>
      <c r="Q287" t="s">
        <v>243</v>
      </c>
      <c r="R287" t="s">
        <v>170</v>
      </c>
      <c r="S287" t="s">
        <v>59</v>
      </c>
      <c r="T287" t="s">
        <v>146</v>
      </c>
      <c r="U287">
        <v>1</v>
      </c>
      <c r="V287" t="s">
        <v>139</v>
      </c>
      <c r="W287" t="s">
        <v>79</v>
      </c>
      <c r="X287" t="s">
        <v>209</v>
      </c>
      <c r="Y287">
        <v>2</v>
      </c>
      <c r="Z287">
        <v>2</v>
      </c>
      <c r="AA287">
        <v>44.1</v>
      </c>
      <c r="AB287">
        <v>0.06</v>
      </c>
      <c r="AC287" t="s">
        <v>79</v>
      </c>
      <c r="AD287">
        <v>4</v>
      </c>
      <c r="AE287">
        <v>5</v>
      </c>
      <c r="AF287">
        <v>0</v>
      </c>
      <c r="AG287">
        <v>2.61</v>
      </c>
      <c r="AH287">
        <v>0.217</v>
      </c>
      <c r="AI287">
        <v>5.8999999999999997E-2</v>
      </c>
      <c r="AJ287">
        <v>1.2249890000000001</v>
      </c>
      <c r="AL287">
        <f t="shared" si="39"/>
        <v>1.2249890000000001</v>
      </c>
      <c r="AM287">
        <f>VLOOKUP(TRIM(N287),'[1]All - Durations'!$E$2:$H$109,4,FALSE)</f>
        <v>1.026</v>
      </c>
      <c r="AN287">
        <f t="shared" si="40"/>
        <v>0.19898900000000008</v>
      </c>
      <c r="AO287">
        <f t="shared" si="41"/>
        <v>0.19898900000000008</v>
      </c>
    </row>
    <row r="288" spans="1:41" x14ac:dyDescent="0.25">
      <c r="A288">
        <v>259</v>
      </c>
      <c r="B288" t="s">
        <v>35</v>
      </c>
      <c r="C288">
        <v>3</v>
      </c>
      <c r="D288" t="s">
        <v>36</v>
      </c>
      <c r="E288">
        <v>2</v>
      </c>
      <c r="F288" t="s">
        <v>37</v>
      </c>
      <c r="G288">
        <v>4</v>
      </c>
      <c r="H288">
        <v>7</v>
      </c>
      <c r="I288">
        <v>1</v>
      </c>
      <c r="J288">
        <v>71</v>
      </c>
      <c r="K288">
        <v>69</v>
      </c>
      <c r="L288">
        <v>57</v>
      </c>
      <c r="M288">
        <v>2</v>
      </c>
      <c r="N288" t="s">
        <v>247</v>
      </c>
      <c r="O288" t="s">
        <v>151</v>
      </c>
      <c r="P288" t="s">
        <v>236</v>
      </c>
      <c r="Q288" t="s">
        <v>237</v>
      </c>
      <c r="R288" t="s">
        <v>174</v>
      </c>
      <c r="S288" t="s">
        <v>52</v>
      </c>
      <c r="T288" t="s">
        <v>75</v>
      </c>
      <c r="U288">
        <v>5</v>
      </c>
      <c r="V288" t="s">
        <v>99</v>
      </c>
      <c r="W288" t="s">
        <v>60</v>
      </c>
      <c r="X288" t="s">
        <v>46</v>
      </c>
      <c r="Y288">
        <v>2</v>
      </c>
      <c r="Z288">
        <v>2</v>
      </c>
      <c r="AA288">
        <v>44.1</v>
      </c>
      <c r="AB288">
        <v>0.90100000000000002</v>
      </c>
      <c r="AC288" t="s">
        <v>60</v>
      </c>
      <c r="AD288">
        <v>4</v>
      </c>
      <c r="AE288">
        <v>2</v>
      </c>
      <c r="AF288">
        <v>0</v>
      </c>
      <c r="AG288">
        <v>1.9630000000000001</v>
      </c>
      <c r="AH288">
        <v>0.183</v>
      </c>
      <c r="AI288">
        <v>0.89900000000000002</v>
      </c>
      <c r="AJ288">
        <v>1.2149890000000001</v>
      </c>
      <c r="AL288">
        <f t="shared" si="39"/>
        <v>1.2149890000000001</v>
      </c>
      <c r="AM288">
        <f>VLOOKUP(TRIM(N288),'[1]All - Durations'!$E$2:$H$109,4,FALSE)</f>
        <v>0.94399999999999995</v>
      </c>
      <c r="AN288">
        <f t="shared" si="40"/>
        <v>0.27098900000000015</v>
      </c>
      <c r="AO288">
        <f t="shared" si="41"/>
        <v>0.27098900000000015</v>
      </c>
    </row>
    <row r="289" spans="1:41" x14ac:dyDescent="0.25">
      <c r="A289">
        <v>259</v>
      </c>
      <c r="B289" t="s">
        <v>35</v>
      </c>
      <c r="C289">
        <v>3</v>
      </c>
      <c r="D289" t="s">
        <v>36</v>
      </c>
      <c r="E289">
        <v>2</v>
      </c>
      <c r="F289" t="s">
        <v>37</v>
      </c>
      <c r="G289">
        <v>4</v>
      </c>
      <c r="H289">
        <v>7</v>
      </c>
      <c r="I289">
        <v>1</v>
      </c>
      <c r="J289">
        <v>72</v>
      </c>
      <c r="K289">
        <v>68</v>
      </c>
      <c r="L289">
        <v>18</v>
      </c>
      <c r="M289">
        <v>1</v>
      </c>
      <c r="N289" t="s">
        <v>258</v>
      </c>
      <c r="O289" t="s">
        <v>151</v>
      </c>
      <c r="P289" t="s">
        <v>255</v>
      </c>
      <c r="Q289" t="s">
        <v>256</v>
      </c>
      <c r="R289" t="s">
        <v>160</v>
      </c>
      <c r="S289" t="s">
        <v>43</v>
      </c>
      <c r="T289" t="s">
        <v>110</v>
      </c>
      <c r="U289">
        <v>5</v>
      </c>
      <c r="V289" t="s">
        <v>47</v>
      </c>
      <c r="W289" t="s">
        <v>179</v>
      </c>
      <c r="X289" t="s">
        <v>93</v>
      </c>
      <c r="Y289">
        <v>1</v>
      </c>
      <c r="Z289">
        <v>2</v>
      </c>
      <c r="AA289">
        <v>44.1</v>
      </c>
      <c r="AB289">
        <v>0.111</v>
      </c>
      <c r="AC289" t="s">
        <v>110</v>
      </c>
      <c r="AD289">
        <v>1</v>
      </c>
      <c r="AE289">
        <v>5</v>
      </c>
      <c r="AF289">
        <v>1</v>
      </c>
      <c r="AG289">
        <v>0.82</v>
      </c>
      <c r="AH289">
        <v>0.23400000000000001</v>
      </c>
      <c r="AI289">
        <v>0.1</v>
      </c>
      <c r="AJ289">
        <v>1.0449889999999999</v>
      </c>
      <c r="AL289">
        <f t="shared" si="39"/>
        <v>1.0449889999999999</v>
      </c>
      <c r="AM289">
        <f>VLOOKUP(TRIM(N289),'[1]All - Durations'!$E$2:$H$109,4,FALSE)</f>
        <v>0.86299999999999999</v>
      </c>
      <c r="AN289">
        <f t="shared" si="40"/>
        <v>0.18198899999999996</v>
      </c>
      <c r="AO289">
        <f t="shared" si="41"/>
        <v>0.18198899999999996</v>
      </c>
    </row>
    <row r="290" spans="1:41" x14ac:dyDescent="0.25">
      <c r="A290">
        <v>259</v>
      </c>
      <c r="B290" t="s">
        <v>35</v>
      </c>
      <c r="C290">
        <v>3</v>
      </c>
      <c r="D290" t="s">
        <v>36</v>
      </c>
      <c r="E290">
        <v>3</v>
      </c>
      <c r="F290" t="s">
        <v>37</v>
      </c>
      <c r="G290">
        <v>5</v>
      </c>
      <c r="H290">
        <v>8</v>
      </c>
      <c r="I290">
        <v>1</v>
      </c>
      <c r="J290">
        <v>1</v>
      </c>
      <c r="K290">
        <v>2</v>
      </c>
      <c r="L290">
        <v>48</v>
      </c>
      <c r="M290">
        <v>2</v>
      </c>
      <c r="N290" t="s">
        <v>38</v>
      </c>
      <c r="O290" t="s">
        <v>39</v>
      </c>
      <c r="P290" t="s">
        <v>40</v>
      </c>
      <c r="Q290" t="s">
        <v>41</v>
      </c>
      <c r="R290" t="s">
        <v>42</v>
      </c>
      <c r="S290" t="s">
        <v>43</v>
      </c>
      <c r="T290" t="s">
        <v>44</v>
      </c>
      <c r="U290">
        <v>5</v>
      </c>
      <c r="V290" t="s">
        <v>60</v>
      </c>
      <c r="W290" t="s">
        <v>130</v>
      </c>
      <c r="X290" t="s">
        <v>132</v>
      </c>
      <c r="Y290">
        <v>1</v>
      </c>
      <c r="Z290">
        <v>3</v>
      </c>
      <c r="AA290">
        <v>44.1</v>
      </c>
      <c r="AB290">
        <v>-1</v>
      </c>
      <c r="AC290" t="s">
        <v>60</v>
      </c>
      <c r="AD290">
        <v>2</v>
      </c>
      <c r="AE290">
        <v>4</v>
      </c>
      <c r="AF290">
        <v>0</v>
      </c>
      <c r="AG290">
        <v>3.7090000000000001</v>
      </c>
      <c r="AH290">
        <v>0.47799999999999998</v>
      </c>
      <c r="AI290">
        <v>-1</v>
      </c>
      <c r="AL290" t="str">
        <f t="shared" si="39"/>
        <v/>
      </c>
      <c r="AM290">
        <f>VLOOKUP(TRIM(N290),'[1]All - Durations'!$E$2:$H$109,4,FALSE)</f>
        <v>0.87</v>
      </c>
      <c r="AN290" t="e">
        <f t="shared" si="40"/>
        <v>#VALUE!</v>
      </c>
      <c r="AO290" t="str">
        <f t="shared" si="41"/>
        <v/>
      </c>
    </row>
    <row r="291" spans="1:41" x14ac:dyDescent="0.25">
      <c r="A291">
        <v>259</v>
      </c>
      <c r="B291" t="s">
        <v>35</v>
      </c>
      <c r="C291">
        <v>3</v>
      </c>
      <c r="D291" t="s">
        <v>36</v>
      </c>
      <c r="E291">
        <v>3</v>
      </c>
      <c r="F291" t="s">
        <v>37</v>
      </c>
      <c r="G291">
        <v>5</v>
      </c>
      <c r="H291">
        <v>8</v>
      </c>
      <c r="I291">
        <v>1</v>
      </c>
      <c r="J291">
        <v>2</v>
      </c>
      <c r="K291">
        <v>10</v>
      </c>
      <c r="L291">
        <v>4</v>
      </c>
      <c r="M291">
        <v>1</v>
      </c>
      <c r="N291" t="s">
        <v>101</v>
      </c>
      <c r="O291" t="s">
        <v>39</v>
      </c>
      <c r="P291" t="s">
        <v>89</v>
      </c>
      <c r="Q291" t="s">
        <v>90</v>
      </c>
      <c r="R291" t="s">
        <v>51</v>
      </c>
      <c r="S291" t="s">
        <v>52</v>
      </c>
      <c r="T291" t="s">
        <v>102</v>
      </c>
      <c r="U291">
        <v>5</v>
      </c>
      <c r="V291" t="s">
        <v>144</v>
      </c>
      <c r="W291" t="s">
        <v>183</v>
      </c>
      <c r="X291" t="s">
        <v>56</v>
      </c>
      <c r="Y291">
        <v>2</v>
      </c>
      <c r="Z291">
        <v>3</v>
      </c>
      <c r="AA291">
        <v>44.1</v>
      </c>
      <c r="AB291">
        <v>-1</v>
      </c>
      <c r="AC291" t="s">
        <v>183</v>
      </c>
      <c r="AD291">
        <v>4</v>
      </c>
      <c r="AE291">
        <v>4</v>
      </c>
      <c r="AF291">
        <v>0</v>
      </c>
      <c r="AG291">
        <v>3.2839999999999998</v>
      </c>
      <c r="AH291">
        <v>3.0339999999999998</v>
      </c>
      <c r="AI291">
        <v>-1</v>
      </c>
      <c r="AL291" t="str">
        <f t="shared" si="39"/>
        <v/>
      </c>
      <c r="AM291">
        <f>VLOOKUP(TRIM(N291),'[1]All - Durations'!$E$2:$H$109,4,FALSE)</f>
        <v>0.93799999999999994</v>
      </c>
      <c r="AN291" t="e">
        <f t="shared" si="40"/>
        <v>#VALUE!</v>
      </c>
      <c r="AO291" t="str">
        <f t="shared" si="41"/>
        <v/>
      </c>
    </row>
    <row r="292" spans="1:41" x14ac:dyDescent="0.25">
      <c r="A292">
        <v>259</v>
      </c>
      <c r="B292" t="s">
        <v>35</v>
      </c>
      <c r="C292">
        <v>3</v>
      </c>
      <c r="D292" t="s">
        <v>36</v>
      </c>
      <c r="E292">
        <v>3</v>
      </c>
      <c r="F292" t="s">
        <v>37</v>
      </c>
      <c r="G292">
        <v>5</v>
      </c>
      <c r="H292">
        <v>8</v>
      </c>
      <c r="I292">
        <v>1</v>
      </c>
      <c r="J292">
        <v>3</v>
      </c>
      <c r="K292">
        <v>11</v>
      </c>
      <c r="L292">
        <v>43</v>
      </c>
      <c r="M292">
        <v>2</v>
      </c>
      <c r="N292" t="s">
        <v>105</v>
      </c>
      <c r="O292" t="s">
        <v>39</v>
      </c>
      <c r="P292" t="s">
        <v>77</v>
      </c>
      <c r="Q292" t="s">
        <v>78</v>
      </c>
      <c r="R292" t="s">
        <v>91</v>
      </c>
      <c r="S292" t="s">
        <v>92</v>
      </c>
      <c r="T292" t="s">
        <v>80</v>
      </c>
      <c r="U292">
        <v>1</v>
      </c>
      <c r="V292" t="s">
        <v>79</v>
      </c>
      <c r="W292" t="s">
        <v>146</v>
      </c>
      <c r="X292" t="s">
        <v>87</v>
      </c>
      <c r="Y292">
        <v>1</v>
      </c>
      <c r="Z292">
        <v>3</v>
      </c>
      <c r="AA292">
        <v>44.1</v>
      </c>
      <c r="AB292">
        <v>0.112</v>
      </c>
      <c r="AC292" t="s">
        <v>80</v>
      </c>
      <c r="AD292">
        <v>1</v>
      </c>
      <c r="AE292">
        <v>1</v>
      </c>
      <c r="AF292">
        <v>1</v>
      </c>
      <c r="AG292">
        <v>2.1640000000000001</v>
      </c>
      <c r="AH292">
        <v>2.7010000000000001</v>
      </c>
      <c r="AI292">
        <v>0.10199999999999999</v>
      </c>
      <c r="AL292" t="str">
        <f t="shared" si="39"/>
        <v/>
      </c>
      <c r="AM292">
        <f>VLOOKUP(TRIM(N292),'[1]All - Durations'!$E$2:$H$109,4,FALSE)</f>
        <v>1.002</v>
      </c>
      <c r="AN292" t="e">
        <f t="shared" si="40"/>
        <v>#VALUE!</v>
      </c>
      <c r="AO292" t="str">
        <f t="shared" si="41"/>
        <v/>
      </c>
    </row>
    <row r="293" spans="1:41" x14ac:dyDescent="0.25">
      <c r="A293">
        <v>259</v>
      </c>
      <c r="B293" t="s">
        <v>35</v>
      </c>
      <c r="C293">
        <v>3</v>
      </c>
      <c r="D293" t="s">
        <v>36</v>
      </c>
      <c r="E293">
        <v>3</v>
      </c>
      <c r="F293" t="s">
        <v>37</v>
      </c>
      <c r="G293">
        <v>5</v>
      </c>
      <c r="H293">
        <v>8</v>
      </c>
      <c r="I293">
        <v>1</v>
      </c>
      <c r="J293">
        <v>4</v>
      </c>
      <c r="K293">
        <v>6</v>
      </c>
      <c r="L293">
        <v>38</v>
      </c>
      <c r="M293">
        <v>2</v>
      </c>
      <c r="N293" t="s">
        <v>48</v>
      </c>
      <c r="O293" t="s">
        <v>39</v>
      </c>
      <c r="P293" t="s">
        <v>49</v>
      </c>
      <c r="Q293" t="s">
        <v>50</v>
      </c>
      <c r="R293" t="s">
        <v>51</v>
      </c>
      <c r="S293" t="s">
        <v>52</v>
      </c>
      <c r="T293" t="s">
        <v>53</v>
      </c>
      <c r="U293">
        <v>5</v>
      </c>
      <c r="V293" t="s">
        <v>172</v>
      </c>
      <c r="W293" t="s">
        <v>96</v>
      </c>
      <c r="X293" t="s">
        <v>137</v>
      </c>
      <c r="Y293">
        <v>2</v>
      </c>
      <c r="Z293">
        <v>3</v>
      </c>
      <c r="AA293">
        <v>44.1</v>
      </c>
      <c r="AB293">
        <v>-1</v>
      </c>
      <c r="AC293" t="s">
        <v>53</v>
      </c>
      <c r="AD293">
        <v>1</v>
      </c>
      <c r="AE293">
        <v>5</v>
      </c>
      <c r="AF293">
        <v>1</v>
      </c>
      <c r="AG293">
        <v>2.141</v>
      </c>
      <c r="AH293">
        <v>3.0329999999999999</v>
      </c>
      <c r="AI293">
        <v>-1</v>
      </c>
      <c r="AL293" t="str">
        <f t="shared" si="39"/>
        <v/>
      </c>
      <c r="AM293">
        <f>VLOOKUP(TRIM(N293),'[1]All - Durations'!$E$2:$H$109,4,FALSE)</f>
        <v>0.92200000000000004</v>
      </c>
      <c r="AN293" t="e">
        <f t="shared" si="40"/>
        <v>#VALUE!</v>
      </c>
      <c r="AO293" t="str">
        <f t="shared" si="41"/>
        <v/>
      </c>
    </row>
    <row r="294" spans="1:41" x14ac:dyDescent="0.25">
      <c r="A294">
        <v>259</v>
      </c>
      <c r="B294" t="s">
        <v>35</v>
      </c>
      <c r="C294">
        <v>3</v>
      </c>
      <c r="D294" t="s">
        <v>36</v>
      </c>
      <c r="E294">
        <v>3</v>
      </c>
      <c r="F294" t="s">
        <v>37</v>
      </c>
      <c r="G294">
        <v>5</v>
      </c>
      <c r="H294">
        <v>8</v>
      </c>
      <c r="I294">
        <v>1</v>
      </c>
      <c r="J294">
        <v>5</v>
      </c>
      <c r="K294">
        <v>4</v>
      </c>
      <c r="L294">
        <v>2</v>
      </c>
      <c r="M294">
        <v>1</v>
      </c>
      <c r="N294" t="s">
        <v>109</v>
      </c>
      <c r="O294" t="s">
        <v>39</v>
      </c>
      <c r="P294" t="s">
        <v>71</v>
      </c>
      <c r="Q294" t="s">
        <v>72</v>
      </c>
      <c r="R294" t="s">
        <v>91</v>
      </c>
      <c r="S294" t="s">
        <v>92</v>
      </c>
      <c r="T294" t="s">
        <v>94</v>
      </c>
      <c r="U294">
        <v>2</v>
      </c>
      <c r="V294" t="s">
        <v>54</v>
      </c>
      <c r="W294" t="s">
        <v>166</v>
      </c>
      <c r="X294" t="s">
        <v>111</v>
      </c>
      <c r="Y294">
        <v>2</v>
      </c>
      <c r="Z294">
        <v>3</v>
      </c>
      <c r="AA294">
        <v>44.1</v>
      </c>
      <c r="AB294">
        <v>-1</v>
      </c>
      <c r="AC294" t="s">
        <v>54</v>
      </c>
      <c r="AD294">
        <v>3</v>
      </c>
      <c r="AE294">
        <v>1</v>
      </c>
      <c r="AF294">
        <v>0</v>
      </c>
      <c r="AG294">
        <v>3.3809999999999998</v>
      </c>
      <c r="AH294">
        <v>1.0169999999999999</v>
      </c>
      <c r="AI294">
        <v>-1</v>
      </c>
      <c r="AL294" t="str">
        <f t="shared" si="39"/>
        <v/>
      </c>
      <c r="AM294">
        <f>VLOOKUP(TRIM(N294),'[1]All - Durations'!$E$2:$H$109,4,FALSE)</f>
        <v>0.872</v>
      </c>
      <c r="AN294" t="e">
        <f t="shared" si="40"/>
        <v>#VALUE!</v>
      </c>
      <c r="AO294" t="str">
        <f t="shared" si="41"/>
        <v/>
      </c>
    </row>
    <row r="295" spans="1:41" x14ac:dyDescent="0.25">
      <c r="A295">
        <v>259</v>
      </c>
      <c r="B295" t="s">
        <v>35</v>
      </c>
      <c r="C295">
        <v>3</v>
      </c>
      <c r="D295" t="s">
        <v>36</v>
      </c>
      <c r="E295">
        <v>3</v>
      </c>
      <c r="F295" t="s">
        <v>37</v>
      </c>
      <c r="G295">
        <v>5</v>
      </c>
      <c r="H295">
        <v>8</v>
      </c>
      <c r="I295">
        <v>1</v>
      </c>
      <c r="J295">
        <v>6</v>
      </c>
      <c r="K295">
        <v>5</v>
      </c>
      <c r="L295">
        <v>37</v>
      </c>
      <c r="M295">
        <v>2</v>
      </c>
      <c r="N295" t="s">
        <v>97</v>
      </c>
      <c r="O295" t="s">
        <v>39</v>
      </c>
      <c r="P295" t="s">
        <v>49</v>
      </c>
      <c r="Q295" t="s">
        <v>50</v>
      </c>
      <c r="R295" t="s">
        <v>91</v>
      </c>
      <c r="S295" t="s">
        <v>92</v>
      </c>
      <c r="T295" t="s">
        <v>54</v>
      </c>
      <c r="U295">
        <v>5</v>
      </c>
      <c r="V295" t="s">
        <v>53</v>
      </c>
      <c r="W295" t="s">
        <v>82</v>
      </c>
      <c r="X295" t="s">
        <v>124</v>
      </c>
      <c r="Y295">
        <v>1</v>
      </c>
      <c r="Z295">
        <v>3</v>
      </c>
      <c r="AA295">
        <v>44.1</v>
      </c>
      <c r="AB295">
        <v>-1</v>
      </c>
      <c r="AC295" t="s">
        <v>53</v>
      </c>
      <c r="AD295">
        <v>2</v>
      </c>
      <c r="AE295">
        <v>4</v>
      </c>
      <c r="AF295">
        <v>0</v>
      </c>
      <c r="AG295">
        <v>2.8980000000000001</v>
      </c>
      <c r="AH295">
        <v>0.96699999999999997</v>
      </c>
      <c r="AI295">
        <v>-1</v>
      </c>
      <c r="AL295" t="str">
        <f t="shared" si="39"/>
        <v/>
      </c>
      <c r="AM295">
        <f>VLOOKUP(TRIM(N295),'[1]All - Durations'!$E$2:$H$109,4,FALSE)</f>
        <v>0.74</v>
      </c>
      <c r="AN295" t="e">
        <f t="shared" si="40"/>
        <v>#VALUE!</v>
      </c>
      <c r="AO295" t="str">
        <f t="shared" si="41"/>
        <v/>
      </c>
    </row>
    <row r="296" spans="1:41" x14ac:dyDescent="0.25">
      <c r="A296">
        <v>259</v>
      </c>
      <c r="B296" t="s">
        <v>35</v>
      </c>
      <c r="C296">
        <v>3</v>
      </c>
      <c r="D296" t="s">
        <v>36</v>
      </c>
      <c r="E296">
        <v>3</v>
      </c>
      <c r="F296" t="s">
        <v>37</v>
      </c>
      <c r="G296">
        <v>5</v>
      </c>
      <c r="H296">
        <v>8</v>
      </c>
      <c r="I296">
        <v>1</v>
      </c>
      <c r="J296">
        <v>7</v>
      </c>
      <c r="K296">
        <v>9</v>
      </c>
      <c r="L296">
        <v>3</v>
      </c>
      <c r="M296">
        <v>1</v>
      </c>
      <c r="N296" t="s">
        <v>88</v>
      </c>
      <c r="O296" t="s">
        <v>39</v>
      </c>
      <c r="P296" t="s">
        <v>89</v>
      </c>
      <c r="Q296" t="s">
        <v>90</v>
      </c>
      <c r="R296" t="s">
        <v>91</v>
      </c>
      <c r="S296" t="s">
        <v>92</v>
      </c>
      <c r="T296" t="s">
        <v>93</v>
      </c>
      <c r="U296">
        <v>1</v>
      </c>
      <c r="V296" t="s">
        <v>102</v>
      </c>
      <c r="W296" t="s">
        <v>108</v>
      </c>
      <c r="X296" t="s">
        <v>100</v>
      </c>
      <c r="Y296">
        <v>1</v>
      </c>
      <c r="Z296">
        <v>3</v>
      </c>
      <c r="AA296">
        <v>44.1</v>
      </c>
      <c r="AB296">
        <v>-1</v>
      </c>
      <c r="AC296" t="s">
        <v>102</v>
      </c>
      <c r="AD296">
        <v>2</v>
      </c>
      <c r="AE296">
        <v>2</v>
      </c>
      <c r="AF296">
        <v>0</v>
      </c>
      <c r="AG296">
        <v>3.6560000000000001</v>
      </c>
      <c r="AH296">
        <v>0.33300000000000002</v>
      </c>
      <c r="AI296">
        <v>-1</v>
      </c>
      <c r="AL296" t="str">
        <f t="shared" si="39"/>
        <v/>
      </c>
      <c r="AM296">
        <f>VLOOKUP(TRIM(N296),'[1]All - Durations'!$E$2:$H$109,4,FALSE)</f>
        <v>0.89200000000000002</v>
      </c>
      <c r="AN296" t="e">
        <f t="shared" si="40"/>
        <v>#VALUE!</v>
      </c>
      <c r="AO296" t="str">
        <f t="shared" si="41"/>
        <v/>
      </c>
    </row>
    <row r="297" spans="1:41" x14ac:dyDescent="0.25">
      <c r="A297">
        <v>259</v>
      </c>
      <c r="B297" t="s">
        <v>35</v>
      </c>
      <c r="C297">
        <v>3</v>
      </c>
      <c r="D297" t="s">
        <v>36</v>
      </c>
      <c r="E297">
        <v>3</v>
      </c>
      <c r="F297" t="s">
        <v>37</v>
      </c>
      <c r="G297">
        <v>5</v>
      </c>
      <c r="H297">
        <v>8</v>
      </c>
      <c r="I297">
        <v>1</v>
      </c>
      <c r="J297">
        <v>8</v>
      </c>
      <c r="K297">
        <v>8</v>
      </c>
      <c r="L297">
        <v>40</v>
      </c>
      <c r="M297">
        <v>2</v>
      </c>
      <c r="N297" t="s">
        <v>84</v>
      </c>
      <c r="O297" t="s">
        <v>39</v>
      </c>
      <c r="P297" t="s">
        <v>64</v>
      </c>
      <c r="Q297" t="s">
        <v>65</v>
      </c>
      <c r="R297" t="s">
        <v>42</v>
      </c>
      <c r="S297" t="s">
        <v>43</v>
      </c>
      <c r="T297" t="s">
        <v>67</v>
      </c>
      <c r="U297">
        <v>5</v>
      </c>
      <c r="V297" t="s">
        <v>66</v>
      </c>
      <c r="W297" t="s">
        <v>74</v>
      </c>
      <c r="X297" t="s">
        <v>141</v>
      </c>
      <c r="Y297">
        <v>1</v>
      </c>
      <c r="Z297">
        <v>3</v>
      </c>
      <c r="AA297">
        <v>44.1</v>
      </c>
      <c r="AB297">
        <v>0.17</v>
      </c>
      <c r="AC297" t="s">
        <v>141</v>
      </c>
      <c r="AD297">
        <v>4</v>
      </c>
      <c r="AE297">
        <v>2</v>
      </c>
      <c r="AF297">
        <v>0</v>
      </c>
      <c r="AG297">
        <v>3.1459999999999999</v>
      </c>
      <c r="AH297">
        <v>0.35</v>
      </c>
      <c r="AI297">
        <v>0.16300000000000001</v>
      </c>
      <c r="AL297" t="str">
        <f t="shared" si="39"/>
        <v/>
      </c>
      <c r="AM297">
        <f>VLOOKUP(TRIM(N297),'[1]All - Durations'!$E$2:$H$109,4,FALSE)</f>
        <v>1.1020000000000001</v>
      </c>
      <c r="AN297" t="e">
        <f t="shared" si="40"/>
        <v>#VALUE!</v>
      </c>
      <c r="AO297" t="str">
        <f t="shared" si="41"/>
        <v/>
      </c>
    </row>
    <row r="298" spans="1:41" x14ac:dyDescent="0.25">
      <c r="A298">
        <v>259</v>
      </c>
      <c r="B298" t="s">
        <v>35</v>
      </c>
      <c r="C298">
        <v>3</v>
      </c>
      <c r="D298" t="s">
        <v>36</v>
      </c>
      <c r="E298">
        <v>3</v>
      </c>
      <c r="F298" t="s">
        <v>37</v>
      </c>
      <c r="G298">
        <v>5</v>
      </c>
      <c r="H298">
        <v>8</v>
      </c>
      <c r="I298">
        <v>1</v>
      </c>
      <c r="J298">
        <v>9</v>
      </c>
      <c r="K298">
        <v>3</v>
      </c>
      <c r="L298">
        <v>1</v>
      </c>
      <c r="M298">
        <v>1</v>
      </c>
      <c r="N298" t="s">
        <v>70</v>
      </c>
      <c r="O298" t="s">
        <v>39</v>
      </c>
      <c r="P298" t="s">
        <v>71</v>
      </c>
      <c r="Q298" t="s">
        <v>72</v>
      </c>
      <c r="R298" t="s">
        <v>58</v>
      </c>
      <c r="S298" t="s">
        <v>59</v>
      </c>
      <c r="T298" t="s">
        <v>73</v>
      </c>
      <c r="U298">
        <v>5</v>
      </c>
      <c r="V298" t="s">
        <v>94</v>
      </c>
      <c r="W298" t="s">
        <v>119</v>
      </c>
      <c r="X298" t="s">
        <v>55</v>
      </c>
      <c r="Y298">
        <v>1</v>
      </c>
      <c r="Z298">
        <v>3</v>
      </c>
      <c r="AA298">
        <v>44.1</v>
      </c>
      <c r="AB298">
        <v>-1</v>
      </c>
      <c r="AC298" t="s">
        <v>94</v>
      </c>
      <c r="AD298">
        <v>2</v>
      </c>
      <c r="AE298">
        <v>1</v>
      </c>
      <c r="AF298">
        <v>0</v>
      </c>
      <c r="AG298">
        <v>2.141</v>
      </c>
      <c r="AH298">
        <v>0.23300000000000001</v>
      </c>
      <c r="AI298">
        <v>-1</v>
      </c>
      <c r="AL298" t="str">
        <f t="shared" si="39"/>
        <v/>
      </c>
      <c r="AM298">
        <f>VLOOKUP(TRIM(N298),'[1]All - Durations'!$E$2:$H$109,4,FALSE)</f>
        <v>0.94799999999999995</v>
      </c>
      <c r="AN298" t="e">
        <f t="shared" si="40"/>
        <v>#VALUE!</v>
      </c>
      <c r="AO298" t="str">
        <f t="shared" si="41"/>
        <v/>
      </c>
    </row>
    <row r="299" spans="1:41" x14ac:dyDescent="0.25">
      <c r="A299">
        <v>259</v>
      </c>
      <c r="B299" t="s">
        <v>35</v>
      </c>
      <c r="C299">
        <v>3</v>
      </c>
      <c r="D299" t="s">
        <v>36</v>
      </c>
      <c r="E299">
        <v>3</v>
      </c>
      <c r="F299" t="s">
        <v>37</v>
      </c>
      <c r="G299">
        <v>5</v>
      </c>
      <c r="H299">
        <v>8</v>
      </c>
      <c r="I299">
        <v>1</v>
      </c>
      <c r="J299">
        <v>10</v>
      </c>
      <c r="K299">
        <v>7</v>
      </c>
      <c r="L299">
        <v>39</v>
      </c>
      <c r="M299">
        <v>2</v>
      </c>
      <c r="N299" t="s">
        <v>63</v>
      </c>
      <c r="O299" t="s">
        <v>39</v>
      </c>
      <c r="P299" t="s">
        <v>64</v>
      </c>
      <c r="Q299" t="s">
        <v>65</v>
      </c>
      <c r="R299" t="s">
        <v>58</v>
      </c>
      <c r="S299" t="s">
        <v>59</v>
      </c>
      <c r="T299" t="s">
        <v>66</v>
      </c>
      <c r="U299">
        <v>5</v>
      </c>
      <c r="V299" t="s">
        <v>73</v>
      </c>
      <c r="W299" t="s">
        <v>161</v>
      </c>
      <c r="X299" t="s">
        <v>69</v>
      </c>
      <c r="Y299">
        <v>2</v>
      </c>
      <c r="Z299">
        <v>3</v>
      </c>
      <c r="AA299">
        <v>44.1</v>
      </c>
      <c r="AB299">
        <v>-1</v>
      </c>
      <c r="AC299" t="s">
        <v>66</v>
      </c>
      <c r="AD299">
        <v>1</v>
      </c>
      <c r="AE299">
        <v>5</v>
      </c>
      <c r="AF299">
        <v>1</v>
      </c>
      <c r="AG299">
        <v>3.387</v>
      </c>
      <c r="AH299">
        <v>0.36699999999999999</v>
      </c>
      <c r="AI299">
        <v>-1</v>
      </c>
      <c r="AL299" t="str">
        <f t="shared" si="39"/>
        <v/>
      </c>
      <c r="AM299">
        <f>VLOOKUP(TRIM(N299),'[1]All - Durations'!$E$2:$H$109,4,FALSE)</f>
        <v>0.96399999999999997</v>
      </c>
      <c r="AN299" t="e">
        <f t="shared" si="40"/>
        <v>#VALUE!</v>
      </c>
      <c r="AO299" t="str">
        <f t="shared" si="41"/>
        <v/>
      </c>
    </row>
    <row r="300" spans="1:41" x14ac:dyDescent="0.25">
      <c r="A300">
        <v>259</v>
      </c>
      <c r="B300" t="s">
        <v>35</v>
      </c>
      <c r="C300">
        <v>3</v>
      </c>
      <c r="D300" t="s">
        <v>36</v>
      </c>
      <c r="E300">
        <v>3</v>
      </c>
      <c r="F300" t="s">
        <v>37</v>
      </c>
      <c r="G300">
        <v>5</v>
      </c>
      <c r="H300">
        <v>8</v>
      </c>
      <c r="I300">
        <v>1</v>
      </c>
      <c r="J300">
        <v>11</v>
      </c>
      <c r="K300">
        <v>1</v>
      </c>
      <c r="L300">
        <v>47</v>
      </c>
      <c r="M300">
        <v>2</v>
      </c>
      <c r="N300" t="s">
        <v>57</v>
      </c>
      <c r="O300" t="s">
        <v>39</v>
      </c>
      <c r="P300" t="s">
        <v>40</v>
      </c>
      <c r="Q300" t="s">
        <v>41</v>
      </c>
      <c r="R300" t="s">
        <v>58</v>
      </c>
      <c r="S300" t="s">
        <v>59</v>
      </c>
      <c r="T300" t="s">
        <v>60</v>
      </c>
      <c r="U300">
        <v>1</v>
      </c>
      <c r="V300" t="s">
        <v>138</v>
      </c>
      <c r="W300" t="s">
        <v>81</v>
      </c>
      <c r="X300" t="s">
        <v>68</v>
      </c>
      <c r="Y300">
        <v>2</v>
      </c>
      <c r="Z300">
        <v>3</v>
      </c>
      <c r="AA300">
        <v>44.1</v>
      </c>
      <c r="AB300">
        <v>-1</v>
      </c>
      <c r="AC300" t="s">
        <v>138</v>
      </c>
      <c r="AD300">
        <v>3</v>
      </c>
      <c r="AE300">
        <v>4</v>
      </c>
      <c r="AF300">
        <v>0</v>
      </c>
      <c r="AG300">
        <v>3.2160000000000002</v>
      </c>
      <c r="AH300">
        <v>0.317</v>
      </c>
      <c r="AI300">
        <v>-1</v>
      </c>
      <c r="AL300" t="str">
        <f t="shared" si="39"/>
        <v/>
      </c>
      <c r="AM300">
        <f>VLOOKUP(TRIM(N300),'[1]All - Durations'!$E$2:$H$109,4,FALSE)</f>
        <v>0.93600000000000005</v>
      </c>
      <c r="AN300" t="e">
        <f t="shared" si="40"/>
        <v>#VALUE!</v>
      </c>
      <c r="AO300" t="str">
        <f t="shared" si="41"/>
        <v/>
      </c>
    </row>
    <row r="301" spans="1:41" x14ac:dyDescent="0.25">
      <c r="A301">
        <v>259</v>
      </c>
      <c r="B301" t="s">
        <v>35</v>
      </c>
      <c r="C301">
        <v>3</v>
      </c>
      <c r="D301" t="s">
        <v>36</v>
      </c>
      <c r="E301">
        <v>3</v>
      </c>
      <c r="F301" t="s">
        <v>37</v>
      </c>
      <c r="G301">
        <v>5</v>
      </c>
      <c r="H301">
        <v>8</v>
      </c>
      <c r="I301">
        <v>1</v>
      </c>
      <c r="J301">
        <v>12</v>
      </c>
      <c r="K301">
        <v>12</v>
      </c>
      <c r="L301">
        <v>44</v>
      </c>
      <c r="M301">
        <v>2</v>
      </c>
      <c r="N301" t="s">
        <v>76</v>
      </c>
      <c r="O301" t="s">
        <v>39</v>
      </c>
      <c r="P301" t="s">
        <v>77</v>
      </c>
      <c r="Q301" t="s">
        <v>78</v>
      </c>
      <c r="R301" t="s">
        <v>51</v>
      </c>
      <c r="S301" t="s">
        <v>52</v>
      </c>
      <c r="T301" t="s">
        <v>79</v>
      </c>
      <c r="U301">
        <v>1</v>
      </c>
      <c r="V301" t="s">
        <v>149</v>
      </c>
      <c r="W301" t="s">
        <v>95</v>
      </c>
      <c r="X301" t="s">
        <v>103</v>
      </c>
      <c r="Y301">
        <v>2</v>
      </c>
      <c r="Z301">
        <v>3</v>
      </c>
      <c r="AA301">
        <v>44.1</v>
      </c>
      <c r="AB301">
        <v>0.183</v>
      </c>
      <c r="AC301" t="s">
        <v>149</v>
      </c>
      <c r="AD301">
        <v>3</v>
      </c>
      <c r="AE301">
        <v>2</v>
      </c>
      <c r="AF301">
        <v>0</v>
      </c>
      <c r="AG301">
        <v>3.78</v>
      </c>
      <c r="AH301">
        <v>0.33300000000000002</v>
      </c>
      <c r="AI301">
        <v>0.189</v>
      </c>
      <c r="AL301" t="str">
        <f t="shared" si="39"/>
        <v/>
      </c>
      <c r="AM301">
        <f>VLOOKUP(TRIM(N301),'[1]All - Durations'!$E$2:$H$109,4,FALSE)</f>
        <v>0.999</v>
      </c>
      <c r="AN301" t="e">
        <f t="shared" si="40"/>
        <v>#VALUE!</v>
      </c>
      <c r="AO301" t="str">
        <f t="shared" si="41"/>
        <v/>
      </c>
    </row>
    <row r="302" spans="1:41" x14ac:dyDescent="0.25">
      <c r="A302">
        <v>259</v>
      </c>
      <c r="B302" t="s">
        <v>35</v>
      </c>
      <c r="C302">
        <v>3</v>
      </c>
      <c r="D302" t="s">
        <v>36</v>
      </c>
      <c r="E302">
        <v>3</v>
      </c>
      <c r="F302" t="s">
        <v>37</v>
      </c>
      <c r="G302">
        <v>5</v>
      </c>
      <c r="H302">
        <v>8</v>
      </c>
      <c r="I302">
        <v>1</v>
      </c>
      <c r="J302">
        <v>13</v>
      </c>
      <c r="K302">
        <v>17</v>
      </c>
      <c r="L302">
        <v>61</v>
      </c>
      <c r="M302">
        <v>2</v>
      </c>
      <c r="N302" t="s">
        <v>125</v>
      </c>
      <c r="O302" t="s">
        <v>113</v>
      </c>
      <c r="P302" t="s">
        <v>114</v>
      </c>
      <c r="Q302" t="s">
        <v>126</v>
      </c>
      <c r="R302" t="s">
        <v>114</v>
      </c>
      <c r="S302" t="s">
        <v>92</v>
      </c>
      <c r="T302" t="s">
        <v>127</v>
      </c>
      <c r="U302">
        <v>2</v>
      </c>
      <c r="V302" t="s">
        <v>179</v>
      </c>
      <c r="W302" t="s">
        <v>96</v>
      </c>
      <c r="X302" t="s">
        <v>131</v>
      </c>
      <c r="Y302">
        <v>2</v>
      </c>
      <c r="Z302">
        <v>3</v>
      </c>
      <c r="AA302">
        <v>44.1</v>
      </c>
      <c r="AB302">
        <v>-1</v>
      </c>
      <c r="AC302" t="s">
        <v>96</v>
      </c>
      <c r="AD302">
        <v>4</v>
      </c>
      <c r="AE302">
        <v>5</v>
      </c>
      <c r="AF302">
        <v>0</v>
      </c>
      <c r="AG302">
        <v>3.7869999999999999</v>
      </c>
      <c r="AH302">
        <v>0.28199999999999997</v>
      </c>
      <c r="AI302">
        <v>-1</v>
      </c>
      <c r="AL302" t="str">
        <f t="shared" si="39"/>
        <v/>
      </c>
      <c r="AM302">
        <f>VLOOKUP(TRIM(N302),'[1]All - Durations'!$E$2:$H$109,4,FALSE)</f>
        <v>0.94899999999999995</v>
      </c>
      <c r="AN302" t="e">
        <f t="shared" si="40"/>
        <v>#VALUE!</v>
      </c>
      <c r="AO302" t="str">
        <f t="shared" si="41"/>
        <v/>
      </c>
    </row>
    <row r="303" spans="1:41" x14ac:dyDescent="0.25">
      <c r="A303">
        <v>259</v>
      </c>
      <c r="B303" t="s">
        <v>35</v>
      </c>
      <c r="C303">
        <v>3</v>
      </c>
      <c r="D303" t="s">
        <v>36</v>
      </c>
      <c r="E303">
        <v>3</v>
      </c>
      <c r="F303" t="s">
        <v>37</v>
      </c>
      <c r="G303">
        <v>5</v>
      </c>
      <c r="H303">
        <v>8</v>
      </c>
      <c r="I303">
        <v>1</v>
      </c>
      <c r="J303">
        <v>14</v>
      </c>
      <c r="K303">
        <v>24</v>
      </c>
      <c r="L303">
        <v>68</v>
      </c>
      <c r="M303">
        <v>2</v>
      </c>
      <c r="N303" t="s">
        <v>135</v>
      </c>
      <c r="O303" t="s">
        <v>113</v>
      </c>
      <c r="P303" t="s">
        <v>114</v>
      </c>
      <c r="Q303" t="s">
        <v>136</v>
      </c>
      <c r="R303" t="s">
        <v>114</v>
      </c>
      <c r="S303" t="s">
        <v>52</v>
      </c>
      <c r="T303" t="s">
        <v>74</v>
      </c>
      <c r="U303">
        <v>5</v>
      </c>
      <c r="V303" t="s">
        <v>128</v>
      </c>
      <c r="W303" t="s">
        <v>85</v>
      </c>
      <c r="X303" t="s">
        <v>121</v>
      </c>
      <c r="Y303">
        <v>2</v>
      </c>
      <c r="Z303">
        <v>3</v>
      </c>
      <c r="AA303">
        <v>44.1</v>
      </c>
      <c r="AB303">
        <v>-1</v>
      </c>
      <c r="AC303" t="s">
        <v>74</v>
      </c>
      <c r="AD303">
        <v>1</v>
      </c>
      <c r="AE303">
        <v>5</v>
      </c>
      <c r="AF303">
        <v>1</v>
      </c>
      <c r="AG303">
        <v>3.3570000000000002</v>
      </c>
      <c r="AH303">
        <v>0.23200000000000001</v>
      </c>
      <c r="AI303">
        <v>-1</v>
      </c>
      <c r="AL303" t="str">
        <f t="shared" si="39"/>
        <v/>
      </c>
      <c r="AM303">
        <f>VLOOKUP(TRIM(N303),'[1]All - Durations'!$E$2:$H$109,4,FALSE)</f>
        <v>1.0209999999999999</v>
      </c>
      <c r="AN303" t="e">
        <f t="shared" si="40"/>
        <v>#VALUE!</v>
      </c>
      <c r="AO303" t="str">
        <f t="shared" si="41"/>
        <v/>
      </c>
    </row>
    <row r="304" spans="1:41" x14ac:dyDescent="0.25">
      <c r="A304">
        <v>259</v>
      </c>
      <c r="B304" t="s">
        <v>35</v>
      </c>
      <c r="C304">
        <v>3</v>
      </c>
      <c r="D304" t="s">
        <v>36</v>
      </c>
      <c r="E304">
        <v>3</v>
      </c>
      <c r="F304" t="s">
        <v>37</v>
      </c>
      <c r="G304">
        <v>5</v>
      </c>
      <c r="H304">
        <v>8</v>
      </c>
      <c r="I304">
        <v>1</v>
      </c>
      <c r="J304">
        <v>15</v>
      </c>
      <c r="K304">
        <v>18</v>
      </c>
      <c r="L304">
        <v>62</v>
      </c>
      <c r="M304">
        <v>2</v>
      </c>
      <c r="N304" t="s">
        <v>142</v>
      </c>
      <c r="O304" t="s">
        <v>113</v>
      </c>
      <c r="P304" t="s">
        <v>114</v>
      </c>
      <c r="Q304" t="s">
        <v>126</v>
      </c>
      <c r="R304" t="s">
        <v>114</v>
      </c>
      <c r="S304" t="s">
        <v>52</v>
      </c>
      <c r="T304" t="s">
        <v>128</v>
      </c>
      <c r="U304">
        <v>4</v>
      </c>
      <c r="V304" t="s">
        <v>127</v>
      </c>
      <c r="W304" t="s">
        <v>146</v>
      </c>
      <c r="X304" t="s">
        <v>67</v>
      </c>
      <c r="Y304">
        <v>1</v>
      </c>
      <c r="Z304">
        <v>3</v>
      </c>
      <c r="AA304">
        <v>44.1</v>
      </c>
      <c r="AB304">
        <v>0.191</v>
      </c>
      <c r="AC304" t="s">
        <v>146</v>
      </c>
      <c r="AD304">
        <v>4</v>
      </c>
      <c r="AE304">
        <v>1</v>
      </c>
      <c r="AF304">
        <v>0</v>
      </c>
      <c r="AG304">
        <v>3.2610000000000001</v>
      </c>
      <c r="AH304">
        <v>0.28299999999999997</v>
      </c>
      <c r="AI304">
        <v>0.186</v>
      </c>
      <c r="AL304" t="str">
        <f t="shared" si="39"/>
        <v/>
      </c>
      <c r="AM304">
        <f>VLOOKUP(TRIM(N304),'[1]All - Durations'!$E$2:$H$109,4,FALSE)</f>
        <v>1.1259999999999999</v>
      </c>
      <c r="AN304" t="e">
        <f t="shared" si="40"/>
        <v>#VALUE!</v>
      </c>
      <c r="AO304" t="str">
        <f t="shared" si="41"/>
        <v/>
      </c>
    </row>
    <row r="305" spans="1:41" x14ac:dyDescent="0.25">
      <c r="A305">
        <v>259</v>
      </c>
      <c r="B305" t="s">
        <v>35</v>
      </c>
      <c r="C305">
        <v>3</v>
      </c>
      <c r="D305" t="s">
        <v>36</v>
      </c>
      <c r="E305">
        <v>3</v>
      </c>
      <c r="F305" t="s">
        <v>37</v>
      </c>
      <c r="G305">
        <v>5</v>
      </c>
      <c r="H305">
        <v>8</v>
      </c>
      <c r="I305">
        <v>1</v>
      </c>
      <c r="J305">
        <v>16</v>
      </c>
      <c r="K305">
        <v>16</v>
      </c>
      <c r="L305">
        <v>26</v>
      </c>
      <c r="M305">
        <v>1</v>
      </c>
      <c r="N305" t="s">
        <v>148</v>
      </c>
      <c r="O305" t="s">
        <v>113</v>
      </c>
      <c r="P305" t="s">
        <v>114</v>
      </c>
      <c r="Q305" t="s">
        <v>123</v>
      </c>
      <c r="R305" t="s">
        <v>114</v>
      </c>
      <c r="S305" t="s">
        <v>92</v>
      </c>
      <c r="T305" t="s">
        <v>130</v>
      </c>
      <c r="U305">
        <v>5</v>
      </c>
      <c r="V305" t="s">
        <v>137</v>
      </c>
      <c r="W305" t="s">
        <v>60</v>
      </c>
      <c r="X305" t="s">
        <v>132</v>
      </c>
      <c r="Y305">
        <v>2</v>
      </c>
      <c r="Z305">
        <v>3</v>
      </c>
      <c r="AA305">
        <v>44.1</v>
      </c>
      <c r="AB305">
        <v>-1</v>
      </c>
      <c r="AC305" t="s">
        <v>132</v>
      </c>
      <c r="AD305">
        <v>4</v>
      </c>
      <c r="AE305">
        <v>4</v>
      </c>
      <c r="AF305">
        <v>0</v>
      </c>
      <c r="AG305">
        <v>2.8260000000000001</v>
      </c>
      <c r="AH305">
        <v>0.3</v>
      </c>
      <c r="AI305">
        <v>-1</v>
      </c>
      <c r="AL305" t="str">
        <f t="shared" si="39"/>
        <v/>
      </c>
      <c r="AM305">
        <f>VLOOKUP(TRIM(N305),'[1]All - Durations'!$E$2:$H$109,4,FALSE)</f>
        <v>0.90400000000000003</v>
      </c>
      <c r="AN305" t="e">
        <f t="shared" si="40"/>
        <v>#VALUE!</v>
      </c>
      <c r="AO305" t="str">
        <f t="shared" si="41"/>
        <v/>
      </c>
    </row>
    <row r="306" spans="1:41" x14ac:dyDescent="0.25">
      <c r="A306">
        <v>259</v>
      </c>
      <c r="B306" t="s">
        <v>35</v>
      </c>
      <c r="C306">
        <v>3</v>
      </c>
      <c r="D306" t="s">
        <v>36</v>
      </c>
      <c r="E306">
        <v>3</v>
      </c>
      <c r="F306" t="s">
        <v>37</v>
      </c>
      <c r="G306">
        <v>5</v>
      </c>
      <c r="H306">
        <v>8</v>
      </c>
      <c r="I306">
        <v>1</v>
      </c>
      <c r="J306">
        <v>17</v>
      </c>
      <c r="K306">
        <v>22</v>
      </c>
      <c r="L306">
        <v>28</v>
      </c>
      <c r="M306">
        <v>1</v>
      </c>
      <c r="N306" t="s">
        <v>117</v>
      </c>
      <c r="O306" t="s">
        <v>113</v>
      </c>
      <c r="P306" t="s">
        <v>114</v>
      </c>
      <c r="Q306" t="s">
        <v>118</v>
      </c>
      <c r="R306" t="s">
        <v>114</v>
      </c>
      <c r="S306" t="s">
        <v>52</v>
      </c>
      <c r="T306" t="s">
        <v>119</v>
      </c>
      <c r="U306">
        <v>2</v>
      </c>
      <c r="V306" t="s">
        <v>214</v>
      </c>
      <c r="W306" t="s">
        <v>98</v>
      </c>
      <c r="X306" t="s">
        <v>86</v>
      </c>
      <c r="Y306">
        <v>2</v>
      </c>
      <c r="Z306">
        <v>3</v>
      </c>
      <c r="AA306">
        <v>44.1</v>
      </c>
      <c r="AB306">
        <v>-1</v>
      </c>
      <c r="AC306" t="s">
        <v>119</v>
      </c>
      <c r="AD306">
        <v>1</v>
      </c>
      <c r="AE306">
        <v>2</v>
      </c>
      <c r="AF306">
        <v>1</v>
      </c>
      <c r="AG306">
        <v>3.4319999999999999</v>
      </c>
      <c r="AH306">
        <v>0.23300000000000001</v>
      </c>
      <c r="AI306">
        <v>-1</v>
      </c>
      <c r="AL306" t="str">
        <f t="shared" si="39"/>
        <v/>
      </c>
      <c r="AM306">
        <f>VLOOKUP(TRIM(N306),'[1]All - Durations'!$E$2:$H$109,4,FALSE)</f>
        <v>0.97</v>
      </c>
      <c r="AN306" t="e">
        <f t="shared" si="40"/>
        <v>#VALUE!</v>
      </c>
      <c r="AO306" t="str">
        <f t="shared" si="41"/>
        <v/>
      </c>
    </row>
    <row r="307" spans="1:41" x14ac:dyDescent="0.25">
      <c r="A307">
        <v>259</v>
      </c>
      <c r="B307" t="s">
        <v>35</v>
      </c>
      <c r="C307">
        <v>3</v>
      </c>
      <c r="D307" t="s">
        <v>36</v>
      </c>
      <c r="E307">
        <v>3</v>
      </c>
      <c r="F307" t="s">
        <v>37</v>
      </c>
      <c r="G307">
        <v>5</v>
      </c>
      <c r="H307">
        <v>8</v>
      </c>
      <c r="I307">
        <v>1</v>
      </c>
      <c r="J307">
        <v>18</v>
      </c>
      <c r="K307">
        <v>14</v>
      </c>
      <c r="L307">
        <v>72</v>
      </c>
      <c r="M307">
        <v>2</v>
      </c>
      <c r="N307" t="s">
        <v>112</v>
      </c>
      <c r="O307" t="s">
        <v>113</v>
      </c>
      <c r="P307" t="s">
        <v>114</v>
      </c>
      <c r="Q307" t="s">
        <v>115</v>
      </c>
      <c r="R307" t="s">
        <v>114</v>
      </c>
      <c r="S307" t="s">
        <v>43</v>
      </c>
      <c r="T307" t="s">
        <v>104</v>
      </c>
      <c r="U307">
        <v>5</v>
      </c>
      <c r="V307" t="s">
        <v>46</v>
      </c>
      <c r="W307" t="s">
        <v>53</v>
      </c>
      <c r="X307" t="s">
        <v>99</v>
      </c>
      <c r="Y307">
        <v>1</v>
      </c>
      <c r="Z307">
        <v>3</v>
      </c>
      <c r="AA307">
        <v>44.1</v>
      </c>
      <c r="AB307">
        <v>-1</v>
      </c>
      <c r="AC307" t="s">
        <v>83</v>
      </c>
      <c r="AD307">
        <v>0</v>
      </c>
      <c r="AE307">
        <v>0</v>
      </c>
      <c r="AF307">
        <v>0</v>
      </c>
      <c r="AG307">
        <v>-1</v>
      </c>
      <c r="AH307">
        <v>0.317</v>
      </c>
      <c r="AI307">
        <v>-1</v>
      </c>
      <c r="AL307" t="str">
        <f t="shared" si="39"/>
        <v/>
      </c>
      <c r="AM307">
        <f>VLOOKUP(TRIM(N307),'[1]All - Durations'!$E$2:$H$109,4,FALSE)</f>
        <v>0.94499999999999995</v>
      </c>
      <c r="AN307" t="e">
        <f t="shared" si="40"/>
        <v>#VALUE!</v>
      </c>
      <c r="AO307" t="str">
        <f t="shared" si="41"/>
        <v/>
      </c>
    </row>
    <row r="308" spans="1:41" x14ac:dyDescent="0.25">
      <c r="A308">
        <v>259</v>
      </c>
      <c r="B308" t="s">
        <v>35</v>
      </c>
      <c r="C308">
        <v>3</v>
      </c>
      <c r="D308" t="s">
        <v>36</v>
      </c>
      <c r="E308">
        <v>3</v>
      </c>
      <c r="F308" t="s">
        <v>37</v>
      </c>
      <c r="G308">
        <v>5</v>
      </c>
      <c r="H308">
        <v>8</v>
      </c>
      <c r="I308">
        <v>1</v>
      </c>
      <c r="J308">
        <v>19</v>
      </c>
      <c r="K308">
        <v>21</v>
      </c>
      <c r="L308">
        <v>27</v>
      </c>
      <c r="M308">
        <v>1</v>
      </c>
      <c r="N308" t="s">
        <v>129</v>
      </c>
      <c r="O308" t="s">
        <v>113</v>
      </c>
      <c r="P308" t="s">
        <v>114</v>
      </c>
      <c r="Q308" t="s">
        <v>118</v>
      </c>
      <c r="R308" t="s">
        <v>114</v>
      </c>
      <c r="S308" t="s">
        <v>92</v>
      </c>
      <c r="T308" t="s">
        <v>120</v>
      </c>
      <c r="U308">
        <v>4</v>
      </c>
      <c r="V308" t="s">
        <v>119</v>
      </c>
      <c r="W308" t="s">
        <v>161</v>
      </c>
      <c r="X308" t="s">
        <v>156</v>
      </c>
      <c r="Y308">
        <v>1</v>
      </c>
      <c r="Z308">
        <v>3</v>
      </c>
      <c r="AA308">
        <v>44.1</v>
      </c>
      <c r="AB308">
        <v>-1</v>
      </c>
      <c r="AC308" t="s">
        <v>120</v>
      </c>
      <c r="AD308">
        <v>1</v>
      </c>
      <c r="AE308">
        <v>4</v>
      </c>
      <c r="AF308">
        <v>1</v>
      </c>
      <c r="AG308">
        <v>2.3570000000000002</v>
      </c>
      <c r="AH308">
        <v>0.61699999999999999</v>
      </c>
      <c r="AI308">
        <v>-1</v>
      </c>
      <c r="AL308" t="str">
        <f t="shared" si="39"/>
        <v/>
      </c>
      <c r="AM308">
        <f>VLOOKUP(TRIM(N308),'[1]All - Durations'!$E$2:$H$109,4,FALSE)</f>
        <v>0.92900000000000005</v>
      </c>
      <c r="AN308" t="e">
        <f t="shared" si="40"/>
        <v>#VALUE!</v>
      </c>
      <c r="AO308" t="str">
        <f t="shared" si="41"/>
        <v/>
      </c>
    </row>
    <row r="309" spans="1:41" x14ac:dyDescent="0.25">
      <c r="A309">
        <v>259</v>
      </c>
      <c r="B309" t="s">
        <v>35</v>
      </c>
      <c r="C309">
        <v>3</v>
      </c>
      <c r="D309" t="s">
        <v>36</v>
      </c>
      <c r="E309">
        <v>3</v>
      </c>
      <c r="F309" t="s">
        <v>37</v>
      </c>
      <c r="G309">
        <v>5</v>
      </c>
      <c r="H309">
        <v>8</v>
      </c>
      <c r="I309">
        <v>1</v>
      </c>
      <c r="J309">
        <v>20</v>
      </c>
      <c r="K309">
        <v>19</v>
      </c>
      <c r="L309">
        <v>63</v>
      </c>
      <c r="M309">
        <v>2</v>
      </c>
      <c r="N309" t="s">
        <v>140</v>
      </c>
      <c r="O309" t="s">
        <v>113</v>
      </c>
      <c r="P309" t="s">
        <v>114</v>
      </c>
      <c r="Q309" t="s">
        <v>134</v>
      </c>
      <c r="R309" t="s">
        <v>114</v>
      </c>
      <c r="S309" t="s">
        <v>59</v>
      </c>
      <c r="T309" t="s">
        <v>95</v>
      </c>
      <c r="U309">
        <v>1</v>
      </c>
      <c r="V309" t="s">
        <v>124</v>
      </c>
      <c r="W309" t="s">
        <v>82</v>
      </c>
      <c r="X309" t="s">
        <v>149</v>
      </c>
      <c r="Y309">
        <v>2</v>
      </c>
      <c r="Z309">
        <v>3</v>
      </c>
      <c r="AA309">
        <v>44.1</v>
      </c>
      <c r="AB309">
        <v>-1</v>
      </c>
      <c r="AC309" t="s">
        <v>95</v>
      </c>
      <c r="AD309">
        <v>1</v>
      </c>
      <c r="AE309">
        <v>1</v>
      </c>
      <c r="AF309">
        <v>1</v>
      </c>
      <c r="AG309">
        <v>2.3119999999999998</v>
      </c>
      <c r="AH309">
        <v>0.23300000000000001</v>
      </c>
      <c r="AI309">
        <v>-1</v>
      </c>
      <c r="AL309" t="str">
        <f t="shared" si="39"/>
        <v/>
      </c>
      <c r="AM309">
        <f>VLOOKUP(TRIM(N309),'[1]All - Durations'!$E$2:$H$109,4,FALSE)</f>
        <v>0.86099999999999999</v>
      </c>
      <c r="AN309" t="e">
        <f t="shared" si="40"/>
        <v>#VALUE!</v>
      </c>
      <c r="AO309" t="str">
        <f t="shared" si="41"/>
        <v/>
      </c>
    </row>
    <row r="310" spans="1:41" x14ac:dyDescent="0.25">
      <c r="A310">
        <v>259</v>
      </c>
      <c r="B310" t="s">
        <v>35</v>
      </c>
      <c r="C310">
        <v>3</v>
      </c>
      <c r="D310" t="s">
        <v>36</v>
      </c>
      <c r="E310">
        <v>3</v>
      </c>
      <c r="F310" t="s">
        <v>37</v>
      </c>
      <c r="G310">
        <v>5</v>
      </c>
      <c r="H310">
        <v>8</v>
      </c>
      <c r="I310">
        <v>1</v>
      </c>
      <c r="J310">
        <v>21</v>
      </c>
      <c r="K310">
        <v>13</v>
      </c>
      <c r="L310">
        <v>71</v>
      </c>
      <c r="M310">
        <v>2</v>
      </c>
      <c r="N310" t="s">
        <v>143</v>
      </c>
      <c r="O310" t="s">
        <v>113</v>
      </c>
      <c r="P310" t="s">
        <v>114</v>
      </c>
      <c r="Q310" t="s">
        <v>115</v>
      </c>
      <c r="R310" t="s">
        <v>114</v>
      </c>
      <c r="S310" t="s">
        <v>59</v>
      </c>
      <c r="T310" t="s">
        <v>46</v>
      </c>
      <c r="U310">
        <v>1</v>
      </c>
      <c r="V310" t="s">
        <v>87</v>
      </c>
      <c r="W310" t="s">
        <v>45</v>
      </c>
      <c r="X310" t="s">
        <v>110</v>
      </c>
      <c r="Y310">
        <v>2</v>
      </c>
      <c r="Z310">
        <v>3</v>
      </c>
      <c r="AA310">
        <v>44.1</v>
      </c>
      <c r="AB310">
        <v>-1</v>
      </c>
      <c r="AC310" t="s">
        <v>87</v>
      </c>
      <c r="AD310">
        <v>3</v>
      </c>
      <c r="AE310">
        <v>2</v>
      </c>
      <c r="AF310">
        <v>0</v>
      </c>
      <c r="AG310">
        <v>3.246</v>
      </c>
      <c r="AH310">
        <v>0.2</v>
      </c>
      <c r="AI310">
        <v>-1</v>
      </c>
      <c r="AL310" t="str">
        <f t="shared" si="39"/>
        <v/>
      </c>
      <c r="AM310">
        <f>VLOOKUP(TRIM(N310),'[1]All - Durations'!$E$2:$H$109,4,FALSE)</f>
        <v>0.82799999999999996</v>
      </c>
      <c r="AN310" t="e">
        <f t="shared" si="40"/>
        <v>#VALUE!</v>
      </c>
      <c r="AO310" t="str">
        <f t="shared" si="41"/>
        <v/>
      </c>
    </row>
    <row r="311" spans="1:41" x14ac:dyDescent="0.25">
      <c r="A311">
        <v>259</v>
      </c>
      <c r="B311" t="s">
        <v>35</v>
      </c>
      <c r="C311">
        <v>3</v>
      </c>
      <c r="D311" t="s">
        <v>36</v>
      </c>
      <c r="E311">
        <v>3</v>
      </c>
      <c r="F311" t="s">
        <v>37</v>
      </c>
      <c r="G311">
        <v>5</v>
      </c>
      <c r="H311">
        <v>8</v>
      </c>
      <c r="I311">
        <v>1</v>
      </c>
      <c r="J311">
        <v>22</v>
      </c>
      <c r="K311">
        <v>23</v>
      </c>
      <c r="L311">
        <v>67</v>
      </c>
      <c r="M311">
        <v>2</v>
      </c>
      <c r="N311" t="s">
        <v>145</v>
      </c>
      <c r="O311" t="s">
        <v>113</v>
      </c>
      <c r="P311" t="s">
        <v>114</v>
      </c>
      <c r="Q311" t="s">
        <v>136</v>
      </c>
      <c r="R311" t="s">
        <v>114</v>
      </c>
      <c r="S311" t="s">
        <v>92</v>
      </c>
      <c r="T311" t="s">
        <v>137</v>
      </c>
      <c r="U311">
        <v>1</v>
      </c>
      <c r="V311" t="s">
        <v>74</v>
      </c>
      <c r="W311" t="s">
        <v>147</v>
      </c>
      <c r="X311" t="s">
        <v>55</v>
      </c>
      <c r="Y311">
        <v>1</v>
      </c>
      <c r="Z311">
        <v>3</v>
      </c>
      <c r="AA311">
        <v>44.1</v>
      </c>
      <c r="AB311">
        <v>-1</v>
      </c>
      <c r="AC311" t="s">
        <v>137</v>
      </c>
      <c r="AD311">
        <v>1</v>
      </c>
      <c r="AE311">
        <v>1</v>
      </c>
      <c r="AF311">
        <v>1</v>
      </c>
      <c r="AG311">
        <v>3.484</v>
      </c>
      <c r="AH311">
        <v>0.26700000000000002</v>
      </c>
      <c r="AI311">
        <v>-1</v>
      </c>
      <c r="AL311" t="str">
        <f t="shared" si="39"/>
        <v/>
      </c>
      <c r="AM311">
        <f>VLOOKUP(TRIM(N311),'[1]All - Durations'!$E$2:$H$109,4,FALSE)</f>
        <v>0.96199999999999997</v>
      </c>
      <c r="AN311" t="e">
        <f t="shared" si="40"/>
        <v>#VALUE!</v>
      </c>
      <c r="AO311" t="str">
        <f t="shared" si="41"/>
        <v/>
      </c>
    </row>
    <row r="312" spans="1:41" x14ac:dyDescent="0.25">
      <c r="A312">
        <v>259</v>
      </c>
      <c r="B312" t="s">
        <v>35</v>
      </c>
      <c r="C312">
        <v>3</v>
      </c>
      <c r="D312" t="s">
        <v>36</v>
      </c>
      <c r="E312">
        <v>3</v>
      </c>
      <c r="F312" t="s">
        <v>37</v>
      </c>
      <c r="G312">
        <v>5</v>
      </c>
      <c r="H312">
        <v>8</v>
      </c>
      <c r="I312">
        <v>1</v>
      </c>
      <c r="J312">
        <v>23</v>
      </c>
      <c r="K312">
        <v>15</v>
      </c>
      <c r="L312">
        <v>25</v>
      </c>
      <c r="M312">
        <v>1</v>
      </c>
      <c r="N312" t="s">
        <v>122</v>
      </c>
      <c r="O312" t="s">
        <v>113</v>
      </c>
      <c r="P312" t="s">
        <v>114</v>
      </c>
      <c r="Q312" t="s">
        <v>123</v>
      </c>
      <c r="R312" t="s">
        <v>114</v>
      </c>
      <c r="S312" t="s">
        <v>59</v>
      </c>
      <c r="T312" t="s">
        <v>124</v>
      </c>
      <c r="U312">
        <v>1</v>
      </c>
      <c r="V312" t="s">
        <v>130</v>
      </c>
      <c r="W312" t="s">
        <v>166</v>
      </c>
      <c r="X312" t="s">
        <v>144</v>
      </c>
      <c r="Y312">
        <v>1</v>
      </c>
      <c r="Z312">
        <v>3</v>
      </c>
      <c r="AA312">
        <v>44.1</v>
      </c>
      <c r="AB312">
        <v>-1</v>
      </c>
      <c r="AC312" t="s">
        <v>83</v>
      </c>
      <c r="AD312">
        <v>0</v>
      </c>
      <c r="AE312">
        <v>0</v>
      </c>
      <c r="AF312">
        <v>0</v>
      </c>
      <c r="AG312">
        <v>-1</v>
      </c>
      <c r="AH312">
        <v>0.33300000000000002</v>
      </c>
      <c r="AI312">
        <v>-1</v>
      </c>
      <c r="AL312" t="str">
        <f t="shared" si="39"/>
        <v/>
      </c>
      <c r="AM312">
        <f>VLOOKUP(TRIM(N312),'[1]All - Durations'!$E$2:$H$109,4,FALSE)</f>
        <v>0.83899999999999997</v>
      </c>
      <c r="AN312" t="e">
        <f t="shared" si="40"/>
        <v>#VALUE!</v>
      </c>
      <c r="AO312" t="str">
        <f t="shared" si="41"/>
        <v/>
      </c>
    </row>
    <row r="313" spans="1:41" x14ac:dyDescent="0.25">
      <c r="A313">
        <v>259</v>
      </c>
      <c r="B313" t="s">
        <v>35</v>
      </c>
      <c r="C313">
        <v>3</v>
      </c>
      <c r="D313" t="s">
        <v>36</v>
      </c>
      <c r="E313">
        <v>3</v>
      </c>
      <c r="F313" t="s">
        <v>37</v>
      </c>
      <c r="G313">
        <v>5</v>
      </c>
      <c r="H313">
        <v>8</v>
      </c>
      <c r="I313">
        <v>1</v>
      </c>
      <c r="J313">
        <v>24</v>
      </c>
      <c r="K313">
        <v>20</v>
      </c>
      <c r="L313">
        <v>64</v>
      </c>
      <c r="M313">
        <v>2</v>
      </c>
      <c r="N313" t="s">
        <v>133</v>
      </c>
      <c r="O313" t="s">
        <v>113</v>
      </c>
      <c r="P313" t="s">
        <v>114</v>
      </c>
      <c r="Q313" t="s">
        <v>134</v>
      </c>
      <c r="R313" t="s">
        <v>114</v>
      </c>
      <c r="S313" t="s">
        <v>43</v>
      </c>
      <c r="T313" t="s">
        <v>100</v>
      </c>
      <c r="U313">
        <v>5</v>
      </c>
      <c r="V313" t="s">
        <v>95</v>
      </c>
      <c r="W313" t="s">
        <v>62</v>
      </c>
      <c r="X313" t="s">
        <v>93</v>
      </c>
      <c r="Y313">
        <v>1</v>
      </c>
      <c r="Z313">
        <v>3</v>
      </c>
      <c r="AA313">
        <v>44.1</v>
      </c>
      <c r="AB313">
        <v>-1</v>
      </c>
      <c r="AC313" t="s">
        <v>100</v>
      </c>
      <c r="AD313">
        <v>1</v>
      </c>
      <c r="AE313">
        <v>5</v>
      </c>
      <c r="AF313">
        <v>1</v>
      </c>
      <c r="AG313">
        <v>1.038</v>
      </c>
      <c r="AH313">
        <v>0.65</v>
      </c>
      <c r="AI313">
        <v>-1</v>
      </c>
      <c r="AL313" t="str">
        <f t="shared" si="39"/>
        <v/>
      </c>
      <c r="AM313">
        <f>VLOOKUP(TRIM(N313),'[1]All - Durations'!$E$2:$H$109,4,FALSE)</f>
        <v>0.80200000000000005</v>
      </c>
      <c r="AN313" t="e">
        <f t="shared" si="40"/>
        <v>#VALUE!</v>
      </c>
      <c r="AO313" t="str">
        <f t="shared" si="41"/>
        <v/>
      </c>
    </row>
    <row r="314" spans="1:41" x14ac:dyDescent="0.25">
      <c r="A314">
        <v>259</v>
      </c>
      <c r="B314" t="s">
        <v>35</v>
      </c>
      <c r="C314">
        <v>3</v>
      </c>
      <c r="D314" t="s">
        <v>36</v>
      </c>
      <c r="E314">
        <v>3</v>
      </c>
      <c r="F314" t="s">
        <v>37</v>
      </c>
      <c r="G314">
        <v>5</v>
      </c>
      <c r="H314">
        <v>8</v>
      </c>
      <c r="I314">
        <v>1</v>
      </c>
      <c r="J314">
        <v>25</v>
      </c>
      <c r="K314">
        <v>29</v>
      </c>
      <c r="L314">
        <v>49</v>
      </c>
      <c r="M314">
        <v>2</v>
      </c>
      <c r="N314" t="s">
        <v>180</v>
      </c>
      <c r="O314" t="s">
        <v>151</v>
      </c>
      <c r="P314" t="s">
        <v>181</v>
      </c>
      <c r="Q314" t="s">
        <v>182</v>
      </c>
      <c r="R314" t="s">
        <v>154</v>
      </c>
      <c r="S314" t="s">
        <v>92</v>
      </c>
      <c r="T314" t="s">
        <v>183</v>
      </c>
      <c r="U314">
        <v>5</v>
      </c>
      <c r="V314" t="s">
        <v>187</v>
      </c>
      <c r="W314" t="s">
        <v>138</v>
      </c>
      <c r="X314" t="s">
        <v>116</v>
      </c>
      <c r="Y314">
        <v>1</v>
      </c>
      <c r="Z314">
        <v>3</v>
      </c>
      <c r="AA314">
        <v>44.1</v>
      </c>
      <c r="AB314">
        <v>-1</v>
      </c>
      <c r="AC314" t="s">
        <v>116</v>
      </c>
      <c r="AD314">
        <v>4</v>
      </c>
      <c r="AE314">
        <v>1</v>
      </c>
      <c r="AF314">
        <v>0</v>
      </c>
      <c r="AG314">
        <v>2.4390000000000001</v>
      </c>
      <c r="AH314">
        <v>0.2</v>
      </c>
      <c r="AI314">
        <v>-1</v>
      </c>
      <c r="AL314" t="str">
        <f t="shared" si="39"/>
        <v/>
      </c>
      <c r="AM314">
        <f>VLOOKUP(TRIM(N314),'[1]All - Durations'!$E$2:$H$109,4,FALSE)</f>
        <v>0.81799999999999995</v>
      </c>
      <c r="AN314" t="e">
        <f t="shared" si="40"/>
        <v>#VALUE!</v>
      </c>
      <c r="AO314" t="str">
        <f t="shared" si="41"/>
        <v/>
      </c>
    </row>
    <row r="315" spans="1:41" x14ac:dyDescent="0.25">
      <c r="A315">
        <v>259</v>
      </c>
      <c r="B315" t="s">
        <v>35</v>
      </c>
      <c r="C315">
        <v>3</v>
      </c>
      <c r="D315" t="s">
        <v>36</v>
      </c>
      <c r="E315">
        <v>3</v>
      </c>
      <c r="F315" t="s">
        <v>37</v>
      </c>
      <c r="G315">
        <v>5</v>
      </c>
      <c r="H315">
        <v>8</v>
      </c>
      <c r="I315">
        <v>1</v>
      </c>
      <c r="J315">
        <v>26</v>
      </c>
      <c r="K315">
        <v>32</v>
      </c>
      <c r="L315">
        <v>52</v>
      </c>
      <c r="M315">
        <v>2</v>
      </c>
      <c r="N315" t="s">
        <v>188</v>
      </c>
      <c r="O315" t="s">
        <v>151</v>
      </c>
      <c r="P315" t="s">
        <v>177</v>
      </c>
      <c r="Q315" t="s">
        <v>178</v>
      </c>
      <c r="R315" t="s">
        <v>160</v>
      </c>
      <c r="S315" t="s">
        <v>43</v>
      </c>
      <c r="T315" t="s">
        <v>108</v>
      </c>
      <c r="U315">
        <v>5</v>
      </c>
      <c r="V315" t="s">
        <v>139</v>
      </c>
      <c r="W315" t="s">
        <v>128</v>
      </c>
      <c r="X315" t="s">
        <v>79</v>
      </c>
      <c r="Y315">
        <v>1</v>
      </c>
      <c r="Z315">
        <v>3</v>
      </c>
      <c r="AA315">
        <v>44.1</v>
      </c>
      <c r="AB315">
        <v>-1</v>
      </c>
      <c r="AC315" t="s">
        <v>108</v>
      </c>
      <c r="AD315">
        <v>1</v>
      </c>
      <c r="AE315">
        <v>5</v>
      </c>
      <c r="AF315">
        <v>1</v>
      </c>
      <c r="AG315">
        <v>0.86299999999999999</v>
      </c>
      <c r="AH315">
        <v>0.23300000000000001</v>
      </c>
      <c r="AI315">
        <v>-1</v>
      </c>
      <c r="AL315" t="str">
        <f t="shared" si="39"/>
        <v/>
      </c>
      <c r="AM315">
        <f>VLOOKUP(TRIM(N315),'[1]All - Durations'!$E$2:$H$109,4,FALSE)</f>
        <v>0.90400000000000003</v>
      </c>
      <c r="AN315" t="e">
        <f t="shared" si="40"/>
        <v>#VALUE!</v>
      </c>
      <c r="AO315" t="str">
        <f t="shared" si="41"/>
        <v/>
      </c>
    </row>
    <row r="316" spans="1:41" x14ac:dyDescent="0.25">
      <c r="A316">
        <v>259</v>
      </c>
      <c r="B316" t="s">
        <v>35</v>
      </c>
      <c r="C316">
        <v>3</v>
      </c>
      <c r="D316" t="s">
        <v>36</v>
      </c>
      <c r="E316">
        <v>3</v>
      </c>
      <c r="F316" t="s">
        <v>37</v>
      </c>
      <c r="G316">
        <v>5</v>
      </c>
      <c r="H316">
        <v>8</v>
      </c>
      <c r="I316">
        <v>1</v>
      </c>
      <c r="J316">
        <v>27</v>
      </c>
      <c r="K316">
        <v>33</v>
      </c>
      <c r="L316">
        <v>15</v>
      </c>
      <c r="M316">
        <v>1</v>
      </c>
      <c r="N316" t="s">
        <v>150</v>
      </c>
      <c r="O316" t="s">
        <v>151</v>
      </c>
      <c r="P316" t="s">
        <v>152</v>
      </c>
      <c r="Q316" t="s">
        <v>153</v>
      </c>
      <c r="R316" t="s">
        <v>154</v>
      </c>
      <c r="S316" t="s">
        <v>92</v>
      </c>
      <c r="T316" t="s">
        <v>155</v>
      </c>
      <c r="U316">
        <v>2</v>
      </c>
      <c r="V316" t="s">
        <v>99</v>
      </c>
      <c r="W316" t="s">
        <v>104</v>
      </c>
      <c r="X316" t="s">
        <v>60</v>
      </c>
      <c r="Y316">
        <v>1</v>
      </c>
      <c r="Z316">
        <v>3</v>
      </c>
      <c r="AA316">
        <v>44.1</v>
      </c>
      <c r="AB316">
        <v>0.49099999999999999</v>
      </c>
      <c r="AC316" t="s">
        <v>155</v>
      </c>
      <c r="AD316">
        <v>1</v>
      </c>
      <c r="AE316">
        <v>2</v>
      </c>
      <c r="AF316">
        <v>1</v>
      </c>
      <c r="AG316">
        <v>1.871</v>
      </c>
      <c r="AH316">
        <v>0.2</v>
      </c>
      <c r="AI316">
        <v>0.498</v>
      </c>
      <c r="AL316" t="str">
        <f t="shared" si="39"/>
        <v/>
      </c>
      <c r="AM316">
        <f>VLOOKUP(TRIM(N316),'[1]All - Durations'!$E$2:$H$109,4,FALSE)</f>
        <v>0.94299999999999995</v>
      </c>
      <c r="AN316" t="e">
        <f t="shared" si="40"/>
        <v>#VALUE!</v>
      </c>
      <c r="AO316" t="str">
        <f t="shared" si="41"/>
        <v/>
      </c>
    </row>
    <row r="317" spans="1:41" x14ac:dyDescent="0.25">
      <c r="A317">
        <v>259</v>
      </c>
      <c r="B317" t="s">
        <v>35</v>
      </c>
      <c r="C317">
        <v>3</v>
      </c>
      <c r="D317" t="s">
        <v>36</v>
      </c>
      <c r="E317">
        <v>3</v>
      </c>
      <c r="F317" t="s">
        <v>37</v>
      </c>
      <c r="G317">
        <v>5</v>
      </c>
      <c r="H317">
        <v>8</v>
      </c>
      <c r="I317">
        <v>1</v>
      </c>
      <c r="J317">
        <v>28</v>
      </c>
      <c r="K317">
        <v>30</v>
      </c>
      <c r="L317">
        <v>50</v>
      </c>
      <c r="M317">
        <v>2</v>
      </c>
      <c r="N317" t="s">
        <v>186</v>
      </c>
      <c r="O317" t="s">
        <v>151</v>
      </c>
      <c r="P317" t="s">
        <v>181</v>
      </c>
      <c r="Q317" t="s">
        <v>182</v>
      </c>
      <c r="R317" t="s">
        <v>174</v>
      </c>
      <c r="S317" t="s">
        <v>52</v>
      </c>
      <c r="T317" t="s">
        <v>187</v>
      </c>
      <c r="U317">
        <v>4</v>
      </c>
      <c r="V317" t="s">
        <v>47</v>
      </c>
      <c r="W317" t="s">
        <v>100</v>
      </c>
      <c r="X317" t="s">
        <v>85</v>
      </c>
      <c r="Y317">
        <v>2</v>
      </c>
      <c r="Z317">
        <v>3</v>
      </c>
      <c r="AA317">
        <v>44.1</v>
      </c>
      <c r="AB317">
        <v>-1</v>
      </c>
      <c r="AC317" t="s">
        <v>85</v>
      </c>
      <c r="AD317">
        <v>4</v>
      </c>
      <c r="AE317">
        <v>2</v>
      </c>
      <c r="AF317">
        <v>0</v>
      </c>
      <c r="AG317">
        <v>2.3740000000000001</v>
      </c>
      <c r="AH317">
        <v>0.26700000000000002</v>
      </c>
      <c r="AI317">
        <v>-1</v>
      </c>
      <c r="AL317" t="str">
        <f t="shared" si="39"/>
        <v/>
      </c>
      <c r="AM317">
        <f>VLOOKUP(TRIM(N317),'[1]All - Durations'!$E$2:$H$109,4,FALSE)</f>
        <v>0.89100000000000001</v>
      </c>
      <c r="AN317" t="e">
        <f t="shared" si="40"/>
        <v>#VALUE!</v>
      </c>
      <c r="AO317" t="str">
        <f t="shared" si="41"/>
        <v/>
      </c>
    </row>
    <row r="318" spans="1:41" x14ac:dyDescent="0.25">
      <c r="A318">
        <v>259</v>
      </c>
      <c r="B318" t="s">
        <v>35</v>
      </c>
      <c r="C318">
        <v>3</v>
      </c>
      <c r="D318" t="s">
        <v>36</v>
      </c>
      <c r="E318">
        <v>3</v>
      </c>
      <c r="F318" t="s">
        <v>37</v>
      </c>
      <c r="G318">
        <v>5</v>
      </c>
      <c r="H318">
        <v>8</v>
      </c>
      <c r="I318">
        <v>1</v>
      </c>
      <c r="J318">
        <v>29</v>
      </c>
      <c r="K318">
        <v>35</v>
      </c>
      <c r="L318">
        <v>55</v>
      </c>
      <c r="M318">
        <v>2</v>
      </c>
      <c r="N318" t="s">
        <v>163</v>
      </c>
      <c r="O318" t="s">
        <v>151</v>
      </c>
      <c r="P318" t="s">
        <v>164</v>
      </c>
      <c r="Q318" t="s">
        <v>165</v>
      </c>
      <c r="R318" t="s">
        <v>154</v>
      </c>
      <c r="S318" t="s">
        <v>92</v>
      </c>
      <c r="T318" t="s">
        <v>86</v>
      </c>
      <c r="U318">
        <v>1</v>
      </c>
      <c r="V318" t="s">
        <v>155</v>
      </c>
      <c r="W318" t="s">
        <v>56</v>
      </c>
      <c r="X318" t="s">
        <v>45</v>
      </c>
      <c r="Y318">
        <v>2</v>
      </c>
      <c r="Z318">
        <v>3</v>
      </c>
      <c r="AA318">
        <v>44.1</v>
      </c>
      <c r="AB318">
        <v>0.46</v>
      </c>
      <c r="AC318" t="s">
        <v>86</v>
      </c>
      <c r="AD318">
        <v>1</v>
      </c>
      <c r="AE318">
        <v>1</v>
      </c>
      <c r="AF318">
        <v>1</v>
      </c>
      <c r="AG318">
        <v>2.2480000000000002</v>
      </c>
      <c r="AH318">
        <v>0.26700000000000002</v>
      </c>
      <c r="AI318">
        <v>0.45300000000000001</v>
      </c>
      <c r="AL318" t="str">
        <f t="shared" si="39"/>
        <v/>
      </c>
      <c r="AM318">
        <f>VLOOKUP(TRIM(N318),'[1]All - Durations'!$E$2:$H$109,4,FALSE)</f>
        <v>0.877</v>
      </c>
      <c r="AN318" t="e">
        <f t="shared" si="40"/>
        <v>#VALUE!</v>
      </c>
      <c r="AO318" t="str">
        <f t="shared" si="41"/>
        <v/>
      </c>
    </row>
    <row r="319" spans="1:41" x14ac:dyDescent="0.25">
      <c r="A319">
        <v>259</v>
      </c>
      <c r="B319" t="s">
        <v>35</v>
      </c>
      <c r="C319">
        <v>3</v>
      </c>
      <c r="D319" t="s">
        <v>36</v>
      </c>
      <c r="E319">
        <v>3</v>
      </c>
      <c r="F319" t="s">
        <v>37</v>
      </c>
      <c r="G319">
        <v>5</v>
      </c>
      <c r="H319">
        <v>8</v>
      </c>
      <c r="I319">
        <v>1</v>
      </c>
      <c r="J319">
        <v>30</v>
      </c>
      <c r="K319">
        <v>34</v>
      </c>
      <c r="L319">
        <v>16</v>
      </c>
      <c r="M319">
        <v>1</v>
      </c>
      <c r="N319" t="s">
        <v>173</v>
      </c>
      <c r="O319" t="s">
        <v>151</v>
      </c>
      <c r="P319" t="s">
        <v>152</v>
      </c>
      <c r="Q319" t="s">
        <v>153</v>
      </c>
      <c r="R319" t="s">
        <v>174</v>
      </c>
      <c r="S319" t="s">
        <v>52</v>
      </c>
      <c r="T319" t="s">
        <v>99</v>
      </c>
      <c r="U319">
        <v>5</v>
      </c>
      <c r="V319" t="s">
        <v>75</v>
      </c>
      <c r="W319" t="s">
        <v>124</v>
      </c>
      <c r="X319" t="s">
        <v>106</v>
      </c>
      <c r="Y319">
        <v>2</v>
      </c>
      <c r="Z319">
        <v>3</v>
      </c>
      <c r="AA319">
        <v>44.1</v>
      </c>
      <c r="AB319">
        <v>-1</v>
      </c>
      <c r="AC319" t="s">
        <v>124</v>
      </c>
      <c r="AD319">
        <v>4</v>
      </c>
      <c r="AE319">
        <v>4</v>
      </c>
      <c r="AF319">
        <v>0</v>
      </c>
      <c r="AG319">
        <v>2.573</v>
      </c>
      <c r="AH319">
        <v>0.26500000000000001</v>
      </c>
      <c r="AI319">
        <v>-1</v>
      </c>
      <c r="AL319" t="str">
        <f t="shared" si="39"/>
        <v/>
      </c>
      <c r="AM319">
        <f>VLOOKUP(TRIM(N319),'[1]All - Durations'!$E$2:$H$109,4,FALSE)</f>
        <v>0.996</v>
      </c>
      <c r="AN319" t="e">
        <f t="shared" si="40"/>
        <v>#VALUE!</v>
      </c>
      <c r="AO319" t="str">
        <f t="shared" si="41"/>
        <v/>
      </c>
    </row>
    <row r="320" spans="1:41" x14ac:dyDescent="0.25">
      <c r="A320">
        <v>259</v>
      </c>
      <c r="B320" t="s">
        <v>35</v>
      </c>
      <c r="C320">
        <v>3</v>
      </c>
      <c r="D320" t="s">
        <v>36</v>
      </c>
      <c r="E320">
        <v>3</v>
      </c>
      <c r="F320" t="s">
        <v>37</v>
      </c>
      <c r="G320">
        <v>5</v>
      </c>
      <c r="H320">
        <v>8</v>
      </c>
      <c r="I320">
        <v>1</v>
      </c>
      <c r="J320">
        <v>31</v>
      </c>
      <c r="K320">
        <v>31</v>
      </c>
      <c r="L320">
        <v>51</v>
      </c>
      <c r="M320">
        <v>2</v>
      </c>
      <c r="N320" t="s">
        <v>176</v>
      </c>
      <c r="O320" t="s">
        <v>151</v>
      </c>
      <c r="P320" t="s">
        <v>177</v>
      </c>
      <c r="Q320" t="s">
        <v>178</v>
      </c>
      <c r="R320" t="s">
        <v>170</v>
      </c>
      <c r="S320" t="s">
        <v>59</v>
      </c>
      <c r="T320" t="s">
        <v>139</v>
      </c>
      <c r="U320">
        <v>1</v>
      </c>
      <c r="V320" t="s">
        <v>204</v>
      </c>
      <c r="W320" t="s">
        <v>69</v>
      </c>
      <c r="X320" t="s">
        <v>102</v>
      </c>
      <c r="Y320">
        <v>2</v>
      </c>
      <c r="Z320">
        <v>3</v>
      </c>
      <c r="AA320">
        <v>44.1</v>
      </c>
      <c r="AB320">
        <v>-1</v>
      </c>
      <c r="AC320" t="s">
        <v>204</v>
      </c>
      <c r="AD320">
        <v>3</v>
      </c>
      <c r="AE320">
        <v>2</v>
      </c>
      <c r="AF320">
        <v>0</v>
      </c>
      <c r="AG320">
        <v>2.87</v>
      </c>
      <c r="AH320">
        <v>0.26600000000000001</v>
      </c>
      <c r="AI320">
        <v>-1</v>
      </c>
      <c r="AL320" t="str">
        <f t="shared" si="39"/>
        <v/>
      </c>
      <c r="AM320">
        <f>VLOOKUP(TRIM(N320),'[1]All - Durations'!$E$2:$H$109,4,FALSE)</f>
        <v>0.879</v>
      </c>
      <c r="AN320" t="e">
        <f t="shared" si="40"/>
        <v>#VALUE!</v>
      </c>
      <c r="AO320" t="str">
        <f t="shared" si="41"/>
        <v/>
      </c>
    </row>
    <row r="321" spans="1:41" x14ac:dyDescent="0.25">
      <c r="A321">
        <v>259</v>
      </c>
      <c r="B321" t="s">
        <v>35</v>
      </c>
      <c r="C321">
        <v>3</v>
      </c>
      <c r="D321" t="s">
        <v>36</v>
      </c>
      <c r="E321">
        <v>3</v>
      </c>
      <c r="F321" t="s">
        <v>37</v>
      </c>
      <c r="G321">
        <v>5</v>
      </c>
      <c r="H321">
        <v>8</v>
      </c>
      <c r="I321">
        <v>1</v>
      </c>
      <c r="J321">
        <v>32</v>
      </c>
      <c r="K321">
        <v>25</v>
      </c>
      <c r="L321">
        <v>59</v>
      </c>
      <c r="M321">
        <v>2</v>
      </c>
      <c r="N321" t="s">
        <v>171</v>
      </c>
      <c r="O321" t="s">
        <v>151</v>
      </c>
      <c r="P321" t="s">
        <v>158</v>
      </c>
      <c r="Q321" t="s">
        <v>159</v>
      </c>
      <c r="R321" t="s">
        <v>170</v>
      </c>
      <c r="S321" t="s">
        <v>59</v>
      </c>
      <c r="T321" t="s">
        <v>103</v>
      </c>
      <c r="U321">
        <v>1</v>
      </c>
      <c r="V321" t="s">
        <v>146</v>
      </c>
      <c r="W321" t="s">
        <v>179</v>
      </c>
      <c r="X321" t="s">
        <v>185</v>
      </c>
      <c r="Y321">
        <v>2</v>
      </c>
      <c r="Z321">
        <v>3</v>
      </c>
      <c r="AA321">
        <v>44.1</v>
      </c>
      <c r="AB321">
        <v>-1</v>
      </c>
      <c r="AC321" t="s">
        <v>103</v>
      </c>
      <c r="AD321">
        <v>1</v>
      </c>
      <c r="AE321">
        <v>1</v>
      </c>
      <c r="AF321">
        <v>1</v>
      </c>
      <c r="AG321">
        <v>0.80200000000000005</v>
      </c>
      <c r="AH321">
        <v>0.29899999999999999</v>
      </c>
      <c r="AI321">
        <v>-1</v>
      </c>
      <c r="AL321" t="str">
        <f t="shared" si="39"/>
        <v/>
      </c>
      <c r="AM321">
        <f>VLOOKUP(TRIM(N321),'[1]All - Durations'!$E$2:$H$109,4,FALSE)</f>
        <v>0.92300000000000004</v>
      </c>
      <c r="AN321" t="e">
        <f t="shared" si="40"/>
        <v>#VALUE!</v>
      </c>
      <c r="AO321" t="str">
        <f t="shared" si="41"/>
        <v/>
      </c>
    </row>
    <row r="322" spans="1:41" x14ac:dyDescent="0.25">
      <c r="A322">
        <v>259</v>
      </c>
      <c r="B322" t="s">
        <v>35</v>
      </c>
      <c r="C322">
        <v>3</v>
      </c>
      <c r="D322" t="s">
        <v>36</v>
      </c>
      <c r="E322">
        <v>3</v>
      </c>
      <c r="F322" t="s">
        <v>37</v>
      </c>
      <c r="G322">
        <v>5</v>
      </c>
      <c r="H322">
        <v>8</v>
      </c>
      <c r="I322">
        <v>1</v>
      </c>
      <c r="J322">
        <v>33</v>
      </c>
      <c r="K322">
        <v>27</v>
      </c>
      <c r="L322">
        <v>13</v>
      </c>
      <c r="M322">
        <v>1</v>
      </c>
      <c r="N322" t="s">
        <v>167</v>
      </c>
      <c r="O322" t="s">
        <v>151</v>
      </c>
      <c r="P322" t="s">
        <v>168</v>
      </c>
      <c r="Q322" t="s">
        <v>169</v>
      </c>
      <c r="R322" t="s">
        <v>170</v>
      </c>
      <c r="S322" t="s">
        <v>59</v>
      </c>
      <c r="T322" t="s">
        <v>96</v>
      </c>
      <c r="U322">
        <v>4</v>
      </c>
      <c r="V322" t="s">
        <v>141</v>
      </c>
      <c r="W322" t="s">
        <v>44</v>
      </c>
      <c r="X322" t="s">
        <v>81</v>
      </c>
      <c r="Y322">
        <v>1</v>
      </c>
      <c r="Z322">
        <v>3</v>
      </c>
      <c r="AA322">
        <v>44.1</v>
      </c>
      <c r="AB322">
        <v>0.13</v>
      </c>
      <c r="AC322" t="s">
        <v>81</v>
      </c>
      <c r="AD322">
        <v>4</v>
      </c>
      <c r="AE322">
        <v>1</v>
      </c>
      <c r="AF322">
        <v>0</v>
      </c>
      <c r="AG322">
        <v>2.6579999999999999</v>
      </c>
      <c r="AH322">
        <v>0.216</v>
      </c>
      <c r="AI322">
        <v>0.125</v>
      </c>
      <c r="AL322" t="str">
        <f t="shared" si="39"/>
        <v/>
      </c>
      <c r="AM322">
        <f>VLOOKUP(TRIM(N322),'[1]All - Durations'!$E$2:$H$109,4,FALSE)</f>
        <v>0.97399999999999998</v>
      </c>
      <c r="AN322" t="e">
        <f t="shared" si="40"/>
        <v>#VALUE!</v>
      </c>
      <c r="AO322" t="str">
        <f t="shared" si="41"/>
        <v/>
      </c>
    </row>
    <row r="323" spans="1:41" x14ac:dyDescent="0.25">
      <c r="A323">
        <v>259</v>
      </c>
      <c r="B323" t="s">
        <v>35</v>
      </c>
      <c r="C323">
        <v>3</v>
      </c>
      <c r="D323" t="s">
        <v>36</v>
      </c>
      <c r="E323">
        <v>3</v>
      </c>
      <c r="F323" t="s">
        <v>37</v>
      </c>
      <c r="G323">
        <v>5</v>
      </c>
      <c r="H323">
        <v>8</v>
      </c>
      <c r="I323">
        <v>1</v>
      </c>
      <c r="J323">
        <v>34</v>
      </c>
      <c r="K323">
        <v>26</v>
      </c>
      <c r="L323">
        <v>60</v>
      </c>
      <c r="M323">
        <v>2</v>
      </c>
      <c r="N323" t="s">
        <v>157</v>
      </c>
      <c r="O323" t="s">
        <v>151</v>
      </c>
      <c r="P323" t="s">
        <v>158</v>
      </c>
      <c r="Q323" t="s">
        <v>159</v>
      </c>
      <c r="R323" t="s">
        <v>160</v>
      </c>
      <c r="S323" t="s">
        <v>43</v>
      </c>
      <c r="T323" t="s">
        <v>161</v>
      </c>
      <c r="U323">
        <v>2</v>
      </c>
      <c r="V323" t="s">
        <v>103</v>
      </c>
      <c r="W323" t="s">
        <v>172</v>
      </c>
      <c r="X323" t="s">
        <v>127</v>
      </c>
      <c r="Y323">
        <v>1</v>
      </c>
      <c r="Z323">
        <v>3</v>
      </c>
      <c r="AA323">
        <v>44.1</v>
      </c>
      <c r="AB323">
        <v>-1</v>
      </c>
      <c r="AC323" t="s">
        <v>161</v>
      </c>
      <c r="AD323">
        <v>1</v>
      </c>
      <c r="AE323">
        <v>2</v>
      </c>
      <c r="AF323">
        <v>1</v>
      </c>
      <c r="AG323">
        <v>0.95299999999999996</v>
      </c>
      <c r="AH323">
        <v>0.217</v>
      </c>
      <c r="AI323">
        <v>-1</v>
      </c>
      <c r="AL323" t="str">
        <f t="shared" ref="AL323:AL386" si="42">IF(ISNUMBER(AK323), AK323, IF(AND(AK323="",AJ323=""),"",IF(AK323="",AJ323,"")))</f>
        <v/>
      </c>
      <c r="AM323">
        <f>VLOOKUP(TRIM(N323),'[1]All - Durations'!$E$2:$H$109,4,FALSE)</f>
        <v>1.0549999999999999</v>
      </c>
      <c r="AN323" t="e">
        <f t="shared" ref="AN323:AN386" si="43">AL323-AM323</f>
        <v>#VALUE!</v>
      </c>
      <c r="AO323" t="str">
        <f t="shared" ref="AO323:AO386" si="44">IF(ISNUMBER(AN323), AN323, "")</f>
        <v/>
      </c>
    </row>
    <row r="324" spans="1:41" x14ac:dyDescent="0.25">
      <c r="A324">
        <v>259</v>
      </c>
      <c r="B324" t="s">
        <v>35</v>
      </c>
      <c r="C324">
        <v>3</v>
      </c>
      <c r="D324" t="s">
        <v>36</v>
      </c>
      <c r="E324">
        <v>3</v>
      </c>
      <c r="F324" t="s">
        <v>37</v>
      </c>
      <c r="G324">
        <v>5</v>
      </c>
      <c r="H324">
        <v>8</v>
      </c>
      <c r="I324">
        <v>1</v>
      </c>
      <c r="J324">
        <v>35</v>
      </c>
      <c r="K324">
        <v>28</v>
      </c>
      <c r="L324">
        <v>14</v>
      </c>
      <c r="M324">
        <v>1</v>
      </c>
      <c r="N324" t="s">
        <v>184</v>
      </c>
      <c r="O324" t="s">
        <v>151</v>
      </c>
      <c r="P324" t="s">
        <v>168</v>
      </c>
      <c r="Q324" t="s">
        <v>169</v>
      </c>
      <c r="R324" t="s">
        <v>154</v>
      </c>
      <c r="S324" t="s">
        <v>92</v>
      </c>
      <c r="T324" t="s">
        <v>141</v>
      </c>
      <c r="U324">
        <v>4</v>
      </c>
      <c r="V324" t="s">
        <v>62</v>
      </c>
      <c r="W324" t="s">
        <v>149</v>
      </c>
      <c r="X324" t="s">
        <v>61</v>
      </c>
      <c r="Y324">
        <v>2</v>
      </c>
      <c r="Z324">
        <v>3</v>
      </c>
      <c r="AA324">
        <v>44.1</v>
      </c>
      <c r="AB324">
        <v>-1</v>
      </c>
      <c r="AC324" t="s">
        <v>62</v>
      </c>
      <c r="AD324">
        <v>3</v>
      </c>
      <c r="AE324">
        <v>2</v>
      </c>
      <c r="AF324">
        <v>0</v>
      </c>
      <c r="AG324">
        <v>1.75</v>
      </c>
      <c r="AH324">
        <v>0.2</v>
      </c>
      <c r="AI324">
        <v>-1</v>
      </c>
      <c r="AL324" t="str">
        <f t="shared" si="42"/>
        <v/>
      </c>
      <c r="AM324">
        <f>VLOOKUP(TRIM(N324),'[1]All - Durations'!$E$2:$H$109,4,FALSE)</f>
        <v>0.91</v>
      </c>
      <c r="AN324" t="e">
        <f t="shared" si="43"/>
        <v>#VALUE!</v>
      </c>
      <c r="AO324" t="str">
        <f t="shared" si="44"/>
        <v/>
      </c>
    </row>
    <row r="325" spans="1:41" x14ac:dyDescent="0.25">
      <c r="A325">
        <v>259</v>
      </c>
      <c r="B325" t="s">
        <v>35</v>
      </c>
      <c r="C325">
        <v>3</v>
      </c>
      <c r="D325" t="s">
        <v>36</v>
      </c>
      <c r="E325">
        <v>3</v>
      </c>
      <c r="F325" t="s">
        <v>37</v>
      </c>
      <c r="G325">
        <v>5</v>
      </c>
      <c r="H325">
        <v>8</v>
      </c>
      <c r="I325">
        <v>1</v>
      </c>
      <c r="J325">
        <v>36</v>
      </c>
      <c r="K325">
        <v>36</v>
      </c>
      <c r="L325">
        <v>56</v>
      </c>
      <c r="M325">
        <v>2</v>
      </c>
      <c r="N325" t="s">
        <v>175</v>
      </c>
      <c r="O325" t="s">
        <v>151</v>
      </c>
      <c r="P325" t="s">
        <v>164</v>
      </c>
      <c r="Q325" t="s">
        <v>165</v>
      </c>
      <c r="R325" t="s">
        <v>174</v>
      </c>
      <c r="S325" t="s">
        <v>52</v>
      </c>
      <c r="T325" t="s">
        <v>166</v>
      </c>
      <c r="U325">
        <v>4</v>
      </c>
      <c r="V325" t="s">
        <v>86</v>
      </c>
      <c r="W325" t="s">
        <v>67</v>
      </c>
      <c r="X325" t="s">
        <v>107</v>
      </c>
      <c r="Y325">
        <v>1</v>
      </c>
      <c r="Z325">
        <v>3</v>
      </c>
      <c r="AA325">
        <v>44.1</v>
      </c>
      <c r="AB325">
        <v>-1</v>
      </c>
      <c r="AC325" t="s">
        <v>86</v>
      </c>
      <c r="AD325">
        <v>2</v>
      </c>
      <c r="AE325">
        <v>1</v>
      </c>
      <c r="AF325">
        <v>0</v>
      </c>
      <c r="AG325">
        <v>2.4569999999999999</v>
      </c>
      <c r="AH325">
        <v>0.6</v>
      </c>
      <c r="AI325">
        <v>-1</v>
      </c>
      <c r="AL325" t="str">
        <f t="shared" si="42"/>
        <v/>
      </c>
      <c r="AM325">
        <f>VLOOKUP(TRIM(N325),'[1]All - Durations'!$E$2:$H$109,4,FALSE)</f>
        <v>0.97099999999999997</v>
      </c>
      <c r="AN325" t="e">
        <f t="shared" si="43"/>
        <v>#VALUE!</v>
      </c>
      <c r="AO325" t="str">
        <f t="shared" si="44"/>
        <v/>
      </c>
    </row>
    <row r="326" spans="1:41" x14ac:dyDescent="0.25">
      <c r="A326">
        <v>259</v>
      </c>
      <c r="B326" t="s">
        <v>35</v>
      </c>
      <c r="C326">
        <v>3</v>
      </c>
      <c r="D326" t="s">
        <v>36</v>
      </c>
      <c r="E326">
        <v>3</v>
      </c>
      <c r="F326" t="s">
        <v>37</v>
      </c>
      <c r="G326">
        <v>5</v>
      </c>
      <c r="H326">
        <v>8</v>
      </c>
      <c r="I326">
        <v>1</v>
      </c>
      <c r="J326">
        <v>37</v>
      </c>
      <c r="K326">
        <v>37</v>
      </c>
      <c r="L326">
        <v>11</v>
      </c>
      <c r="M326">
        <v>1</v>
      </c>
      <c r="N326" t="s">
        <v>213</v>
      </c>
      <c r="O326" t="s">
        <v>39</v>
      </c>
      <c r="P326" t="s">
        <v>207</v>
      </c>
      <c r="Q326" t="s">
        <v>208</v>
      </c>
      <c r="R326" t="s">
        <v>91</v>
      </c>
      <c r="S326" t="s">
        <v>92</v>
      </c>
      <c r="T326" t="s">
        <v>106</v>
      </c>
      <c r="U326">
        <v>2</v>
      </c>
      <c r="V326" t="s">
        <v>93</v>
      </c>
      <c r="W326" t="s">
        <v>107</v>
      </c>
      <c r="X326" t="s">
        <v>110</v>
      </c>
      <c r="Y326">
        <v>2</v>
      </c>
      <c r="Z326">
        <v>3</v>
      </c>
      <c r="AA326">
        <v>44.1</v>
      </c>
      <c r="AB326">
        <v>-1</v>
      </c>
      <c r="AC326" t="s">
        <v>106</v>
      </c>
      <c r="AD326">
        <v>1</v>
      </c>
      <c r="AE326">
        <v>2</v>
      </c>
      <c r="AF326">
        <v>1</v>
      </c>
      <c r="AG326">
        <v>1.399</v>
      </c>
      <c r="AH326">
        <v>0.26700000000000002</v>
      </c>
      <c r="AI326">
        <v>-1</v>
      </c>
      <c r="AL326" t="str">
        <f t="shared" si="42"/>
        <v/>
      </c>
      <c r="AM326">
        <f>VLOOKUP(TRIM(N326),'[1]All - Durations'!$E$2:$H$109,4,FALSE)</f>
        <v>0.86599999999999999</v>
      </c>
      <c r="AN326" t="e">
        <f t="shared" si="43"/>
        <v>#VALUE!</v>
      </c>
      <c r="AO326" t="str">
        <f t="shared" si="44"/>
        <v/>
      </c>
    </row>
    <row r="327" spans="1:41" x14ac:dyDescent="0.25">
      <c r="A327">
        <v>259</v>
      </c>
      <c r="B327" t="s">
        <v>35</v>
      </c>
      <c r="C327">
        <v>3</v>
      </c>
      <c r="D327" t="s">
        <v>36</v>
      </c>
      <c r="E327">
        <v>3</v>
      </c>
      <c r="F327" t="s">
        <v>37</v>
      </c>
      <c r="G327">
        <v>5</v>
      </c>
      <c r="H327">
        <v>8</v>
      </c>
      <c r="I327">
        <v>1</v>
      </c>
      <c r="J327">
        <v>38</v>
      </c>
      <c r="K327">
        <v>47</v>
      </c>
      <c r="L327">
        <v>9</v>
      </c>
      <c r="M327">
        <v>1</v>
      </c>
      <c r="N327" t="s">
        <v>212</v>
      </c>
      <c r="O327" t="s">
        <v>39</v>
      </c>
      <c r="P327" t="s">
        <v>202</v>
      </c>
      <c r="Q327" t="s">
        <v>203</v>
      </c>
      <c r="R327" t="s">
        <v>58</v>
      </c>
      <c r="S327" t="s">
        <v>59</v>
      </c>
      <c r="T327" t="s">
        <v>147</v>
      </c>
      <c r="U327">
        <v>2</v>
      </c>
      <c r="V327" t="s">
        <v>156</v>
      </c>
      <c r="W327" t="s">
        <v>116</v>
      </c>
      <c r="X327" t="s">
        <v>121</v>
      </c>
      <c r="Y327">
        <v>2</v>
      </c>
      <c r="Z327">
        <v>3</v>
      </c>
      <c r="AA327">
        <v>44.1</v>
      </c>
      <c r="AB327">
        <v>-1</v>
      </c>
      <c r="AC327" t="s">
        <v>147</v>
      </c>
      <c r="AD327">
        <v>1</v>
      </c>
      <c r="AE327">
        <v>2</v>
      </c>
      <c r="AF327">
        <v>1</v>
      </c>
      <c r="AG327">
        <v>1.0189999999999999</v>
      </c>
      <c r="AH327">
        <v>0.2</v>
      </c>
      <c r="AI327">
        <v>-1</v>
      </c>
      <c r="AL327" t="str">
        <f t="shared" si="42"/>
        <v/>
      </c>
      <c r="AM327">
        <f>VLOOKUP(TRIM(N327),'[1]All - Durations'!$E$2:$H$109,4,FALSE)</f>
        <v>0.93500000000000005</v>
      </c>
      <c r="AN327" t="e">
        <f t="shared" si="43"/>
        <v>#VALUE!</v>
      </c>
      <c r="AO327" t="str">
        <f t="shared" si="44"/>
        <v/>
      </c>
    </row>
    <row r="328" spans="1:41" x14ac:dyDescent="0.25">
      <c r="A328">
        <v>259</v>
      </c>
      <c r="B328" t="s">
        <v>35</v>
      </c>
      <c r="C328">
        <v>3</v>
      </c>
      <c r="D328" t="s">
        <v>36</v>
      </c>
      <c r="E328">
        <v>3</v>
      </c>
      <c r="F328" t="s">
        <v>37</v>
      </c>
      <c r="G328">
        <v>5</v>
      </c>
      <c r="H328">
        <v>8</v>
      </c>
      <c r="I328">
        <v>1</v>
      </c>
      <c r="J328">
        <v>39</v>
      </c>
      <c r="K328">
        <v>46</v>
      </c>
      <c r="L328">
        <v>46</v>
      </c>
      <c r="M328">
        <v>2</v>
      </c>
      <c r="N328" t="s">
        <v>189</v>
      </c>
      <c r="O328" t="s">
        <v>39</v>
      </c>
      <c r="P328" t="s">
        <v>190</v>
      </c>
      <c r="Q328" t="s">
        <v>191</v>
      </c>
      <c r="R328" t="s">
        <v>42</v>
      </c>
      <c r="S328" t="s">
        <v>43</v>
      </c>
      <c r="T328" t="s">
        <v>45</v>
      </c>
      <c r="U328">
        <v>2</v>
      </c>
      <c r="V328" t="s">
        <v>67</v>
      </c>
      <c r="W328" t="s">
        <v>127</v>
      </c>
      <c r="X328" t="s">
        <v>187</v>
      </c>
      <c r="Y328">
        <v>2</v>
      </c>
      <c r="Z328">
        <v>3</v>
      </c>
      <c r="AA328">
        <v>44.1</v>
      </c>
      <c r="AB328">
        <v>0.38800000000000001</v>
      </c>
      <c r="AC328" t="s">
        <v>127</v>
      </c>
      <c r="AD328">
        <v>4</v>
      </c>
      <c r="AE328">
        <v>1</v>
      </c>
      <c r="AF328">
        <v>0</v>
      </c>
      <c r="AG328">
        <v>3.524</v>
      </c>
      <c r="AH328">
        <v>0.217</v>
      </c>
      <c r="AI328">
        <v>0.39800000000000002</v>
      </c>
      <c r="AL328" t="str">
        <f t="shared" si="42"/>
        <v/>
      </c>
      <c r="AM328">
        <f>VLOOKUP(TRIM(N328),'[1]All - Durations'!$E$2:$H$109,4,FALSE)</f>
        <v>1.091</v>
      </c>
      <c r="AN328" t="e">
        <f t="shared" si="43"/>
        <v>#VALUE!</v>
      </c>
      <c r="AO328" t="str">
        <f t="shared" si="44"/>
        <v/>
      </c>
    </row>
    <row r="329" spans="1:41" x14ac:dyDescent="0.25">
      <c r="A329">
        <v>259</v>
      </c>
      <c r="B329" t="s">
        <v>35</v>
      </c>
      <c r="C329">
        <v>3</v>
      </c>
      <c r="D329" t="s">
        <v>36</v>
      </c>
      <c r="E329">
        <v>3</v>
      </c>
      <c r="F329" t="s">
        <v>37</v>
      </c>
      <c r="G329">
        <v>5</v>
      </c>
      <c r="H329">
        <v>8</v>
      </c>
      <c r="I329">
        <v>1</v>
      </c>
      <c r="J329">
        <v>40</v>
      </c>
      <c r="K329">
        <v>39</v>
      </c>
      <c r="L329">
        <v>7</v>
      </c>
      <c r="M329">
        <v>1</v>
      </c>
      <c r="N329" t="s">
        <v>205</v>
      </c>
      <c r="O329" t="s">
        <v>39</v>
      </c>
      <c r="P329" t="s">
        <v>196</v>
      </c>
      <c r="Q329" t="s">
        <v>197</v>
      </c>
      <c r="R329" t="s">
        <v>58</v>
      </c>
      <c r="S329" t="s">
        <v>59</v>
      </c>
      <c r="T329" t="s">
        <v>156</v>
      </c>
      <c r="U329">
        <v>4</v>
      </c>
      <c r="V329" t="s">
        <v>85</v>
      </c>
      <c r="W329" t="s">
        <v>61</v>
      </c>
      <c r="X329" t="s">
        <v>99</v>
      </c>
      <c r="Y329">
        <v>1</v>
      </c>
      <c r="Z329">
        <v>3</v>
      </c>
      <c r="AA329">
        <v>44.1</v>
      </c>
      <c r="AB329">
        <v>-1</v>
      </c>
      <c r="AC329" t="s">
        <v>99</v>
      </c>
      <c r="AD329">
        <v>4</v>
      </c>
      <c r="AE329">
        <v>2</v>
      </c>
      <c r="AF329">
        <v>0</v>
      </c>
      <c r="AG329">
        <v>2.1680000000000001</v>
      </c>
      <c r="AH329">
        <v>0.28299999999999997</v>
      </c>
      <c r="AI329">
        <v>-1</v>
      </c>
      <c r="AL329" t="str">
        <f t="shared" si="42"/>
        <v/>
      </c>
      <c r="AM329">
        <f>VLOOKUP(TRIM(N329),'[1]All - Durations'!$E$2:$H$109,4,FALSE)</f>
        <v>0.94499999999999995</v>
      </c>
      <c r="AN329" t="e">
        <f t="shared" si="43"/>
        <v>#VALUE!</v>
      </c>
      <c r="AO329" t="str">
        <f t="shared" si="44"/>
        <v/>
      </c>
    </row>
    <row r="330" spans="1:41" x14ac:dyDescent="0.25">
      <c r="A330">
        <v>259</v>
      </c>
      <c r="B330" t="s">
        <v>35</v>
      </c>
      <c r="C330">
        <v>3</v>
      </c>
      <c r="D330" t="s">
        <v>36</v>
      </c>
      <c r="E330">
        <v>3</v>
      </c>
      <c r="F330" t="s">
        <v>37</v>
      </c>
      <c r="G330">
        <v>5</v>
      </c>
      <c r="H330">
        <v>8</v>
      </c>
      <c r="I330">
        <v>1</v>
      </c>
      <c r="J330">
        <v>41</v>
      </c>
      <c r="K330">
        <v>48</v>
      </c>
      <c r="L330">
        <v>10</v>
      </c>
      <c r="M330">
        <v>1</v>
      </c>
      <c r="N330" t="s">
        <v>201</v>
      </c>
      <c r="O330" t="s">
        <v>39</v>
      </c>
      <c r="P330" t="s">
        <v>202</v>
      </c>
      <c r="Q330" t="s">
        <v>203</v>
      </c>
      <c r="R330" t="s">
        <v>51</v>
      </c>
      <c r="S330" t="s">
        <v>52</v>
      </c>
      <c r="T330" t="s">
        <v>172</v>
      </c>
      <c r="U330">
        <v>1</v>
      </c>
      <c r="V330" t="s">
        <v>147</v>
      </c>
      <c r="W330" t="s">
        <v>155</v>
      </c>
      <c r="X330" t="s">
        <v>104</v>
      </c>
      <c r="Y330">
        <v>1</v>
      </c>
      <c r="Z330">
        <v>3</v>
      </c>
      <c r="AA330">
        <v>44.1</v>
      </c>
      <c r="AB330">
        <v>-1</v>
      </c>
      <c r="AC330" t="s">
        <v>172</v>
      </c>
      <c r="AD330">
        <v>1</v>
      </c>
      <c r="AE330">
        <v>1</v>
      </c>
      <c r="AF330">
        <v>1</v>
      </c>
      <c r="AG330">
        <v>0.76600000000000001</v>
      </c>
      <c r="AH330">
        <v>0.217</v>
      </c>
      <c r="AI330">
        <v>-1</v>
      </c>
      <c r="AL330" t="str">
        <f t="shared" si="42"/>
        <v/>
      </c>
      <c r="AM330">
        <f>VLOOKUP(TRIM(N330),'[1]All - Durations'!$E$2:$H$109,4,FALSE)</f>
        <v>0.997</v>
      </c>
      <c r="AN330" t="e">
        <f t="shared" si="43"/>
        <v>#VALUE!</v>
      </c>
      <c r="AO330" t="str">
        <f t="shared" si="44"/>
        <v/>
      </c>
    </row>
    <row r="331" spans="1:41" x14ac:dyDescent="0.25">
      <c r="A331">
        <v>259</v>
      </c>
      <c r="B331" t="s">
        <v>35</v>
      </c>
      <c r="C331">
        <v>3</v>
      </c>
      <c r="D331" t="s">
        <v>36</v>
      </c>
      <c r="E331">
        <v>3</v>
      </c>
      <c r="F331" t="s">
        <v>37</v>
      </c>
      <c r="G331">
        <v>5</v>
      </c>
      <c r="H331">
        <v>8</v>
      </c>
      <c r="I331">
        <v>1</v>
      </c>
      <c r="J331">
        <v>42</v>
      </c>
      <c r="K331">
        <v>41</v>
      </c>
      <c r="L331">
        <v>41</v>
      </c>
      <c r="M331">
        <v>2</v>
      </c>
      <c r="N331" t="s">
        <v>198</v>
      </c>
      <c r="O331" t="s">
        <v>39</v>
      </c>
      <c r="P331" t="s">
        <v>199</v>
      </c>
      <c r="Q331" t="s">
        <v>200</v>
      </c>
      <c r="R331" t="s">
        <v>58</v>
      </c>
      <c r="S331" t="s">
        <v>59</v>
      </c>
      <c r="T331" t="s">
        <v>138</v>
      </c>
      <c r="U331">
        <v>5</v>
      </c>
      <c r="V331" t="s">
        <v>98</v>
      </c>
      <c r="W331" t="s">
        <v>47</v>
      </c>
      <c r="X331" t="s">
        <v>214</v>
      </c>
      <c r="Y331">
        <v>1</v>
      </c>
      <c r="Z331">
        <v>3</v>
      </c>
      <c r="AA331">
        <v>44.1</v>
      </c>
      <c r="AB331">
        <v>-1</v>
      </c>
      <c r="AC331" t="s">
        <v>98</v>
      </c>
      <c r="AD331">
        <v>2</v>
      </c>
      <c r="AE331">
        <v>4</v>
      </c>
      <c r="AF331">
        <v>0</v>
      </c>
      <c r="AG331">
        <v>1.4650000000000001</v>
      </c>
      <c r="AH331">
        <v>0.2</v>
      </c>
      <c r="AI331">
        <v>-1</v>
      </c>
      <c r="AL331" t="str">
        <f t="shared" si="42"/>
        <v/>
      </c>
      <c r="AM331">
        <f>VLOOKUP(TRIM(N331),'[1]All - Durations'!$E$2:$H$109,4,FALSE)</f>
        <v>0.97199999999999998</v>
      </c>
      <c r="AN331" t="e">
        <f t="shared" si="43"/>
        <v>#VALUE!</v>
      </c>
      <c r="AO331" t="str">
        <f t="shared" si="44"/>
        <v/>
      </c>
    </row>
    <row r="332" spans="1:41" x14ac:dyDescent="0.25">
      <c r="A332">
        <v>259</v>
      </c>
      <c r="B332" t="s">
        <v>35</v>
      </c>
      <c r="C332">
        <v>3</v>
      </c>
      <c r="D332" t="s">
        <v>36</v>
      </c>
      <c r="E332">
        <v>3</v>
      </c>
      <c r="F332" t="s">
        <v>37</v>
      </c>
      <c r="G332">
        <v>5</v>
      </c>
      <c r="H332">
        <v>8</v>
      </c>
      <c r="I332">
        <v>1</v>
      </c>
      <c r="J332">
        <v>43</v>
      </c>
      <c r="K332">
        <v>43</v>
      </c>
      <c r="L332">
        <v>5</v>
      </c>
      <c r="M332">
        <v>1</v>
      </c>
      <c r="N332" t="s">
        <v>192</v>
      </c>
      <c r="O332" t="s">
        <v>39</v>
      </c>
      <c r="P332" t="s">
        <v>193</v>
      </c>
      <c r="Q332" t="s">
        <v>194</v>
      </c>
      <c r="R332" t="s">
        <v>51</v>
      </c>
      <c r="S332" t="s">
        <v>52</v>
      </c>
      <c r="T332" t="s">
        <v>144</v>
      </c>
      <c r="U332">
        <v>5</v>
      </c>
      <c r="V332" t="s">
        <v>185</v>
      </c>
      <c r="W332" t="s">
        <v>62</v>
      </c>
      <c r="X332" t="s">
        <v>120</v>
      </c>
      <c r="Y332">
        <v>1</v>
      </c>
      <c r="Z332">
        <v>3</v>
      </c>
      <c r="AA332">
        <v>44.1</v>
      </c>
      <c r="AB332">
        <v>0.21199999999999999</v>
      </c>
      <c r="AC332" t="s">
        <v>185</v>
      </c>
      <c r="AD332">
        <v>2</v>
      </c>
      <c r="AE332">
        <v>1</v>
      </c>
      <c r="AF332">
        <v>0</v>
      </c>
      <c r="AG332">
        <v>1.5369999999999999</v>
      </c>
      <c r="AH332">
        <v>0.16700000000000001</v>
      </c>
      <c r="AI332">
        <v>0.217</v>
      </c>
      <c r="AL332" t="str">
        <f t="shared" si="42"/>
        <v/>
      </c>
      <c r="AM332">
        <f>VLOOKUP(TRIM(N332),'[1]All - Durations'!$E$2:$H$109,4,FALSE)</f>
        <v>1.0669999999999999</v>
      </c>
      <c r="AN332" t="e">
        <f t="shared" si="43"/>
        <v>#VALUE!</v>
      </c>
      <c r="AO332" t="str">
        <f t="shared" si="44"/>
        <v/>
      </c>
    </row>
    <row r="333" spans="1:41" x14ac:dyDescent="0.25">
      <c r="A333">
        <v>259</v>
      </c>
      <c r="B333" t="s">
        <v>35</v>
      </c>
      <c r="C333">
        <v>3</v>
      </c>
      <c r="D333" t="s">
        <v>36</v>
      </c>
      <c r="E333">
        <v>3</v>
      </c>
      <c r="F333" t="s">
        <v>37</v>
      </c>
      <c r="G333">
        <v>5</v>
      </c>
      <c r="H333">
        <v>8</v>
      </c>
      <c r="I333">
        <v>1</v>
      </c>
      <c r="J333">
        <v>44</v>
      </c>
      <c r="K333">
        <v>40</v>
      </c>
      <c r="L333">
        <v>8</v>
      </c>
      <c r="M333">
        <v>1</v>
      </c>
      <c r="N333" t="s">
        <v>195</v>
      </c>
      <c r="O333" t="s">
        <v>39</v>
      </c>
      <c r="P333" t="s">
        <v>196</v>
      </c>
      <c r="Q333" t="s">
        <v>197</v>
      </c>
      <c r="R333" t="s">
        <v>42</v>
      </c>
      <c r="S333" t="s">
        <v>43</v>
      </c>
      <c r="T333" t="s">
        <v>85</v>
      </c>
      <c r="U333">
        <v>1</v>
      </c>
      <c r="V333" t="s">
        <v>44</v>
      </c>
      <c r="W333" t="s">
        <v>162</v>
      </c>
      <c r="X333" t="s">
        <v>211</v>
      </c>
      <c r="Y333">
        <v>2</v>
      </c>
      <c r="Z333">
        <v>3</v>
      </c>
      <c r="AA333">
        <v>44.1</v>
      </c>
      <c r="AB333">
        <v>-1</v>
      </c>
      <c r="AC333" t="s">
        <v>211</v>
      </c>
      <c r="AD333">
        <v>4</v>
      </c>
      <c r="AE333">
        <v>4</v>
      </c>
      <c r="AF333">
        <v>0</v>
      </c>
      <c r="AG333">
        <v>2.6819999999999999</v>
      </c>
      <c r="AH333">
        <v>0.14899999999999999</v>
      </c>
      <c r="AI333">
        <v>-1</v>
      </c>
      <c r="AL333" t="str">
        <f t="shared" si="42"/>
        <v/>
      </c>
      <c r="AM333">
        <f>VLOOKUP(TRIM(N333),'[1]All - Durations'!$E$2:$H$109,4,FALSE)</f>
        <v>0.92600000000000005</v>
      </c>
      <c r="AN333" t="e">
        <f t="shared" si="43"/>
        <v>#VALUE!</v>
      </c>
      <c r="AO333" t="str">
        <f t="shared" si="44"/>
        <v/>
      </c>
    </row>
    <row r="334" spans="1:41" x14ac:dyDescent="0.25">
      <c r="A334">
        <v>259</v>
      </c>
      <c r="B334" t="s">
        <v>35</v>
      </c>
      <c r="C334">
        <v>3</v>
      </c>
      <c r="D334" t="s">
        <v>36</v>
      </c>
      <c r="E334">
        <v>3</v>
      </c>
      <c r="F334" t="s">
        <v>37</v>
      </c>
      <c r="G334">
        <v>5</v>
      </c>
      <c r="H334">
        <v>8</v>
      </c>
      <c r="I334">
        <v>1</v>
      </c>
      <c r="J334">
        <v>45</v>
      </c>
      <c r="K334">
        <v>38</v>
      </c>
      <c r="L334">
        <v>12</v>
      </c>
      <c r="M334">
        <v>1</v>
      </c>
      <c r="N334" t="s">
        <v>206</v>
      </c>
      <c r="O334" t="s">
        <v>39</v>
      </c>
      <c r="P334" t="s">
        <v>207</v>
      </c>
      <c r="Q334" t="s">
        <v>208</v>
      </c>
      <c r="R334" t="s">
        <v>42</v>
      </c>
      <c r="S334" t="s">
        <v>43</v>
      </c>
      <c r="T334" t="s">
        <v>131</v>
      </c>
      <c r="U334">
        <v>1</v>
      </c>
      <c r="V334" t="s">
        <v>106</v>
      </c>
      <c r="W334" t="s">
        <v>75</v>
      </c>
      <c r="X334" t="s">
        <v>128</v>
      </c>
      <c r="Y334">
        <v>1</v>
      </c>
      <c r="Z334">
        <v>3</v>
      </c>
      <c r="AA334">
        <v>44.1</v>
      </c>
      <c r="AB334">
        <v>-1</v>
      </c>
      <c r="AC334" t="s">
        <v>131</v>
      </c>
      <c r="AD334">
        <v>1</v>
      </c>
      <c r="AE334">
        <v>1</v>
      </c>
      <c r="AF334">
        <v>1</v>
      </c>
      <c r="AG334">
        <v>2.012</v>
      </c>
      <c r="AH334">
        <v>0.316</v>
      </c>
      <c r="AI334">
        <v>-1</v>
      </c>
      <c r="AL334" t="str">
        <f t="shared" si="42"/>
        <v/>
      </c>
      <c r="AM334">
        <f>VLOOKUP(TRIM(N334),'[1]All - Durations'!$E$2:$H$109,4,FALSE)</f>
        <v>0.82699999999999996</v>
      </c>
      <c r="AN334" t="e">
        <f t="shared" si="43"/>
        <v>#VALUE!</v>
      </c>
      <c r="AO334" t="str">
        <f t="shared" si="44"/>
        <v/>
      </c>
    </row>
    <row r="335" spans="1:41" x14ac:dyDescent="0.25">
      <c r="A335">
        <v>259</v>
      </c>
      <c r="B335" t="s">
        <v>35</v>
      </c>
      <c r="C335">
        <v>3</v>
      </c>
      <c r="D335" t="s">
        <v>36</v>
      </c>
      <c r="E335">
        <v>3</v>
      </c>
      <c r="F335" t="s">
        <v>37</v>
      </c>
      <c r="G335">
        <v>5</v>
      </c>
      <c r="H335">
        <v>8</v>
      </c>
      <c r="I335">
        <v>1</v>
      </c>
      <c r="J335">
        <v>46</v>
      </c>
      <c r="K335">
        <v>42</v>
      </c>
      <c r="L335">
        <v>42</v>
      </c>
      <c r="M335">
        <v>2</v>
      </c>
      <c r="N335" t="s">
        <v>216</v>
      </c>
      <c r="O335" t="s">
        <v>39</v>
      </c>
      <c r="P335" t="s">
        <v>199</v>
      </c>
      <c r="Q335" t="s">
        <v>200</v>
      </c>
      <c r="R335" t="s">
        <v>91</v>
      </c>
      <c r="S335" t="s">
        <v>92</v>
      </c>
      <c r="T335" t="s">
        <v>98</v>
      </c>
      <c r="U335">
        <v>4</v>
      </c>
      <c r="V335" t="s">
        <v>80</v>
      </c>
      <c r="W335" t="s">
        <v>46</v>
      </c>
      <c r="X335" t="s">
        <v>139</v>
      </c>
      <c r="Y335">
        <v>2</v>
      </c>
      <c r="Z335">
        <v>3</v>
      </c>
      <c r="AA335">
        <v>44.1</v>
      </c>
      <c r="AB335">
        <v>-1</v>
      </c>
      <c r="AC335" t="s">
        <v>46</v>
      </c>
      <c r="AD335">
        <v>4</v>
      </c>
      <c r="AE335">
        <v>2</v>
      </c>
      <c r="AF335">
        <v>0</v>
      </c>
      <c r="AG335">
        <v>2.4780000000000002</v>
      </c>
      <c r="AH335">
        <v>0.23300000000000001</v>
      </c>
      <c r="AI335">
        <v>-1</v>
      </c>
      <c r="AL335" t="str">
        <f t="shared" si="42"/>
        <v/>
      </c>
      <c r="AM335">
        <f>VLOOKUP(TRIM(N335),'[1]All - Durations'!$E$2:$H$109,4,FALSE)</f>
        <v>0.85899999999999999</v>
      </c>
      <c r="AN335" t="e">
        <f t="shared" si="43"/>
        <v>#VALUE!</v>
      </c>
      <c r="AO335" t="str">
        <f t="shared" si="44"/>
        <v/>
      </c>
    </row>
    <row r="336" spans="1:41" x14ac:dyDescent="0.25">
      <c r="A336">
        <v>259</v>
      </c>
      <c r="B336" t="s">
        <v>35</v>
      </c>
      <c r="C336">
        <v>3</v>
      </c>
      <c r="D336" t="s">
        <v>36</v>
      </c>
      <c r="E336">
        <v>3</v>
      </c>
      <c r="F336" t="s">
        <v>37</v>
      </c>
      <c r="G336">
        <v>5</v>
      </c>
      <c r="H336">
        <v>8</v>
      </c>
      <c r="I336">
        <v>1</v>
      </c>
      <c r="J336">
        <v>47</v>
      </c>
      <c r="K336">
        <v>44</v>
      </c>
      <c r="L336">
        <v>6</v>
      </c>
      <c r="M336">
        <v>1</v>
      </c>
      <c r="N336" t="s">
        <v>215</v>
      </c>
      <c r="O336" t="s">
        <v>39</v>
      </c>
      <c r="P336" t="s">
        <v>193</v>
      </c>
      <c r="Q336" t="s">
        <v>194</v>
      </c>
      <c r="R336" t="s">
        <v>42</v>
      </c>
      <c r="S336" t="s">
        <v>43</v>
      </c>
      <c r="T336" t="s">
        <v>185</v>
      </c>
      <c r="U336">
        <v>4</v>
      </c>
      <c r="V336" t="s">
        <v>131</v>
      </c>
      <c r="W336" t="s">
        <v>209</v>
      </c>
      <c r="X336" t="s">
        <v>86</v>
      </c>
      <c r="Y336">
        <v>2</v>
      </c>
      <c r="Z336">
        <v>3</v>
      </c>
      <c r="AA336">
        <v>44.1</v>
      </c>
      <c r="AB336">
        <v>0.17299999999999999</v>
      </c>
      <c r="AC336" t="s">
        <v>209</v>
      </c>
      <c r="AD336">
        <v>4</v>
      </c>
      <c r="AE336">
        <v>5</v>
      </c>
      <c r="AF336">
        <v>0</v>
      </c>
      <c r="AG336">
        <v>2.2210000000000001</v>
      </c>
      <c r="AH336">
        <v>0.19900000000000001</v>
      </c>
      <c r="AI336">
        <v>0.17799999999999999</v>
      </c>
      <c r="AL336" t="str">
        <f t="shared" si="42"/>
        <v/>
      </c>
      <c r="AM336">
        <f>VLOOKUP(TRIM(N336),'[1]All - Durations'!$E$2:$H$109,4,FALSE)</f>
        <v>0.88200000000000001</v>
      </c>
      <c r="AN336" t="e">
        <f t="shared" si="43"/>
        <v>#VALUE!</v>
      </c>
      <c r="AO336" t="str">
        <f t="shared" si="44"/>
        <v/>
      </c>
    </row>
    <row r="337" spans="1:41" x14ac:dyDescent="0.25">
      <c r="A337">
        <v>259</v>
      </c>
      <c r="B337" t="s">
        <v>35</v>
      </c>
      <c r="C337">
        <v>3</v>
      </c>
      <c r="D337" t="s">
        <v>36</v>
      </c>
      <c r="E337">
        <v>3</v>
      </c>
      <c r="F337" t="s">
        <v>37</v>
      </c>
      <c r="G337">
        <v>5</v>
      </c>
      <c r="H337">
        <v>8</v>
      </c>
      <c r="I337">
        <v>1</v>
      </c>
      <c r="J337">
        <v>48</v>
      </c>
      <c r="K337">
        <v>45</v>
      </c>
      <c r="L337">
        <v>45</v>
      </c>
      <c r="M337">
        <v>2</v>
      </c>
      <c r="N337" t="s">
        <v>210</v>
      </c>
      <c r="O337" t="s">
        <v>39</v>
      </c>
      <c r="P337" t="s">
        <v>190</v>
      </c>
      <c r="Q337" t="s">
        <v>191</v>
      </c>
      <c r="R337" t="s">
        <v>51</v>
      </c>
      <c r="S337" t="s">
        <v>52</v>
      </c>
      <c r="T337" t="s">
        <v>149</v>
      </c>
      <c r="U337">
        <v>2</v>
      </c>
      <c r="V337" t="s">
        <v>45</v>
      </c>
      <c r="W337" t="s">
        <v>204</v>
      </c>
      <c r="X337" t="s">
        <v>179</v>
      </c>
      <c r="Y337">
        <v>1</v>
      </c>
      <c r="Z337">
        <v>3</v>
      </c>
      <c r="AA337">
        <v>44.1</v>
      </c>
      <c r="AB337">
        <v>0.38700000000000001</v>
      </c>
      <c r="AC337" t="s">
        <v>204</v>
      </c>
      <c r="AD337">
        <v>4</v>
      </c>
      <c r="AE337">
        <v>1</v>
      </c>
      <c r="AF337">
        <v>0</v>
      </c>
      <c r="AG337">
        <v>2.5070000000000001</v>
      </c>
      <c r="AH337">
        <v>0.28399999999999997</v>
      </c>
      <c r="AI337">
        <v>0.38300000000000001</v>
      </c>
      <c r="AL337" t="str">
        <f t="shared" si="42"/>
        <v/>
      </c>
      <c r="AM337">
        <f>VLOOKUP(TRIM(N337),'[1]All - Durations'!$E$2:$H$109,4,FALSE)</f>
        <v>1.004</v>
      </c>
      <c r="AN337" t="e">
        <f t="shared" si="43"/>
        <v>#VALUE!</v>
      </c>
      <c r="AO337" t="str">
        <f t="shared" si="44"/>
        <v/>
      </c>
    </row>
    <row r="338" spans="1:41" x14ac:dyDescent="0.25">
      <c r="A338">
        <v>259</v>
      </c>
      <c r="B338" t="s">
        <v>35</v>
      </c>
      <c r="C338">
        <v>3</v>
      </c>
      <c r="D338" t="s">
        <v>36</v>
      </c>
      <c r="E338">
        <v>3</v>
      </c>
      <c r="F338" t="s">
        <v>37</v>
      </c>
      <c r="G338">
        <v>5</v>
      </c>
      <c r="H338">
        <v>8</v>
      </c>
      <c r="I338">
        <v>1</v>
      </c>
      <c r="J338">
        <v>49</v>
      </c>
      <c r="K338">
        <v>58</v>
      </c>
      <c r="L338">
        <v>70</v>
      </c>
      <c r="M338">
        <v>2</v>
      </c>
      <c r="N338" t="s">
        <v>232</v>
      </c>
      <c r="O338" t="s">
        <v>113</v>
      </c>
      <c r="P338" t="s">
        <v>114</v>
      </c>
      <c r="Q338" t="s">
        <v>222</v>
      </c>
      <c r="R338" t="s">
        <v>114</v>
      </c>
      <c r="S338" t="s">
        <v>43</v>
      </c>
      <c r="T338" t="s">
        <v>81</v>
      </c>
      <c r="U338">
        <v>2</v>
      </c>
      <c r="V338" t="s">
        <v>104</v>
      </c>
      <c r="W338" t="s">
        <v>47</v>
      </c>
      <c r="X338" t="s">
        <v>54</v>
      </c>
      <c r="Y338">
        <v>2</v>
      </c>
      <c r="Z338">
        <v>3</v>
      </c>
      <c r="AA338">
        <v>44.1</v>
      </c>
      <c r="AB338">
        <v>0.16</v>
      </c>
      <c r="AC338" t="s">
        <v>104</v>
      </c>
      <c r="AD338">
        <v>3</v>
      </c>
      <c r="AE338">
        <v>4</v>
      </c>
      <c r="AF338">
        <v>0</v>
      </c>
      <c r="AG338">
        <v>2.9369999999999998</v>
      </c>
      <c r="AH338">
        <v>0.217</v>
      </c>
      <c r="AI338">
        <v>0.16400000000000001</v>
      </c>
      <c r="AL338" t="str">
        <f t="shared" si="42"/>
        <v/>
      </c>
      <c r="AM338">
        <f>VLOOKUP(TRIM(N338),'[1]All - Durations'!$E$2:$H$109,4,FALSE)</f>
        <v>1.0269999999999999</v>
      </c>
      <c r="AN338" t="e">
        <f t="shared" si="43"/>
        <v>#VALUE!</v>
      </c>
      <c r="AO338" t="str">
        <f t="shared" si="44"/>
        <v/>
      </c>
    </row>
    <row r="339" spans="1:41" x14ac:dyDescent="0.25">
      <c r="A339">
        <v>259</v>
      </c>
      <c r="B339" t="s">
        <v>35</v>
      </c>
      <c r="C339">
        <v>3</v>
      </c>
      <c r="D339" t="s">
        <v>36</v>
      </c>
      <c r="E339">
        <v>3</v>
      </c>
      <c r="F339" t="s">
        <v>37</v>
      </c>
      <c r="G339">
        <v>5</v>
      </c>
      <c r="H339">
        <v>8</v>
      </c>
      <c r="I339">
        <v>1</v>
      </c>
      <c r="J339">
        <v>50</v>
      </c>
      <c r="K339">
        <v>50</v>
      </c>
      <c r="L339">
        <v>36</v>
      </c>
      <c r="M339">
        <v>1</v>
      </c>
      <c r="N339" t="s">
        <v>227</v>
      </c>
      <c r="O339" t="s">
        <v>113</v>
      </c>
      <c r="P339" t="s">
        <v>114</v>
      </c>
      <c r="Q339" t="s">
        <v>220</v>
      </c>
      <c r="R339" t="s">
        <v>114</v>
      </c>
      <c r="S339" t="s">
        <v>43</v>
      </c>
      <c r="T339" t="s">
        <v>116</v>
      </c>
      <c r="U339">
        <v>4</v>
      </c>
      <c r="V339" t="s">
        <v>100</v>
      </c>
      <c r="W339" t="s">
        <v>155</v>
      </c>
      <c r="X339" t="s">
        <v>80</v>
      </c>
      <c r="Y339">
        <v>2</v>
      </c>
      <c r="Z339">
        <v>3</v>
      </c>
      <c r="AA339">
        <v>44.1</v>
      </c>
      <c r="AB339">
        <v>0.17199999999999999</v>
      </c>
      <c r="AC339" t="s">
        <v>116</v>
      </c>
      <c r="AD339">
        <v>1</v>
      </c>
      <c r="AE339">
        <v>4</v>
      </c>
      <c r="AF339">
        <v>1</v>
      </c>
      <c r="AG339">
        <v>3.1890000000000001</v>
      </c>
      <c r="AH339">
        <v>0.26600000000000001</v>
      </c>
      <c r="AI339">
        <v>0.17</v>
      </c>
      <c r="AL339" t="str">
        <f t="shared" si="42"/>
        <v/>
      </c>
      <c r="AM339">
        <f>VLOOKUP(TRIM(N339),'[1]All - Durations'!$E$2:$H$109,4,FALSE)</f>
        <v>0.95299999999999996</v>
      </c>
      <c r="AN339" t="e">
        <f t="shared" si="43"/>
        <v>#VALUE!</v>
      </c>
      <c r="AO339" t="str">
        <f t="shared" si="44"/>
        <v/>
      </c>
    </row>
    <row r="340" spans="1:41" x14ac:dyDescent="0.25">
      <c r="A340">
        <v>259</v>
      </c>
      <c r="B340" t="s">
        <v>35</v>
      </c>
      <c r="C340">
        <v>3</v>
      </c>
      <c r="D340" t="s">
        <v>36</v>
      </c>
      <c r="E340">
        <v>3</v>
      </c>
      <c r="F340" t="s">
        <v>37</v>
      </c>
      <c r="G340">
        <v>5</v>
      </c>
      <c r="H340">
        <v>8</v>
      </c>
      <c r="I340">
        <v>1</v>
      </c>
      <c r="J340">
        <v>51</v>
      </c>
      <c r="K340">
        <v>56</v>
      </c>
      <c r="L340">
        <v>30</v>
      </c>
      <c r="M340">
        <v>1</v>
      </c>
      <c r="N340" t="s">
        <v>233</v>
      </c>
      <c r="O340" t="s">
        <v>113</v>
      </c>
      <c r="P340" t="s">
        <v>114</v>
      </c>
      <c r="Q340" t="s">
        <v>218</v>
      </c>
      <c r="R340" t="s">
        <v>114</v>
      </c>
      <c r="S340" t="s">
        <v>43</v>
      </c>
      <c r="T340" t="s">
        <v>107</v>
      </c>
      <c r="U340">
        <v>2</v>
      </c>
      <c r="V340" t="s">
        <v>111</v>
      </c>
      <c r="W340" t="s">
        <v>102</v>
      </c>
      <c r="X340" t="s">
        <v>187</v>
      </c>
      <c r="Y340">
        <v>2</v>
      </c>
      <c r="Z340">
        <v>3</v>
      </c>
      <c r="AA340">
        <v>44.1</v>
      </c>
      <c r="AB340">
        <v>-1</v>
      </c>
      <c r="AC340" t="s">
        <v>107</v>
      </c>
      <c r="AD340">
        <v>1</v>
      </c>
      <c r="AE340">
        <v>2</v>
      </c>
      <c r="AF340">
        <v>1</v>
      </c>
      <c r="AG340">
        <v>2.5299999999999998</v>
      </c>
      <c r="AH340">
        <v>0.33300000000000002</v>
      </c>
      <c r="AI340">
        <v>-1</v>
      </c>
      <c r="AL340" t="str">
        <f t="shared" si="42"/>
        <v/>
      </c>
      <c r="AM340">
        <f>VLOOKUP(TRIM(N340),'[1]All - Durations'!$E$2:$H$109,4,FALSE)</f>
        <v>0.85599999999999998</v>
      </c>
      <c r="AN340" t="e">
        <f t="shared" si="43"/>
        <v>#VALUE!</v>
      </c>
      <c r="AO340" t="str">
        <f t="shared" si="44"/>
        <v/>
      </c>
    </row>
    <row r="341" spans="1:41" x14ac:dyDescent="0.25">
      <c r="A341">
        <v>259</v>
      </c>
      <c r="B341" t="s">
        <v>35</v>
      </c>
      <c r="C341">
        <v>3</v>
      </c>
      <c r="D341" t="s">
        <v>36</v>
      </c>
      <c r="E341">
        <v>3</v>
      </c>
      <c r="F341" t="s">
        <v>37</v>
      </c>
      <c r="G341">
        <v>5</v>
      </c>
      <c r="H341">
        <v>8</v>
      </c>
      <c r="I341">
        <v>1</v>
      </c>
      <c r="J341">
        <v>52</v>
      </c>
      <c r="K341">
        <v>51</v>
      </c>
      <c r="L341">
        <v>31</v>
      </c>
      <c r="M341">
        <v>1</v>
      </c>
      <c r="N341" t="s">
        <v>230</v>
      </c>
      <c r="O341" t="s">
        <v>113</v>
      </c>
      <c r="P341" t="s">
        <v>114</v>
      </c>
      <c r="Q341" t="s">
        <v>231</v>
      </c>
      <c r="R341" t="s">
        <v>114</v>
      </c>
      <c r="S341" t="s">
        <v>59</v>
      </c>
      <c r="T341" t="s">
        <v>162</v>
      </c>
      <c r="U341">
        <v>2</v>
      </c>
      <c r="V341" t="s">
        <v>56</v>
      </c>
      <c r="W341" t="s">
        <v>106</v>
      </c>
      <c r="X341" t="s">
        <v>141</v>
      </c>
      <c r="Y341">
        <v>2</v>
      </c>
      <c r="Z341">
        <v>3</v>
      </c>
      <c r="AA341">
        <v>44.1</v>
      </c>
      <c r="AB341">
        <v>-1</v>
      </c>
      <c r="AC341" t="s">
        <v>83</v>
      </c>
      <c r="AD341">
        <v>0</v>
      </c>
      <c r="AE341">
        <v>0</v>
      </c>
      <c r="AF341">
        <v>0</v>
      </c>
      <c r="AG341">
        <v>-1</v>
      </c>
      <c r="AH341">
        <v>0.23300000000000001</v>
      </c>
      <c r="AI341">
        <v>-1</v>
      </c>
      <c r="AL341" t="str">
        <f t="shared" si="42"/>
        <v/>
      </c>
      <c r="AM341">
        <f>VLOOKUP(TRIM(N341),'[1]All - Durations'!$E$2:$H$109,4,FALSE)</f>
        <v>0.92100000000000004</v>
      </c>
      <c r="AN341" t="e">
        <f t="shared" si="43"/>
        <v>#VALUE!</v>
      </c>
      <c r="AO341" t="str">
        <f t="shared" si="44"/>
        <v/>
      </c>
    </row>
    <row r="342" spans="1:41" x14ac:dyDescent="0.25">
      <c r="A342">
        <v>259</v>
      </c>
      <c r="B342" t="s">
        <v>35</v>
      </c>
      <c r="C342">
        <v>3</v>
      </c>
      <c r="D342" t="s">
        <v>36</v>
      </c>
      <c r="E342">
        <v>3</v>
      </c>
      <c r="F342" t="s">
        <v>37</v>
      </c>
      <c r="G342">
        <v>5</v>
      </c>
      <c r="H342">
        <v>8</v>
      </c>
      <c r="I342">
        <v>1</v>
      </c>
      <c r="J342">
        <v>53</v>
      </c>
      <c r="K342">
        <v>53</v>
      </c>
      <c r="L342">
        <v>65</v>
      </c>
      <c r="M342">
        <v>2</v>
      </c>
      <c r="N342" t="s">
        <v>225</v>
      </c>
      <c r="O342" t="s">
        <v>113</v>
      </c>
      <c r="P342" t="s">
        <v>114</v>
      </c>
      <c r="Q342" t="s">
        <v>226</v>
      </c>
      <c r="R342" t="s">
        <v>114</v>
      </c>
      <c r="S342" t="s">
        <v>59</v>
      </c>
      <c r="T342" t="s">
        <v>87</v>
      </c>
      <c r="U342">
        <v>1</v>
      </c>
      <c r="V342" t="s">
        <v>209</v>
      </c>
      <c r="W342" t="s">
        <v>75</v>
      </c>
      <c r="X342" t="s">
        <v>172</v>
      </c>
      <c r="Y342">
        <v>1</v>
      </c>
      <c r="Z342">
        <v>3</v>
      </c>
      <c r="AA342">
        <v>44.1</v>
      </c>
      <c r="AB342">
        <v>-1</v>
      </c>
      <c r="AC342" t="s">
        <v>75</v>
      </c>
      <c r="AD342">
        <v>4</v>
      </c>
      <c r="AE342">
        <v>5</v>
      </c>
      <c r="AF342">
        <v>0</v>
      </c>
      <c r="AG342">
        <v>3.0419999999999998</v>
      </c>
      <c r="AH342">
        <v>0.317</v>
      </c>
      <c r="AI342">
        <v>-1</v>
      </c>
      <c r="AL342" t="str">
        <f t="shared" si="42"/>
        <v/>
      </c>
      <c r="AM342">
        <f>VLOOKUP(TRIM(N342),'[1]All - Durations'!$E$2:$H$109,4,FALSE)</f>
        <v>0.97099999999999997</v>
      </c>
      <c r="AN342" t="e">
        <f t="shared" si="43"/>
        <v>#VALUE!</v>
      </c>
      <c r="AO342" t="str">
        <f t="shared" si="44"/>
        <v/>
      </c>
    </row>
    <row r="343" spans="1:41" x14ac:dyDescent="0.25">
      <c r="A343">
        <v>259</v>
      </c>
      <c r="B343" t="s">
        <v>35</v>
      </c>
      <c r="C343">
        <v>3</v>
      </c>
      <c r="D343" t="s">
        <v>36</v>
      </c>
      <c r="E343">
        <v>3</v>
      </c>
      <c r="F343" t="s">
        <v>37</v>
      </c>
      <c r="G343">
        <v>5</v>
      </c>
      <c r="H343">
        <v>8</v>
      </c>
      <c r="I343">
        <v>1</v>
      </c>
      <c r="J343">
        <v>54</v>
      </c>
      <c r="K343">
        <v>59</v>
      </c>
      <c r="L343">
        <v>33</v>
      </c>
      <c r="M343">
        <v>1</v>
      </c>
      <c r="N343" t="s">
        <v>223</v>
      </c>
      <c r="O343" t="s">
        <v>113</v>
      </c>
      <c r="P343" t="s">
        <v>114</v>
      </c>
      <c r="Q343" t="s">
        <v>224</v>
      </c>
      <c r="R343" t="s">
        <v>114</v>
      </c>
      <c r="S343" t="s">
        <v>59</v>
      </c>
      <c r="T343" t="s">
        <v>56</v>
      </c>
      <c r="U343">
        <v>1</v>
      </c>
      <c r="V343" t="s">
        <v>61</v>
      </c>
      <c r="W343" t="s">
        <v>183</v>
      </c>
      <c r="X343" t="s">
        <v>44</v>
      </c>
      <c r="Y343">
        <v>1</v>
      </c>
      <c r="Z343">
        <v>3</v>
      </c>
      <c r="AA343">
        <v>44.1</v>
      </c>
      <c r="AB343">
        <v>-1</v>
      </c>
      <c r="AC343" t="s">
        <v>44</v>
      </c>
      <c r="AD343">
        <v>4</v>
      </c>
      <c r="AE343">
        <v>2</v>
      </c>
      <c r="AF343">
        <v>0</v>
      </c>
      <c r="AG343">
        <v>2.8650000000000002</v>
      </c>
      <c r="AH343">
        <v>0.23300000000000001</v>
      </c>
      <c r="AI343">
        <v>-1</v>
      </c>
      <c r="AL343" t="str">
        <f t="shared" si="42"/>
        <v/>
      </c>
      <c r="AM343">
        <f>VLOOKUP(TRIM(N343),'[1]All - Durations'!$E$2:$H$109,4,FALSE)</f>
        <v>1.0089999999999999</v>
      </c>
      <c r="AN343" t="e">
        <f t="shared" si="43"/>
        <v>#VALUE!</v>
      </c>
      <c r="AO343" t="str">
        <f t="shared" si="44"/>
        <v/>
      </c>
    </row>
    <row r="344" spans="1:41" x14ac:dyDescent="0.25">
      <c r="A344">
        <v>259</v>
      </c>
      <c r="B344" t="s">
        <v>35</v>
      </c>
      <c r="C344">
        <v>3</v>
      </c>
      <c r="D344" t="s">
        <v>36</v>
      </c>
      <c r="E344">
        <v>3</v>
      </c>
      <c r="F344" t="s">
        <v>37</v>
      </c>
      <c r="G344">
        <v>5</v>
      </c>
      <c r="H344">
        <v>8</v>
      </c>
      <c r="I344">
        <v>1</v>
      </c>
      <c r="J344">
        <v>55</v>
      </c>
      <c r="K344">
        <v>55</v>
      </c>
      <c r="L344">
        <v>29</v>
      </c>
      <c r="M344">
        <v>1</v>
      </c>
      <c r="N344" t="s">
        <v>217</v>
      </c>
      <c r="O344" t="s">
        <v>113</v>
      </c>
      <c r="P344" t="s">
        <v>114</v>
      </c>
      <c r="Q344" t="s">
        <v>218</v>
      </c>
      <c r="R344" t="s">
        <v>114</v>
      </c>
      <c r="S344" t="s">
        <v>52</v>
      </c>
      <c r="T344" t="s">
        <v>214</v>
      </c>
      <c r="U344">
        <v>2</v>
      </c>
      <c r="V344" t="s">
        <v>107</v>
      </c>
      <c r="W344" t="s">
        <v>94</v>
      </c>
      <c r="X344" t="s">
        <v>211</v>
      </c>
      <c r="Y344">
        <v>1</v>
      </c>
      <c r="Z344">
        <v>3</v>
      </c>
      <c r="AA344">
        <v>44.1</v>
      </c>
      <c r="AB344">
        <v>0.754</v>
      </c>
      <c r="AC344" t="s">
        <v>214</v>
      </c>
      <c r="AD344">
        <v>1</v>
      </c>
      <c r="AE344">
        <v>2</v>
      </c>
      <c r="AF344">
        <v>1</v>
      </c>
      <c r="AG344">
        <v>3.6469999999999998</v>
      </c>
      <c r="AH344">
        <v>1.401</v>
      </c>
      <c r="AI344">
        <v>0.76</v>
      </c>
      <c r="AL344" t="str">
        <f t="shared" si="42"/>
        <v/>
      </c>
      <c r="AM344">
        <f>VLOOKUP(TRIM(N344),'[1]All - Durations'!$E$2:$H$109,4,FALSE)</f>
        <v>0.76300000000000001</v>
      </c>
      <c r="AN344" t="e">
        <f t="shared" si="43"/>
        <v>#VALUE!</v>
      </c>
      <c r="AO344" t="str">
        <f t="shared" si="44"/>
        <v/>
      </c>
    </row>
    <row r="345" spans="1:41" x14ac:dyDescent="0.25">
      <c r="A345">
        <v>259</v>
      </c>
      <c r="B345" t="s">
        <v>35</v>
      </c>
      <c r="C345">
        <v>3</v>
      </c>
      <c r="D345" t="s">
        <v>36</v>
      </c>
      <c r="E345">
        <v>3</v>
      </c>
      <c r="F345" t="s">
        <v>37</v>
      </c>
      <c r="G345">
        <v>5</v>
      </c>
      <c r="H345">
        <v>8</v>
      </c>
      <c r="I345">
        <v>1</v>
      </c>
      <c r="J345">
        <v>56</v>
      </c>
      <c r="K345">
        <v>52</v>
      </c>
      <c r="L345">
        <v>32</v>
      </c>
      <c r="M345">
        <v>1</v>
      </c>
      <c r="N345" t="s">
        <v>234</v>
      </c>
      <c r="O345" t="s">
        <v>113</v>
      </c>
      <c r="P345" t="s">
        <v>114</v>
      </c>
      <c r="Q345" t="s">
        <v>231</v>
      </c>
      <c r="R345" t="s">
        <v>114</v>
      </c>
      <c r="S345" t="s">
        <v>43</v>
      </c>
      <c r="T345" t="s">
        <v>111</v>
      </c>
      <c r="U345">
        <v>2</v>
      </c>
      <c r="V345" t="s">
        <v>162</v>
      </c>
      <c r="W345" t="s">
        <v>79</v>
      </c>
      <c r="X345" t="s">
        <v>68</v>
      </c>
      <c r="Y345">
        <v>1</v>
      </c>
      <c r="Z345">
        <v>3</v>
      </c>
      <c r="AA345">
        <v>44.1</v>
      </c>
      <c r="AB345">
        <v>-1</v>
      </c>
      <c r="AC345" t="s">
        <v>111</v>
      </c>
      <c r="AD345">
        <v>1</v>
      </c>
      <c r="AE345">
        <v>2</v>
      </c>
      <c r="AF345">
        <v>1</v>
      </c>
      <c r="AG345">
        <v>3.032</v>
      </c>
      <c r="AH345">
        <v>0.23300000000000001</v>
      </c>
      <c r="AI345">
        <v>-1</v>
      </c>
      <c r="AL345" t="str">
        <f t="shared" si="42"/>
        <v/>
      </c>
      <c r="AM345">
        <f>VLOOKUP(TRIM(N345),'[1]All - Durations'!$E$2:$H$109,4,FALSE)</f>
        <v>0.9</v>
      </c>
      <c r="AN345" t="e">
        <f t="shared" si="43"/>
        <v>#VALUE!</v>
      </c>
      <c r="AO345" t="str">
        <f t="shared" si="44"/>
        <v/>
      </c>
    </row>
    <row r="346" spans="1:41" x14ac:dyDescent="0.25">
      <c r="A346">
        <v>259</v>
      </c>
      <c r="B346" t="s">
        <v>35</v>
      </c>
      <c r="C346">
        <v>3</v>
      </c>
      <c r="D346" t="s">
        <v>36</v>
      </c>
      <c r="E346">
        <v>3</v>
      </c>
      <c r="F346" t="s">
        <v>37</v>
      </c>
      <c r="G346">
        <v>5</v>
      </c>
      <c r="H346">
        <v>8</v>
      </c>
      <c r="I346">
        <v>1</v>
      </c>
      <c r="J346">
        <v>57</v>
      </c>
      <c r="K346">
        <v>57</v>
      </c>
      <c r="L346">
        <v>69</v>
      </c>
      <c r="M346">
        <v>2</v>
      </c>
      <c r="N346" t="s">
        <v>221</v>
      </c>
      <c r="O346" t="s">
        <v>113</v>
      </c>
      <c r="P346" t="s">
        <v>114</v>
      </c>
      <c r="Q346" t="s">
        <v>222</v>
      </c>
      <c r="R346" t="s">
        <v>114</v>
      </c>
      <c r="S346" t="s">
        <v>52</v>
      </c>
      <c r="T346" t="s">
        <v>69</v>
      </c>
      <c r="U346">
        <v>2</v>
      </c>
      <c r="V346" t="s">
        <v>81</v>
      </c>
      <c r="W346" t="s">
        <v>66</v>
      </c>
      <c r="X346" t="s">
        <v>139</v>
      </c>
      <c r="Y346">
        <v>1</v>
      </c>
      <c r="Z346">
        <v>3</v>
      </c>
      <c r="AA346">
        <v>44.1</v>
      </c>
      <c r="AB346">
        <v>-1</v>
      </c>
      <c r="AC346" t="s">
        <v>69</v>
      </c>
      <c r="AD346">
        <v>1</v>
      </c>
      <c r="AE346">
        <v>2</v>
      </c>
      <c r="AF346">
        <v>1</v>
      </c>
      <c r="AG346">
        <v>0.89100000000000001</v>
      </c>
      <c r="AH346">
        <v>0.16600000000000001</v>
      </c>
      <c r="AI346">
        <v>-1</v>
      </c>
      <c r="AL346" t="str">
        <f t="shared" si="42"/>
        <v/>
      </c>
      <c r="AM346">
        <f>VLOOKUP(TRIM(N346),'[1]All - Durations'!$E$2:$H$109,4,FALSE)</f>
        <v>0.79100000000000004</v>
      </c>
      <c r="AN346" t="e">
        <f t="shared" si="43"/>
        <v>#VALUE!</v>
      </c>
      <c r="AO346" t="str">
        <f t="shared" si="44"/>
        <v/>
      </c>
    </row>
    <row r="347" spans="1:41" x14ac:dyDescent="0.25">
      <c r="A347">
        <v>259</v>
      </c>
      <c r="B347" t="s">
        <v>35</v>
      </c>
      <c r="C347">
        <v>3</v>
      </c>
      <c r="D347" t="s">
        <v>36</v>
      </c>
      <c r="E347">
        <v>3</v>
      </c>
      <c r="F347" t="s">
        <v>37</v>
      </c>
      <c r="G347">
        <v>5</v>
      </c>
      <c r="H347">
        <v>8</v>
      </c>
      <c r="I347">
        <v>1</v>
      </c>
      <c r="J347">
        <v>58</v>
      </c>
      <c r="K347">
        <v>60</v>
      </c>
      <c r="L347">
        <v>34</v>
      </c>
      <c r="M347">
        <v>1</v>
      </c>
      <c r="N347" t="s">
        <v>228</v>
      </c>
      <c r="O347" t="s">
        <v>113</v>
      </c>
      <c r="P347" t="s">
        <v>114</v>
      </c>
      <c r="Q347" t="s">
        <v>224</v>
      </c>
      <c r="R347" t="s">
        <v>114</v>
      </c>
      <c r="S347" t="s">
        <v>52</v>
      </c>
      <c r="T347" t="s">
        <v>61</v>
      </c>
      <c r="U347">
        <v>4</v>
      </c>
      <c r="V347" t="s">
        <v>69</v>
      </c>
      <c r="W347" t="s">
        <v>108</v>
      </c>
      <c r="X347" t="s">
        <v>138</v>
      </c>
      <c r="Y347">
        <v>2</v>
      </c>
      <c r="Z347">
        <v>3</v>
      </c>
      <c r="AA347">
        <v>44.1</v>
      </c>
      <c r="AB347">
        <v>-1</v>
      </c>
      <c r="AC347" t="s">
        <v>61</v>
      </c>
      <c r="AD347">
        <v>1</v>
      </c>
      <c r="AE347">
        <v>4</v>
      </c>
      <c r="AF347">
        <v>1</v>
      </c>
      <c r="AG347">
        <v>1.054</v>
      </c>
      <c r="AH347">
        <v>0.15</v>
      </c>
      <c r="AI347">
        <v>-1</v>
      </c>
      <c r="AL347" t="str">
        <f t="shared" si="42"/>
        <v/>
      </c>
      <c r="AM347">
        <f>VLOOKUP(TRIM(N347),'[1]All - Durations'!$E$2:$H$109,4,FALSE)</f>
        <v>0.93300000000000005</v>
      </c>
      <c r="AN347" t="e">
        <f t="shared" si="43"/>
        <v>#VALUE!</v>
      </c>
      <c r="AO347" t="str">
        <f t="shared" si="44"/>
        <v/>
      </c>
    </row>
    <row r="348" spans="1:41" x14ac:dyDescent="0.25">
      <c r="A348">
        <v>259</v>
      </c>
      <c r="B348" t="s">
        <v>35</v>
      </c>
      <c r="C348">
        <v>3</v>
      </c>
      <c r="D348" t="s">
        <v>36</v>
      </c>
      <c r="E348">
        <v>3</v>
      </c>
      <c r="F348" t="s">
        <v>37</v>
      </c>
      <c r="G348">
        <v>5</v>
      </c>
      <c r="H348">
        <v>8</v>
      </c>
      <c r="I348">
        <v>1</v>
      </c>
      <c r="J348">
        <v>59</v>
      </c>
      <c r="K348">
        <v>54</v>
      </c>
      <c r="L348">
        <v>66</v>
      </c>
      <c r="M348">
        <v>2</v>
      </c>
      <c r="N348" t="s">
        <v>229</v>
      </c>
      <c r="O348" t="s">
        <v>113</v>
      </c>
      <c r="P348" t="s">
        <v>114</v>
      </c>
      <c r="Q348" t="s">
        <v>226</v>
      </c>
      <c r="R348" t="s">
        <v>114</v>
      </c>
      <c r="S348" t="s">
        <v>92</v>
      </c>
      <c r="T348" t="s">
        <v>209</v>
      </c>
      <c r="U348">
        <v>2</v>
      </c>
      <c r="V348" t="s">
        <v>120</v>
      </c>
      <c r="W348" t="s">
        <v>185</v>
      </c>
      <c r="X348" t="s">
        <v>103</v>
      </c>
      <c r="Y348">
        <v>2</v>
      </c>
      <c r="Z348">
        <v>3</v>
      </c>
      <c r="AA348">
        <v>44.1</v>
      </c>
      <c r="AB348">
        <v>-1</v>
      </c>
      <c r="AC348" t="s">
        <v>120</v>
      </c>
      <c r="AD348">
        <v>3</v>
      </c>
      <c r="AE348">
        <v>1</v>
      </c>
      <c r="AF348">
        <v>0</v>
      </c>
      <c r="AG348">
        <v>2.1819999999999999</v>
      </c>
      <c r="AH348">
        <v>0.23300000000000001</v>
      </c>
      <c r="AI348">
        <v>-1</v>
      </c>
      <c r="AL348" t="str">
        <f t="shared" si="42"/>
        <v/>
      </c>
      <c r="AM348">
        <f>VLOOKUP(TRIM(N348),'[1]All - Durations'!$E$2:$H$109,4,FALSE)</f>
        <v>0.88600000000000001</v>
      </c>
      <c r="AN348" t="e">
        <f t="shared" si="43"/>
        <v>#VALUE!</v>
      </c>
      <c r="AO348" t="str">
        <f t="shared" si="44"/>
        <v/>
      </c>
    </row>
    <row r="349" spans="1:41" x14ac:dyDescent="0.25">
      <c r="A349">
        <v>259</v>
      </c>
      <c r="B349" t="s">
        <v>35</v>
      </c>
      <c r="C349">
        <v>3</v>
      </c>
      <c r="D349" t="s">
        <v>36</v>
      </c>
      <c r="E349">
        <v>3</v>
      </c>
      <c r="F349" t="s">
        <v>37</v>
      </c>
      <c r="G349">
        <v>5</v>
      </c>
      <c r="H349">
        <v>8</v>
      </c>
      <c r="I349">
        <v>1</v>
      </c>
      <c r="J349">
        <v>60</v>
      </c>
      <c r="K349">
        <v>49</v>
      </c>
      <c r="L349">
        <v>35</v>
      </c>
      <c r="M349">
        <v>1</v>
      </c>
      <c r="N349" t="s">
        <v>219</v>
      </c>
      <c r="O349" t="s">
        <v>113</v>
      </c>
      <c r="P349" t="s">
        <v>114</v>
      </c>
      <c r="Q349" t="s">
        <v>220</v>
      </c>
      <c r="R349" t="s">
        <v>114</v>
      </c>
      <c r="S349" t="s">
        <v>92</v>
      </c>
      <c r="T349" t="s">
        <v>179</v>
      </c>
      <c r="U349">
        <v>1</v>
      </c>
      <c r="V349" t="s">
        <v>116</v>
      </c>
      <c r="W349" t="s">
        <v>204</v>
      </c>
      <c r="X349" t="s">
        <v>73</v>
      </c>
      <c r="Y349">
        <v>1</v>
      </c>
      <c r="Z349">
        <v>3</v>
      </c>
      <c r="AA349">
        <v>44.1</v>
      </c>
      <c r="AB349">
        <v>-1</v>
      </c>
      <c r="AC349" t="s">
        <v>179</v>
      </c>
      <c r="AD349">
        <v>1</v>
      </c>
      <c r="AE349">
        <v>1</v>
      </c>
      <c r="AF349">
        <v>1</v>
      </c>
      <c r="AG349">
        <v>1.4730000000000001</v>
      </c>
      <c r="AH349">
        <v>0.183</v>
      </c>
      <c r="AI349">
        <v>-1</v>
      </c>
      <c r="AL349" t="str">
        <f t="shared" si="42"/>
        <v/>
      </c>
      <c r="AM349">
        <f>VLOOKUP(TRIM(N349),'[1]All - Durations'!$E$2:$H$109,4,FALSE)</f>
        <v>0.99299999999999999</v>
      </c>
      <c r="AN349" t="e">
        <f t="shared" si="43"/>
        <v>#VALUE!</v>
      </c>
      <c r="AO349" t="str">
        <f t="shared" si="44"/>
        <v/>
      </c>
    </row>
    <row r="350" spans="1:41" x14ac:dyDescent="0.25">
      <c r="A350">
        <v>259</v>
      </c>
      <c r="B350" t="s">
        <v>35</v>
      </c>
      <c r="C350">
        <v>3</v>
      </c>
      <c r="D350" t="s">
        <v>36</v>
      </c>
      <c r="E350">
        <v>3</v>
      </c>
      <c r="F350" t="s">
        <v>37</v>
      </c>
      <c r="G350">
        <v>5</v>
      </c>
      <c r="H350">
        <v>8</v>
      </c>
      <c r="I350">
        <v>1</v>
      </c>
      <c r="J350">
        <v>61</v>
      </c>
      <c r="K350">
        <v>65</v>
      </c>
      <c r="L350">
        <v>53</v>
      </c>
      <c r="M350">
        <v>2</v>
      </c>
      <c r="N350" t="s">
        <v>257</v>
      </c>
      <c r="O350" t="s">
        <v>151</v>
      </c>
      <c r="P350" t="s">
        <v>249</v>
      </c>
      <c r="Q350" t="s">
        <v>250</v>
      </c>
      <c r="R350" t="s">
        <v>170</v>
      </c>
      <c r="S350" t="s">
        <v>59</v>
      </c>
      <c r="T350" t="s">
        <v>204</v>
      </c>
      <c r="U350">
        <v>4</v>
      </c>
      <c r="V350" t="s">
        <v>68</v>
      </c>
      <c r="W350" t="s">
        <v>131</v>
      </c>
      <c r="X350" t="s">
        <v>74</v>
      </c>
      <c r="Y350">
        <v>1</v>
      </c>
      <c r="Z350">
        <v>3</v>
      </c>
      <c r="AA350">
        <v>44.1</v>
      </c>
      <c r="AB350">
        <v>-1</v>
      </c>
      <c r="AC350" t="s">
        <v>204</v>
      </c>
      <c r="AD350">
        <v>1</v>
      </c>
      <c r="AE350">
        <v>4</v>
      </c>
      <c r="AF350">
        <v>1</v>
      </c>
      <c r="AG350">
        <v>3.9630000000000001</v>
      </c>
      <c r="AH350">
        <v>0.15</v>
      </c>
      <c r="AI350">
        <v>-1</v>
      </c>
      <c r="AL350" t="str">
        <f t="shared" si="42"/>
        <v/>
      </c>
      <c r="AM350">
        <f>VLOOKUP(TRIM(N350),'[1]All - Durations'!$E$2:$H$109,4,FALSE)</f>
        <v>0.98299999999999998</v>
      </c>
      <c r="AN350" t="e">
        <f t="shared" si="43"/>
        <v>#VALUE!</v>
      </c>
      <c r="AO350" t="str">
        <f t="shared" si="44"/>
        <v/>
      </c>
    </row>
    <row r="351" spans="1:41" x14ac:dyDescent="0.25">
      <c r="A351">
        <v>259</v>
      </c>
      <c r="B351" t="s">
        <v>35</v>
      </c>
      <c r="C351">
        <v>3</v>
      </c>
      <c r="D351" t="s">
        <v>36</v>
      </c>
      <c r="E351">
        <v>3</v>
      </c>
      <c r="F351" t="s">
        <v>37</v>
      </c>
      <c r="G351">
        <v>5</v>
      </c>
      <c r="H351">
        <v>8</v>
      </c>
      <c r="I351">
        <v>1</v>
      </c>
      <c r="J351">
        <v>62</v>
      </c>
      <c r="K351">
        <v>63</v>
      </c>
      <c r="L351">
        <v>19</v>
      </c>
      <c r="M351">
        <v>1</v>
      </c>
      <c r="N351" t="s">
        <v>253</v>
      </c>
      <c r="O351" t="s">
        <v>151</v>
      </c>
      <c r="P351" t="s">
        <v>239</v>
      </c>
      <c r="Q351" t="s">
        <v>240</v>
      </c>
      <c r="R351" t="s">
        <v>170</v>
      </c>
      <c r="S351" t="s">
        <v>59</v>
      </c>
      <c r="T351" t="s">
        <v>211</v>
      </c>
      <c r="U351">
        <v>4</v>
      </c>
      <c r="V351" t="s">
        <v>96</v>
      </c>
      <c r="W351" t="s">
        <v>137</v>
      </c>
      <c r="X351" t="s">
        <v>53</v>
      </c>
      <c r="Y351">
        <v>2</v>
      </c>
      <c r="Z351">
        <v>3</v>
      </c>
      <c r="AA351">
        <v>44.1</v>
      </c>
      <c r="AB351">
        <v>-1</v>
      </c>
      <c r="AC351" t="s">
        <v>211</v>
      </c>
      <c r="AD351">
        <v>1</v>
      </c>
      <c r="AE351">
        <v>4</v>
      </c>
      <c r="AF351">
        <v>1</v>
      </c>
      <c r="AG351">
        <v>0.53800000000000003</v>
      </c>
      <c r="AH351">
        <v>0.317</v>
      </c>
      <c r="AI351">
        <v>-1</v>
      </c>
      <c r="AL351" t="str">
        <f t="shared" si="42"/>
        <v/>
      </c>
      <c r="AM351">
        <f>VLOOKUP(TRIM(N351),'[1]All - Durations'!$E$2:$H$109,4,FALSE)</f>
        <v>0.92100000000000004</v>
      </c>
      <c r="AN351" t="e">
        <f t="shared" si="43"/>
        <v>#VALUE!</v>
      </c>
      <c r="AO351" t="str">
        <f t="shared" si="44"/>
        <v/>
      </c>
    </row>
    <row r="352" spans="1:41" x14ac:dyDescent="0.25">
      <c r="A352">
        <v>259</v>
      </c>
      <c r="B352" t="s">
        <v>35</v>
      </c>
      <c r="C352">
        <v>3</v>
      </c>
      <c r="D352" t="s">
        <v>36</v>
      </c>
      <c r="E352">
        <v>3</v>
      </c>
      <c r="F352" t="s">
        <v>37</v>
      </c>
      <c r="G352">
        <v>5</v>
      </c>
      <c r="H352">
        <v>8</v>
      </c>
      <c r="I352">
        <v>1</v>
      </c>
      <c r="J352">
        <v>63</v>
      </c>
      <c r="K352">
        <v>69</v>
      </c>
      <c r="L352">
        <v>57</v>
      </c>
      <c r="M352">
        <v>2</v>
      </c>
      <c r="N352" t="s">
        <v>247</v>
      </c>
      <c r="O352" t="s">
        <v>151</v>
      </c>
      <c r="P352" t="s">
        <v>236</v>
      </c>
      <c r="Q352" t="s">
        <v>237</v>
      </c>
      <c r="R352" t="s">
        <v>174</v>
      </c>
      <c r="S352" t="s">
        <v>52</v>
      </c>
      <c r="T352" t="s">
        <v>75</v>
      </c>
      <c r="U352">
        <v>2</v>
      </c>
      <c r="V352" t="s">
        <v>55</v>
      </c>
      <c r="W352" t="s">
        <v>93</v>
      </c>
      <c r="X352" t="s">
        <v>95</v>
      </c>
      <c r="Y352">
        <v>1</v>
      </c>
      <c r="Z352">
        <v>3</v>
      </c>
      <c r="AA352">
        <v>44.1</v>
      </c>
      <c r="AB352">
        <v>-1</v>
      </c>
      <c r="AC352" t="s">
        <v>93</v>
      </c>
      <c r="AD352">
        <v>4</v>
      </c>
      <c r="AE352">
        <v>1</v>
      </c>
      <c r="AF352">
        <v>0</v>
      </c>
      <c r="AG352">
        <v>2.4510000000000001</v>
      </c>
      <c r="AH352">
        <v>0.15</v>
      </c>
      <c r="AI352">
        <v>-1</v>
      </c>
      <c r="AL352" t="str">
        <f t="shared" si="42"/>
        <v/>
      </c>
      <c r="AM352">
        <f>VLOOKUP(TRIM(N352),'[1]All - Durations'!$E$2:$H$109,4,FALSE)</f>
        <v>0.94399999999999995</v>
      </c>
      <c r="AN352" t="e">
        <f t="shared" si="43"/>
        <v>#VALUE!</v>
      </c>
      <c r="AO352" t="str">
        <f t="shared" si="44"/>
        <v/>
      </c>
    </row>
    <row r="353" spans="1:41" x14ac:dyDescent="0.25">
      <c r="A353">
        <v>259</v>
      </c>
      <c r="B353" t="s">
        <v>35</v>
      </c>
      <c r="C353">
        <v>3</v>
      </c>
      <c r="D353" t="s">
        <v>36</v>
      </c>
      <c r="E353">
        <v>3</v>
      </c>
      <c r="F353" t="s">
        <v>37</v>
      </c>
      <c r="G353">
        <v>5</v>
      </c>
      <c r="H353">
        <v>8</v>
      </c>
      <c r="I353">
        <v>1</v>
      </c>
      <c r="J353">
        <v>64</v>
      </c>
      <c r="K353">
        <v>66</v>
      </c>
      <c r="L353">
        <v>54</v>
      </c>
      <c r="M353">
        <v>2</v>
      </c>
      <c r="N353" t="s">
        <v>248</v>
      </c>
      <c r="O353" t="s">
        <v>151</v>
      </c>
      <c r="P353" t="s">
        <v>249</v>
      </c>
      <c r="Q353" t="s">
        <v>250</v>
      </c>
      <c r="R353" t="s">
        <v>154</v>
      </c>
      <c r="S353" t="s">
        <v>92</v>
      </c>
      <c r="T353" t="s">
        <v>68</v>
      </c>
      <c r="U353">
        <v>5</v>
      </c>
      <c r="V353" t="s">
        <v>183</v>
      </c>
      <c r="W353" t="s">
        <v>156</v>
      </c>
      <c r="X353" t="s">
        <v>46</v>
      </c>
      <c r="Y353">
        <v>2</v>
      </c>
      <c r="Z353">
        <v>3</v>
      </c>
      <c r="AA353">
        <v>44.1</v>
      </c>
      <c r="AB353">
        <v>-1</v>
      </c>
      <c r="AC353" t="s">
        <v>156</v>
      </c>
      <c r="AD353">
        <v>4</v>
      </c>
      <c r="AE353">
        <v>4</v>
      </c>
      <c r="AF353">
        <v>0</v>
      </c>
      <c r="AG353">
        <v>2.508</v>
      </c>
      <c r="AH353">
        <v>0.15</v>
      </c>
      <c r="AI353">
        <v>-1</v>
      </c>
      <c r="AL353" t="str">
        <f t="shared" si="42"/>
        <v/>
      </c>
      <c r="AM353">
        <f>VLOOKUP(TRIM(N353),'[1]All - Durations'!$E$2:$H$109,4,FALSE)</f>
        <v>0.94199999999999995</v>
      </c>
      <c r="AN353" t="e">
        <f t="shared" si="43"/>
        <v>#VALUE!</v>
      </c>
      <c r="AO353" t="str">
        <f t="shared" si="44"/>
        <v/>
      </c>
    </row>
    <row r="354" spans="1:41" x14ac:dyDescent="0.25">
      <c r="A354">
        <v>259</v>
      </c>
      <c r="B354" t="s">
        <v>35</v>
      </c>
      <c r="C354">
        <v>3</v>
      </c>
      <c r="D354" t="s">
        <v>36</v>
      </c>
      <c r="E354">
        <v>3</v>
      </c>
      <c r="F354" t="s">
        <v>37</v>
      </c>
      <c r="G354">
        <v>5</v>
      </c>
      <c r="H354">
        <v>8</v>
      </c>
      <c r="I354">
        <v>1</v>
      </c>
      <c r="J354">
        <v>65</v>
      </c>
      <c r="K354">
        <v>64</v>
      </c>
      <c r="L354">
        <v>20</v>
      </c>
      <c r="M354">
        <v>1</v>
      </c>
      <c r="N354" t="s">
        <v>238</v>
      </c>
      <c r="O354" t="s">
        <v>151</v>
      </c>
      <c r="P354" t="s">
        <v>239</v>
      </c>
      <c r="Q354" t="s">
        <v>240</v>
      </c>
      <c r="R354" t="s">
        <v>160</v>
      </c>
      <c r="S354" t="s">
        <v>43</v>
      </c>
      <c r="T354" t="s">
        <v>82</v>
      </c>
      <c r="U354">
        <v>5</v>
      </c>
      <c r="V354" t="s">
        <v>211</v>
      </c>
      <c r="W354" t="s">
        <v>120</v>
      </c>
      <c r="X354" t="s">
        <v>94</v>
      </c>
      <c r="Y354">
        <v>1</v>
      </c>
      <c r="Z354">
        <v>3</v>
      </c>
      <c r="AA354">
        <v>44.1</v>
      </c>
      <c r="AB354">
        <v>-1</v>
      </c>
      <c r="AC354" t="s">
        <v>82</v>
      </c>
      <c r="AD354">
        <v>1</v>
      </c>
      <c r="AE354">
        <v>5</v>
      </c>
      <c r="AF354">
        <v>1</v>
      </c>
      <c r="AG354">
        <v>0.68</v>
      </c>
      <c r="AH354">
        <v>0.25</v>
      </c>
      <c r="AI354">
        <v>-1</v>
      </c>
      <c r="AL354" t="str">
        <f t="shared" si="42"/>
        <v/>
      </c>
      <c r="AM354">
        <f>VLOOKUP(TRIM(N354),'[1]All - Durations'!$E$2:$H$109,4,FALSE)</f>
        <v>0.9</v>
      </c>
      <c r="AN354" t="e">
        <f t="shared" si="43"/>
        <v>#VALUE!</v>
      </c>
      <c r="AO354" t="str">
        <f t="shared" si="44"/>
        <v/>
      </c>
    </row>
    <row r="355" spans="1:41" x14ac:dyDescent="0.25">
      <c r="A355">
        <v>259</v>
      </c>
      <c r="B355" t="s">
        <v>35</v>
      </c>
      <c r="C355">
        <v>3</v>
      </c>
      <c r="D355" t="s">
        <v>36</v>
      </c>
      <c r="E355">
        <v>3</v>
      </c>
      <c r="F355" t="s">
        <v>37</v>
      </c>
      <c r="G355">
        <v>5</v>
      </c>
      <c r="H355">
        <v>8</v>
      </c>
      <c r="I355">
        <v>1</v>
      </c>
      <c r="J355">
        <v>66</v>
      </c>
      <c r="K355">
        <v>72</v>
      </c>
      <c r="L355">
        <v>22</v>
      </c>
      <c r="M355">
        <v>1</v>
      </c>
      <c r="N355" t="s">
        <v>241</v>
      </c>
      <c r="O355" t="s">
        <v>151</v>
      </c>
      <c r="P355" t="s">
        <v>242</v>
      </c>
      <c r="Q355" t="s">
        <v>243</v>
      </c>
      <c r="R355" t="s">
        <v>174</v>
      </c>
      <c r="S355" t="s">
        <v>52</v>
      </c>
      <c r="T355" t="s">
        <v>132</v>
      </c>
      <c r="U355">
        <v>5</v>
      </c>
      <c r="V355" t="s">
        <v>166</v>
      </c>
      <c r="W355" t="s">
        <v>111</v>
      </c>
      <c r="X355" t="s">
        <v>66</v>
      </c>
      <c r="Y355">
        <v>2</v>
      </c>
      <c r="Z355">
        <v>3</v>
      </c>
      <c r="AA355">
        <v>44.1</v>
      </c>
      <c r="AB355">
        <v>-1</v>
      </c>
      <c r="AC355" t="s">
        <v>111</v>
      </c>
      <c r="AD355">
        <v>4</v>
      </c>
      <c r="AE355">
        <v>1</v>
      </c>
      <c r="AF355">
        <v>0</v>
      </c>
      <c r="AG355">
        <v>2.6749999999999998</v>
      </c>
      <c r="AH355">
        <v>0.11700000000000001</v>
      </c>
      <c r="AI355">
        <v>-1</v>
      </c>
      <c r="AL355" t="str">
        <f t="shared" si="42"/>
        <v/>
      </c>
      <c r="AM355">
        <f>VLOOKUP(TRIM(N355),'[1]All - Durations'!$E$2:$H$109,4,FALSE)</f>
        <v>0.97099999999999997</v>
      </c>
      <c r="AN355" t="e">
        <f t="shared" si="43"/>
        <v>#VALUE!</v>
      </c>
      <c r="AO355" t="str">
        <f t="shared" si="44"/>
        <v/>
      </c>
    </row>
    <row r="356" spans="1:41" x14ac:dyDescent="0.25">
      <c r="A356">
        <v>259</v>
      </c>
      <c r="B356" t="s">
        <v>35</v>
      </c>
      <c r="C356">
        <v>3</v>
      </c>
      <c r="D356" t="s">
        <v>36</v>
      </c>
      <c r="E356">
        <v>3</v>
      </c>
      <c r="F356" t="s">
        <v>37</v>
      </c>
      <c r="G356">
        <v>5</v>
      </c>
      <c r="H356">
        <v>8</v>
      </c>
      <c r="I356">
        <v>1</v>
      </c>
      <c r="J356">
        <v>67</v>
      </c>
      <c r="K356">
        <v>67</v>
      </c>
      <c r="L356">
        <v>17</v>
      </c>
      <c r="M356">
        <v>1</v>
      </c>
      <c r="N356" t="s">
        <v>254</v>
      </c>
      <c r="O356" t="s">
        <v>151</v>
      </c>
      <c r="P356" t="s">
        <v>255</v>
      </c>
      <c r="Q356" t="s">
        <v>256</v>
      </c>
      <c r="R356" t="s">
        <v>174</v>
      </c>
      <c r="S356" t="s">
        <v>52</v>
      </c>
      <c r="T356" t="s">
        <v>47</v>
      </c>
      <c r="U356">
        <v>4</v>
      </c>
      <c r="V356" t="s">
        <v>110</v>
      </c>
      <c r="W356" t="s">
        <v>87</v>
      </c>
      <c r="X356" t="s">
        <v>98</v>
      </c>
      <c r="Y356">
        <v>1</v>
      </c>
      <c r="Z356">
        <v>3</v>
      </c>
      <c r="AA356">
        <v>44.1</v>
      </c>
      <c r="AB356">
        <v>0.26100000000000001</v>
      </c>
      <c r="AC356" t="s">
        <v>47</v>
      </c>
      <c r="AD356">
        <v>1</v>
      </c>
      <c r="AE356">
        <v>4</v>
      </c>
      <c r="AF356">
        <v>1</v>
      </c>
      <c r="AG356">
        <v>2.6749999999999998</v>
      </c>
      <c r="AH356">
        <v>0.2</v>
      </c>
      <c r="AI356">
        <v>0.26800000000000002</v>
      </c>
      <c r="AL356" t="str">
        <f t="shared" si="42"/>
        <v/>
      </c>
      <c r="AM356">
        <f>VLOOKUP(TRIM(N356),'[1]All - Durations'!$E$2:$H$109,4,FALSE)</f>
        <v>0.97499999999999998</v>
      </c>
      <c r="AN356" t="e">
        <f t="shared" si="43"/>
        <v>#VALUE!</v>
      </c>
      <c r="AO356" t="str">
        <f t="shared" si="44"/>
        <v/>
      </c>
    </row>
    <row r="357" spans="1:41" x14ac:dyDescent="0.25">
      <c r="A357">
        <v>259</v>
      </c>
      <c r="B357" t="s">
        <v>35</v>
      </c>
      <c r="C357">
        <v>3</v>
      </c>
      <c r="D357" t="s">
        <v>36</v>
      </c>
      <c r="E357">
        <v>3</v>
      </c>
      <c r="F357" t="s">
        <v>37</v>
      </c>
      <c r="G357">
        <v>5</v>
      </c>
      <c r="H357">
        <v>8</v>
      </c>
      <c r="I357">
        <v>1</v>
      </c>
      <c r="J357">
        <v>68</v>
      </c>
      <c r="K357">
        <v>71</v>
      </c>
      <c r="L357">
        <v>21</v>
      </c>
      <c r="M357">
        <v>1</v>
      </c>
      <c r="N357" t="s">
        <v>252</v>
      </c>
      <c r="O357" t="s">
        <v>151</v>
      </c>
      <c r="P357" t="s">
        <v>242</v>
      </c>
      <c r="Q357" t="s">
        <v>243</v>
      </c>
      <c r="R357" t="s">
        <v>170</v>
      </c>
      <c r="S357" t="s">
        <v>59</v>
      </c>
      <c r="T357" t="s">
        <v>146</v>
      </c>
      <c r="U357">
        <v>2</v>
      </c>
      <c r="V357" t="s">
        <v>132</v>
      </c>
      <c r="W357" t="s">
        <v>80</v>
      </c>
      <c r="X357" t="s">
        <v>209</v>
      </c>
      <c r="Y357">
        <v>1</v>
      </c>
      <c r="Z357">
        <v>3</v>
      </c>
      <c r="AA357">
        <v>44.1</v>
      </c>
      <c r="AB357">
        <v>-1</v>
      </c>
      <c r="AC357" t="s">
        <v>146</v>
      </c>
      <c r="AD357">
        <v>1</v>
      </c>
      <c r="AE357">
        <v>2</v>
      </c>
      <c r="AF357">
        <v>1</v>
      </c>
      <c r="AG357">
        <v>2.2669999999999999</v>
      </c>
      <c r="AH357">
        <v>0.183</v>
      </c>
      <c r="AI357">
        <v>-1</v>
      </c>
      <c r="AL357" t="str">
        <f t="shared" si="42"/>
        <v/>
      </c>
      <c r="AM357">
        <f>VLOOKUP(TRIM(N357),'[1]All - Durations'!$E$2:$H$109,4,FALSE)</f>
        <v>1.026</v>
      </c>
      <c r="AN357" t="e">
        <f t="shared" si="43"/>
        <v>#VALUE!</v>
      </c>
      <c r="AO357" t="str">
        <f t="shared" si="44"/>
        <v/>
      </c>
    </row>
    <row r="358" spans="1:41" x14ac:dyDescent="0.25">
      <c r="A358">
        <v>259</v>
      </c>
      <c r="B358" t="s">
        <v>35</v>
      </c>
      <c r="C358">
        <v>3</v>
      </c>
      <c r="D358" t="s">
        <v>36</v>
      </c>
      <c r="E358">
        <v>3</v>
      </c>
      <c r="F358" t="s">
        <v>37</v>
      </c>
      <c r="G358">
        <v>5</v>
      </c>
      <c r="H358">
        <v>8</v>
      </c>
      <c r="I358">
        <v>1</v>
      </c>
      <c r="J358">
        <v>69</v>
      </c>
      <c r="K358">
        <v>61</v>
      </c>
      <c r="L358">
        <v>23</v>
      </c>
      <c r="M358">
        <v>1</v>
      </c>
      <c r="N358" t="s">
        <v>244</v>
      </c>
      <c r="O358" t="s">
        <v>151</v>
      </c>
      <c r="P358" t="s">
        <v>245</v>
      </c>
      <c r="Q358" t="s">
        <v>246</v>
      </c>
      <c r="R358" t="s">
        <v>154</v>
      </c>
      <c r="S358" t="s">
        <v>92</v>
      </c>
      <c r="T358" t="s">
        <v>62</v>
      </c>
      <c r="U358">
        <v>5</v>
      </c>
      <c r="V358" t="s">
        <v>121</v>
      </c>
      <c r="W358" t="s">
        <v>73</v>
      </c>
      <c r="X358" t="s">
        <v>162</v>
      </c>
      <c r="Y358">
        <v>1</v>
      </c>
      <c r="Z358">
        <v>3</v>
      </c>
      <c r="AA358">
        <v>44.1</v>
      </c>
      <c r="AB358">
        <v>0.23799999999999999</v>
      </c>
      <c r="AC358" t="s">
        <v>73</v>
      </c>
      <c r="AD358">
        <v>4</v>
      </c>
      <c r="AE358">
        <v>1</v>
      </c>
      <c r="AF358">
        <v>0</v>
      </c>
      <c r="AG358">
        <v>2.028</v>
      </c>
      <c r="AH358">
        <v>0.19900000000000001</v>
      </c>
      <c r="AI358">
        <v>0.246</v>
      </c>
      <c r="AL358" t="str">
        <f t="shared" si="42"/>
        <v/>
      </c>
      <c r="AM358">
        <f>VLOOKUP(TRIM(N358),'[1]All - Durations'!$E$2:$H$109,4,FALSE)</f>
        <v>0.88300000000000001</v>
      </c>
      <c r="AN358" t="e">
        <f t="shared" si="43"/>
        <v>#VALUE!</v>
      </c>
      <c r="AO358" t="str">
        <f t="shared" si="44"/>
        <v/>
      </c>
    </row>
    <row r="359" spans="1:41" x14ac:dyDescent="0.25">
      <c r="A359">
        <v>259</v>
      </c>
      <c r="B359" t="s">
        <v>35</v>
      </c>
      <c r="C359">
        <v>3</v>
      </c>
      <c r="D359" t="s">
        <v>36</v>
      </c>
      <c r="E359">
        <v>3</v>
      </c>
      <c r="F359" t="s">
        <v>37</v>
      </c>
      <c r="G359">
        <v>5</v>
      </c>
      <c r="H359">
        <v>8</v>
      </c>
      <c r="I359">
        <v>1</v>
      </c>
      <c r="J359">
        <v>70</v>
      </c>
      <c r="K359">
        <v>70</v>
      </c>
      <c r="L359">
        <v>58</v>
      </c>
      <c r="M359">
        <v>2</v>
      </c>
      <c r="N359" t="s">
        <v>235</v>
      </c>
      <c r="O359" t="s">
        <v>151</v>
      </c>
      <c r="P359" t="s">
        <v>236</v>
      </c>
      <c r="Q359" t="s">
        <v>237</v>
      </c>
      <c r="R359" t="s">
        <v>160</v>
      </c>
      <c r="S359" t="s">
        <v>43</v>
      </c>
      <c r="T359" t="s">
        <v>55</v>
      </c>
      <c r="U359">
        <v>4</v>
      </c>
      <c r="V359" t="s">
        <v>108</v>
      </c>
      <c r="W359" t="s">
        <v>54</v>
      </c>
      <c r="X359" t="s">
        <v>130</v>
      </c>
      <c r="Y359">
        <v>2</v>
      </c>
      <c r="Z359">
        <v>3</v>
      </c>
      <c r="AA359">
        <v>44.1</v>
      </c>
      <c r="AB359">
        <v>-1</v>
      </c>
      <c r="AC359" t="s">
        <v>55</v>
      </c>
      <c r="AD359">
        <v>1</v>
      </c>
      <c r="AE359">
        <v>4</v>
      </c>
      <c r="AF359">
        <v>1</v>
      </c>
      <c r="AG359">
        <v>3.1160000000000001</v>
      </c>
      <c r="AH359">
        <v>0.2</v>
      </c>
      <c r="AI359">
        <v>-1</v>
      </c>
      <c r="AL359" t="str">
        <f t="shared" si="42"/>
        <v/>
      </c>
      <c r="AM359">
        <f>VLOOKUP(TRIM(N359),'[1]All - Durations'!$E$2:$H$109,4,FALSE)</f>
        <v>0.85899999999999999</v>
      </c>
      <c r="AN359" t="e">
        <f t="shared" si="43"/>
        <v>#VALUE!</v>
      </c>
      <c r="AO359" t="str">
        <f t="shared" si="44"/>
        <v/>
      </c>
    </row>
    <row r="360" spans="1:41" x14ac:dyDescent="0.25">
      <c r="A360">
        <v>259</v>
      </c>
      <c r="B360" t="s">
        <v>35</v>
      </c>
      <c r="C360">
        <v>3</v>
      </c>
      <c r="D360" t="s">
        <v>36</v>
      </c>
      <c r="E360">
        <v>3</v>
      </c>
      <c r="F360" t="s">
        <v>37</v>
      </c>
      <c r="G360">
        <v>5</v>
      </c>
      <c r="H360">
        <v>8</v>
      </c>
      <c r="I360">
        <v>1</v>
      </c>
      <c r="J360">
        <v>71</v>
      </c>
      <c r="K360">
        <v>62</v>
      </c>
      <c r="L360">
        <v>24</v>
      </c>
      <c r="M360">
        <v>1</v>
      </c>
      <c r="N360" t="s">
        <v>251</v>
      </c>
      <c r="O360" t="s">
        <v>151</v>
      </c>
      <c r="P360" t="s">
        <v>245</v>
      </c>
      <c r="Q360" t="s">
        <v>246</v>
      </c>
      <c r="R360" t="s">
        <v>160</v>
      </c>
      <c r="S360" t="s">
        <v>43</v>
      </c>
      <c r="T360" t="s">
        <v>121</v>
      </c>
      <c r="U360">
        <v>5</v>
      </c>
      <c r="V360" t="s">
        <v>161</v>
      </c>
      <c r="W360" t="s">
        <v>144</v>
      </c>
      <c r="X360" t="s">
        <v>119</v>
      </c>
      <c r="Y360">
        <v>2</v>
      </c>
      <c r="Z360">
        <v>3</v>
      </c>
      <c r="AA360">
        <v>44.1</v>
      </c>
      <c r="AB360">
        <v>0.26200000000000001</v>
      </c>
      <c r="AC360" t="s">
        <v>121</v>
      </c>
      <c r="AD360">
        <v>1</v>
      </c>
      <c r="AE360">
        <v>5</v>
      </c>
      <c r="AF360">
        <v>1</v>
      </c>
      <c r="AG360">
        <v>3.3660000000000001</v>
      </c>
      <c r="AH360">
        <v>0.15</v>
      </c>
      <c r="AI360">
        <v>0.26200000000000001</v>
      </c>
      <c r="AL360" t="str">
        <f t="shared" si="42"/>
        <v/>
      </c>
      <c r="AM360">
        <f>VLOOKUP(TRIM(N360),'[1]All - Durations'!$E$2:$H$109,4,FALSE)</f>
        <v>0.81699999999999995</v>
      </c>
      <c r="AN360" t="e">
        <f t="shared" si="43"/>
        <v>#VALUE!</v>
      </c>
      <c r="AO360" t="str">
        <f t="shared" si="44"/>
        <v/>
      </c>
    </row>
    <row r="361" spans="1:41" x14ac:dyDescent="0.25">
      <c r="A361">
        <v>259</v>
      </c>
      <c r="B361" t="s">
        <v>35</v>
      </c>
      <c r="C361">
        <v>3</v>
      </c>
      <c r="D361" t="s">
        <v>36</v>
      </c>
      <c r="E361">
        <v>3</v>
      </c>
      <c r="F361" t="s">
        <v>37</v>
      </c>
      <c r="G361">
        <v>5</v>
      </c>
      <c r="H361">
        <v>8</v>
      </c>
      <c r="I361">
        <v>1</v>
      </c>
      <c r="J361">
        <v>72</v>
      </c>
      <c r="K361">
        <v>68</v>
      </c>
      <c r="L361">
        <v>18</v>
      </c>
      <c r="M361">
        <v>1</v>
      </c>
      <c r="N361" t="s">
        <v>258</v>
      </c>
      <c r="O361" t="s">
        <v>151</v>
      </c>
      <c r="P361" t="s">
        <v>255</v>
      </c>
      <c r="Q361" t="s">
        <v>256</v>
      </c>
      <c r="R361" t="s">
        <v>160</v>
      </c>
      <c r="S361" t="s">
        <v>43</v>
      </c>
      <c r="T361" t="s">
        <v>110</v>
      </c>
      <c r="U361">
        <v>4</v>
      </c>
      <c r="V361" t="s">
        <v>82</v>
      </c>
      <c r="W361" t="s">
        <v>214</v>
      </c>
      <c r="X361" t="s">
        <v>147</v>
      </c>
      <c r="Y361">
        <v>2</v>
      </c>
      <c r="Z361">
        <v>3</v>
      </c>
      <c r="AA361">
        <v>44.1</v>
      </c>
      <c r="AB361">
        <v>0.33300000000000002</v>
      </c>
      <c r="AC361" t="s">
        <v>110</v>
      </c>
      <c r="AD361">
        <v>1</v>
      </c>
      <c r="AE361">
        <v>4</v>
      </c>
      <c r="AF361">
        <v>1</v>
      </c>
      <c r="AG361">
        <v>1.649</v>
      </c>
      <c r="AH361">
        <v>0.41699999999999998</v>
      </c>
      <c r="AI361">
        <v>0.33300000000000002</v>
      </c>
      <c r="AL361" t="str">
        <f t="shared" si="42"/>
        <v/>
      </c>
      <c r="AM361">
        <f>VLOOKUP(TRIM(N361),'[1]All - Durations'!$E$2:$H$109,4,FALSE)</f>
        <v>0.86299999999999999</v>
      </c>
      <c r="AN361" t="e">
        <f t="shared" si="43"/>
        <v>#VALUE!</v>
      </c>
      <c r="AO361" t="str">
        <f t="shared" si="44"/>
        <v/>
      </c>
    </row>
    <row r="362" spans="1:41" x14ac:dyDescent="0.25">
      <c r="A362">
        <v>259</v>
      </c>
      <c r="B362" t="s">
        <v>35</v>
      </c>
      <c r="C362">
        <v>3</v>
      </c>
      <c r="D362" t="s">
        <v>36</v>
      </c>
      <c r="E362">
        <v>3</v>
      </c>
      <c r="F362" t="s">
        <v>37</v>
      </c>
      <c r="G362">
        <v>6</v>
      </c>
      <c r="H362">
        <v>10</v>
      </c>
      <c r="I362">
        <v>1</v>
      </c>
      <c r="J362">
        <v>1</v>
      </c>
      <c r="K362">
        <v>11</v>
      </c>
      <c r="L362">
        <v>43</v>
      </c>
      <c r="M362">
        <v>2</v>
      </c>
      <c r="N362" t="s">
        <v>105</v>
      </c>
      <c r="O362" t="s">
        <v>39</v>
      </c>
      <c r="P362" t="s">
        <v>77</v>
      </c>
      <c r="Q362" t="s">
        <v>78</v>
      </c>
      <c r="R362" t="s">
        <v>91</v>
      </c>
      <c r="S362" t="s">
        <v>92</v>
      </c>
      <c r="T362" t="s">
        <v>80</v>
      </c>
      <c r="U362">
        <v>1</v>
      </c>
      <c r="V362" t="s">
        <v>79</v>
      </c>
      <c r="W362" t="s">
        <v>146</v>
      </c>
      <c r="X362" t="s">
        <v>87</v>
      </c>
      <c r="Y362">
        <v>1</v>
      </c>
      <c r="Z362">
        <v>3</v>
      </c>
      <c r="AA362">
        <v>44.1</v>
      </c>
      <c r="AB362">
        <v>-1</v>
      </c>
      <c r="AC362" t="s">
        <v>79</v>
      </c>
      <c r="AD362">
        <v>2</v>
      </c>
      <c r="AE362">
        <v>2</v>
      </c>
      <c r="AF362">
        <v>0</v>
      </c>
      <c r="AG362">
        <v>1.171</v>
      </c>
      <c r="AH362">
        <v>1.2669999999999999</v>
      </c>
      <c r="AI362">
        <v>-1</v>
      </c>
      <c r="AL362" t="str">
        <f t="shared" si="42"/>
        <v/>
      </c>
      <c r="AM362">
        <f>VLOOKUP(TRIM(N362),'[1]All - Durations'!$E$2:$H$109,4,FALSE)</f>
        <v>1.002</v>
      </c>
      <c r="AN362" t="e">
        <f t="shared" si="43"/>
        <v>#VALUE!</v>
      </c>
      <c r="AO362" t="str">
        <f t="shared" si="44"/>
        <v/>
      </c>
    </row>
    <row r="363" spans="1:41" x14ac:dyDescent="0.25">
      <c r="A363">
        <v>259</v>
      </c>
      <c r="B363" t="s">
        <v>35</v>
      </c>
      <c r="C363">
        <v>3</v>
      </c>
      <c r="D363" t="s">
        <v>36</v>
      </c>
      <c r="E363">
        <v>3</v>
      </c>
      <c r="F363" t="s">
        <v>37</v>
      </c>
      <c r="G363">
        <v>6</v>
      </c>
      <c r="H363">
        <v>10</v>
      </c>
      <c r="I363">
        <v>1</v>
      </c>
      <c r="J363">
        <v>2</v>
      </c>
      <c r="K363">
        <v>9</v>
      </c>
      <c r="L363">
        <v>3</v>
      </c>
      <c r="M363">
        <v>1</v>
      </c>
      <c r="N363" t="s">
        <v>88</v>
      </c>
      <c r="O363" t="s">
        <v>39</v>
      </c>
      <c r="P363" t="s">
        <v>89</v>
      </c>
      <c r="Q363" t="s">
        <v>90</v>
      </c>
      <c r="R363" t="s">
        <v>91</v>
      </c>
      <c r="S363" t="s">
        <v>92</v>
      </c>
      <c r="T363" t="s">
        <v>93</v>
      </c>
      <c r="U363">
        <v>5</v>
      </c>
      <c r="V363" t="s">
        <v>102</v>
      </c>
      <c r="W363" t="s">
        <v>108</v>
      </c>
      <c r="X363" t="s">
        <v>100</v>
      </c>
      <c r="Y363">
        <v>1</v>
      </c>
      <c r="Z363">
        <v>3</v>
      </c>
      <c r="AA363">
        <v>44.1</v>
      </c>
      <c r="AB363">
        <v>-1</v>
      </c>
      <c r="AC363" t="s">
        <v>102</v>
      </c>
      <c r="AD363">
        <v>2</v>
      </c>
      <c r="AE363">
        <v>1</v>
      </c>
      <c r="AF363">
        <v>0</v>
      </c>
      <c r="AG363">
        <v>2.3540000000000001</v>
      </c>
      <c r="AH363">
        <v>0.95</v>
      </c>
      <c r="AI363">
        <v>-1</v>
      </c>
      <c r="AL363" t="str">
        <f t="shared" si="42"/>
        <v/>
      </c>
      <c r="AM363">
        <f>VLOOKUP(TRIM(N363),'[1]All - Durations'!$E$2:$H$109,4,FALSE)</f>
        <v>0.89200000000000002</v>
      </c>
      <c r="AN363" t="e">
        <f t="shared" si="43"/>
        <v>#VALUE!</v>
      </c>
      <c r="AO363" t="str">
        <f t="shared" si="44"/>
        <v/>
      </c>
    </row>
    <row r="364" spans="1:41" x14ac:dyDescent="0.25">
      <c r="A364">
        <v>259</v>
      </c>
      <c r="B364" t="s">
        <v>35</v>
      </c>
      <c r="C364">
        <v>3</v>
      </c>
      <c r="D364" t="s">
        <v>36</v>
      </c>
      <c r="E364">
        <v>3</v>
      </c>
      <c r="F364" t="s">
        <v>37</v>
      </c>
      <c r="G364">
        <v>6</v>
      </c>
      <c r="H364">
        <v>10</v>
      </c>
      <c r="I364">
        <v>1</v>
      </c>
      <c r="J364">
        <v>3</v>
      </c>
      <c r="K364">
        <v>1</v>
      </c>
      <c r="L364">
        <v>47</v>
      </c>
      <c r="M364">
        <v>2</v>
      </c>
      <c r="N364" t="s">
        <v>57</v>
      </c>
      <c r="O364" t="s">
        <v>39</v>
      </c>
      <c r="P364" t="s">
        <v>40</v>
      </c>
      <c r="Q364" t="s">
        <v>41</v>
      </c>
      <c r="R364" t="s">
        <v>58</v>
      </c>
      <c r="S364" t="s">
        <v>59</v>
      </c>
      <c r="T364" t="s">
        <v>60</v>
      </c>
      <c r="U364">
        <v>5</v>
      </c>
      <c r="V364" t="s">
        <v>138</v>
      </c>
      <c r="W364" t="s">
        <v>81</v>
      </c>
      <c r="X364" t="s">
        <v>68</v>
      </c>
      <c r="Y364">
        <v>2</v>
      </c>
      <c r="Z364">
        <v>3</v>
      </c>
      <c r="AA364">
        <v>44.1</v>
      </c>
      <c r="AB364">
        <v>-1</v>
      </c>
      <c r="AC364" t="s">
        <v>81</v>
      </c>
      <c r="AD364">
        <v>4</v>
      </c>
      <c r="AE364">
        <v>1</v>
      </c>
      <c r="AF364">
        <v>0</v>
      </c>
      <c r="AG364">
        <v>2.113</v>
      </c>
      <c r="AH364">
        <v>0.36699999999999999</v>
      </c>
      <c r="AI364">
        <v>-1</v>
      </c>
      <c r="AL364" t="str">
        <f t="shared" si="42"/>
        <v/>
      </c>
      <c r="AM364">
        <f>VLOOKUP(TRIM(N364),'[1]All - Durations'!$E$2:$H$109,4,FALSE)</f>
        <v>0.93600000000000005</v>
      </c>
      <c r="AN364" t="e">
        <f t="shared" si="43"/>
        <v>#VALUE!</v>
      </c>
      <c r="AO364" t="str">
        <f t="shared" si="44"/>
        <v/>
      </c>
    </row>
    <row r="365" spans="1:41" x14ac:dyDescent="0.25">
      <c r="A365">
        <v>259</v>
      </c>
      <c r="B365" t="s">
        <v>35</v>
      </c>
      <c r="C365">
        <v>3</v>
      </c>
      <c r="D365" t="s">
        <v>36</v>
      </c>
      <c r="E365">
        <v>3</v>
      </c>
      <c r="F365" t="s">
        <v>37</v>
      </c>
      <c r="G365">
        <v>6</v>
      </c>
      <c r="H365">
        <v>10</v>
      </c>
      <c r="I365">
        <v>1</v>
      </c>
      <c r="J365">
        <v>4</v>
      </c>
      <c r="K365">
        <v>10</v>
      </c>
      <c r="L365">
        <v>4</v>
      </c>
      <c r="M365">
        <v>1</v>
      </c>
      <c r="N365" t="s">
        <v>101</v>
      </c>
      <c r="O365" t="s">
        <v>39</v>
      </c>
      <c r="P365" t="s">
        <v>89</v>
      </c>
      <c r="Q365" t="s">
        <v>90</v>
      </c>
      <c r="R365" t="s">
        <v>51</v>
      </c>
      <c r="S365" t="s">
        <v>52</v>
      </c>
      <c r="T365" t="s">
        <v>102</v>
      </c>
      <c r="U365">
        <v>4</v>
      </c>
      <c r="V365" t="s">
        <v>144</v>
      </c>
      <c r="W365" t="s">
        <v>183</v>
      </c>
      <c r="X365" t="s">
        <v>56</v>
      </c>
      <c r="Y365">
        <v>2</v>
      </c>
      <c r="Z365">
        <v>3</v>
      </c>
      <c r="AA365">
        <v>44.1</v>
      </c>
      <c r="AB365">
        <v>-1</v>
      </c>
      <c r="AC365" t="s">
        <v>144</v>
      </c>
      <c r="AD365">
        <v>3</v>
      </c>
      <c r="AE365">
        <v>5</v>
      </c>
      <c r="AF365">
        <v>0</v>
      </c>
      <c r="AG365">
        <v>0.875</v>
      </c>
      <c r="AH365">
        <v>0.317</v>
      </c>
      <c r="AI365">
        <v>-1</v>
      </c>
      <c r="AL365" t="str">
        <f t="shared" si="42"/>
        <v/>
      </c>
      <c r="AM365">
        <f>VLOOKUP(TRIM(N365),'[1]All - Durations'!$E$2:$H$109,4,FALSE)</f>
        <v>0.93799999999999994</v>
      </c>
      <c r="AN365" t="e">
        <f t="shared" si="43"/>
        <v>#VALUE!</v>
      </c>
      <c r="AO365" t="str">
        <f t="shared" si="44"/>
        <v/>
      </c>
    </row>
    <row r="366" spans="1:41" x14ac:dyDescent="0.25">
      <c r="A366">
        <v>259</v>
      </c>
      <c r="B366" t="s">
        <v>35</v>
      </c>
      <c r="C366">
        <v>3</v>
      </c>
      <c r="D366" t="s">
        <v>36</v>
      </c>
      <c r="E366">
        <v>3</v>
      </c>
      <c r="F366" t="s">
        <v>37</v>
      </c>
      <c r="G366">
        <v>6</v>
      </c>
      <c r="H366">
        <v>10</v>
      </c>
      <c r="I366">
        <v>1</v>
      </c>
      <c r="J366">
        <v>5</v>
      </c>
      <c r="K366">
        <v>2</v>
      </c>
      <c r="L366">
        <v>48</v>
      </c>
      <c r="M366">
        <v>2</v>
      </c>
      <c r="N366" t="s">
        <v>38</v>
      </c>
      <c r="O366" t="s">
        <v>39</v>
      </c>
      <c r="P366" t="s">
        <v>40</v>
      </c>
      <c r="Q366" t="s">
        <v>41</v>
      </c>
      <c r="R366" t="s">
        <v>42</v>
      </c>
      <c r="S366" t="s">
        <v>43</v>
      </c>
      <c r="T366" t="s">
        <v>44</v>
      </c>
      <c r="U366">
        <v>1</v>
      </c>
      <c r="V366" t="s">
        <v>60</v>
      </c>
      <c r="W366" t="s">
        <v>130</v>
      </c>
      <c r="X366" t="s">
        <v>132</v>
      </c>
      <c r="Y366">
        <v>1</v>
      </c>
      <c r="Z366">
        <v>3</v>
      </c>
      <c r="AA366">
        <v>44.1</v>
      </c>
      <c r="AB366">
        <v>-1</v>
      </c>
      <c r="AC366" t="s">
        <v>132</v>
      </c>
      <c r="AD366">
        <v>4</v>
      </c>
      <c r="AE366">
        <v>2</v>
      </c>
      <c r="AF366">
        <v>0</v>
      </c>
      <c r="AG366">
        <v>2.008</v>
      </c>
      <c r="AH366">
        <v>0.41699999999999998</v>
      </c>
      <c r="AI366">
        <v>-1</v>
      </c>
      <c r="AL366" t="str">
        <f t="shared" si="42"/>
        <v/>
      </c>
      <c r="AM366">
        <f>VLOOKUP(TRIM(N366),'[1]All - Durations'!$E$2:$H$109,4,FALSE)</f>
        <v>0.87</v>
      </c>
      <c r="AN366" t="e">
        <f t="shared" si="43"/>
        <v>#VALUE!</v>
      </c>
      <c r="AO366" t="str">
        <f t="shared" si="44"/>
        <v/>
      </c>
    </row>
    <row r="367" spans="1:41" x14ac:dyDescent="0.25">
      <c r="A367">
        <v>259</v>
      </c>
      <c r="B367" t="s">
        <v>35</v>
      </c>
      <c r="C367">
        <v>3</v>
      </c>
      <c r="D367" t="s">
        <v>36</v>
      </c>
      <c r="E367">
        <v>3</v>
      </c>
      <c r="F367" t="s">
        <v>37</v>
      </c>
      <c r="G367">
        <v>6</v>
      </c>
      <c r="H367">
        <v>10</v>
      </c>
      <c r="I367">
        <v>1</v>
      </c>
      <c r="J367">
        <v>6</v>
      </c>
      <c r="K367">
        <v>7</v>
      </c>
      <c r="L367">
        <v>39</v>
      </c>
      <c r="M367">
        <v>2</v>
      </c>
      <c r="N367" t="s">
        <v>63</v>
      </c>
      <c r="O367" t="s">
        <v>39</v>
      </c>
      <c r="P367" t="s">
        <v>64</v>
      </c>
      <c r="Q367" t="s">
        <v>65</v>
      </c>
      <c r="R367" t="s">
        <v>58</v>
      </c>
      <c r="S367" t="s">
        <v>59</v>
      </c>
      <c r="T367" t="s">
        <v>66</v>
      </c>
      <c r="U367">
        <v>2</v>
      </c>
      <c r="V367" t="s">
        <v>73</v>
      </c>
      <c r="W367" t="s">
        <v>161</v>
      </c>
      <c r="X367" t="s">
        <v>69</v>
      </c>
      <c r="Y367">
        <v>2</v>
      </c>
      <c r="Z367">
        <v>3</v>
      </c>
      <c r="AA367">
        <v>44.1</v>
      </c>
      <c r="AB367">
        <v>-1</v>
      </c>
      <c r="AC367" t="s">
        <v>66</v>
      </c>
      <c r="AD367">
        <v>1</v>
      </c>
      <c r="AE367">
        <v>2</v>
      </c>
      <c r="AF367">
        <v>1</v>
      </c>
      <c r="AG367">
        <v>1.881</v>
      </c>
      <c r="AH367">
        <v>0.28299999999999997</v>
      </c>
      <c r="AI367">
        <v>-1</v>
      </c>
      <c r="AL367" t="str">
        <f t="shared" si="42"/>
        <v/>
      </c>
      <c r="AM367">
        <f>VLOOKUP(TRIM(N367),'[1]All - Durations'!$E$2:$H$109,4,FALSE)</f>
        <v>0.96399999999999997</v>
      </c>
      <c r="AN367" t="e">
        <f t="shared" si="43"/>
        <v>#VALUE!</v>
      </c>
      <c r="AO367" t="str">
        <f t="shared" si="44"/>
        <v/>
      </c>
    </row>
    <row r="368" spans="1:41" x14ac:dyDescent="0.25">
      <c r="A368">
        <v>259</v>
      </c>
      <c r="B368" t="s">
        <v>35</v>
      </c>
      <c r="C368">
        <v>3</v>
      </c>
      <c r="D368" t="s">
        <v>36</v>
      </c>
      <c r="E368">
        <v>3</v>
      </c>
      <c r="F368" t="s">
        <v>37</v>
      </c>
      <c r="G368">
        <v>6</v>
      </c>
      <c r="H368">
        <v>10</v>
      </c>
      <c r="I368">
        <v>1</v>
      </c>
      <c r="J368">
        <v>7</v>
      </c>
      <c r="K368">
        <v>4</v>
      </c>
      <c r="L368">
        <v>2</v>
      </c>
      <c r="M368">
        <v>1</v>
      </c>
      <c r="N368" t="s">
        <v>109</v>
      </c>
      <c r="O368" t="s">
        <v>39</v>
      </c>
      <c r="P368" t="s">
        <v>71</v>
      </c>
      <c r="Q368" t="s">
        <v>72</v>
      </c>
      <c r="R368" t="s">
        <v>91</v>
      </c>
      <c r="S368" t="s">
        <v>92</v>
      </c>
      <c r="T368" t="s">
        <v>94</v>
      </c>
      <c r="U368">
        <v>4</v>
      </c>
      <c r="V368" t="s">
        <v>54</v>
      </c>
      <c r="W368" t="s">
        <v>166</v>
      </c>
      <c r="X368" t="s">
        <v>111</v>
      </c>
      <c r="Y368">
        <v>2</v>
      </c>
      <c r="Z368">
        <v>3</v>
      </c>
      <c r="AA368">
        <v>44.1</v>
      </c>
      <c r="AB368">
        <v>-1</v>
      </c>
      <c r="AC368" t="s">
        <v>94</v>
      </c>
      <c r="AD368">
        <v>1</v>
      </c>
      <c r="AE368">
        <v>4</v>
      </c>
      <c r="AF368">
        <v>1</v>
      </c>
      <c r="AG368">
        <v>1.3660000000000001</v>
      </c>
      <c r="AH368">
        <v>0.26700000000000002</v>
      </c>
      <c r="AI368">
        <v>-1</v>
      </c>
      <c r="AL368" t="str">
        <f t="shared" si="42"/>
        <v/>
      </c>
      <c r="AM368">
        <f>VLOOKUP(TRIM(N368),'[1]All - Durations'!$E$2:$H$109,4,FALSE)</f>
        <v>0.872</v>
      </c>
      <c r="AN368" t="e">
        <f t="shared" si="43"/>
        <v>#VALUE!</v>
      </c>
      <c r="AO368" t="str">
        <f t="shared" si="44"/>
        <v/>
      </c>
    </row>
    <row r="369" spans="1:41" x14ac:dyDescent="0.25">
      <c r="A369">
        <v>259</v>
      </c>
      <c r="B369" t="s">
        <v>35</v>
      </c>
      <c r="C369">
        <v>3</v>
      </c>
      <c r="D369" t="s">
        <v>36</v>
      </c>
      <c r="E369">
        <v>3</v>
      </c>
      <c r="F369" t="s">
        <v>37</v>
      </c>
      <c r="G369">
        <v>6</v>
      </c>
      <c r="H369">
        <v>10</v>
      </c>
      <c r="I369">
        <v>1</v>
      </c>
      <c r="J369">
        <v>8</v>
      </c>
      <c r="K369">
        <v>5</v>
      </c>
      <c r="L369">
        <v>37</v>
      </c>
      <c r="M369">
        <v>2</v>
      </c>
      <c r="N369" t="s">
        <v>97</v>
      </c>
      <c r="O369" t="s">
        <v>39</v>
      </c>
      <c r="P369" t="s">
        <v>49</v>
      </c>
      <c r="Q369" t="s">
        <v>50</v>
      </c>
      <c r="R369" t="s">
        <v>91</v>
      </c>
      <c r="S369" t="s">
        <v>92</v>
      </c>
      <c r="T369" t="s">
        <v>54</v>
      </c>
      <c r="U369">
        <v>2</v>
      </c>
      <c r="V369" t="s">
        <v>53</v>
      </c>
      <c r="W369" t="s">
        <v>82</v>
      </c>
      <c r="X369" t="s">
        <v>124</v>
      </c>
      <c r="Y369">
        <v>1</v>
      </c>
      <c r="Z369">
        <v>3</v>
      </c>
      <c r="AA369">
        <v>44.1</v>
      </c>
      <c r="AB369">
        <v>-1</v>
      </c>
      <c r="AC369" t="s">
        <v>54</v>
      </c>
      <c r="AD369">
        <v>1</v>
      </c>
      <c r="AE369">
        <v>2</v>
      </c>
      <c r="AF369">
        <v>1</v>
      </c>
      <c r="AG369">
        <v>1.8</v>
      </c>
      <c r="AH369">
        <v>0.433</v>
      </c>
      <c r="AI369">
        <v>-1</v>
      </c>
      <c r="AL369" t="str">
        <f t="shared" si="42"/>
        <v/>
      </c>
      <c r="AM369">
        <f>VLOOKUP(TRIM(N369),'[1]All - Durations'!$E$2:$H$109,4,FALSE)</f>
        <v>0.74</v>
      </c>
      <c r="AN369" t="e">
        <f t="shared" si="43"/>
        <v>#VALUE!</v>
      </c>
      <c r="AO369" t="str">
        <f t="shared" si="44"/>
        <v/>
      </c>
    </row>
    <row r="370" spans="1:41" x14ac:dyDescent="0.25">
      <c r="A370">
        <v>259</v>
      </c>
      <c r="B370" t="s">
        <v>35</v>
      </c>
      <c r="C370">
        <v>3</v>
      </c>
      <c r="D370" t="s">
        <v>36</v>
      </c>
      <c r="E370">
        <v>3</v>
      </c>
      <c r="F370" t="s">
        <v>37</v>
      </c>
      <c r="G370">
        <v>6</v>
      </c>
      <c r="H370">
        <v>10</v>
      </c>
      <c r="I370">
        <v>1</v>
      </c>
      <c r="J370">
        <v>9</v>
      </c>
      <c r="K370">
        <v>8</v>
      </c>
      <c r="L370">
        <v>40</v>
      </c>
      <c r="M370">
        <v>2</v>
      </c>
      <c r="N370" t="s">
        <v>84</v>
      </c>
      <c r="O370" t="s">
        <v>39</v>
      </c>
      <c r="P370" t="s">
        <v>64</v>
      </c>
      <c r="Q370" t="s">
        <v>65</v>
      </c>
      <c r="R370" t="s">
        <v>42</v>
      </c>
      <c r="S370" t="s">
        <v>43</v>
      </c>
      <c r="T370" t="s">
        <v>67</v>
      </c>
      <c r="U370">
        <v>5</v>
      </c>
      <c r="V370" t="s">
        <v>66</v>
      </c>
      <c r="W370" t="s">
        <v>74</v>
      </c>
      <c r="X370" t="s">
        <v>141</v>
      </c>
      <c r="Y370">
        <v>1</v>
      </c>
      <c r="Z370">
        <v>3</v>
      </c>
      <c r="AA370">
        <v>44.1</v>
      </c>
      <c r="AB370">
        <v>-1</v>
      </c>
      <c r="AC370" t="s">
        <v>141</v>
      </c>
      <c r="AD370">
        <v>4</v>
      </c>
      <c r="AE370">
        <v>2</v>
      </c>
      <c r="AF370">
        <v>0</v>
      </c>
      <c r="AG370">
        <v>2.5750000000000002</v>
      </c>
      <c r="AH370">
        <v>0.317</v>
      </c>
      <c r="AI370">
        <v>-1</v>
      </c>
      <c r="AL370" t="str">
        <f t="shared" si="42"/>
        <v/>
      </c>
      <c r="AM370">
        <f>VLOOKUP(TRIM(N370),'[1]All - Durations'!$E$2:$H$109,4,FALSE)</f>
        <v>1.1020000000000001</v>
      </c>
      <c r="AN370" t="e">
        <f t="shared" si="43"/>
        <v>#VALUE!</v>
      </c>
      <c r="AO370" t="str">
        <f t="shared" si="44"/>
        <v/>
      </c>
    </row>
    <row r="371" spans="1:41" x14ac:dyDescent="0.25">
      <c r="A371">
        <v>259</v>
      </c>
      <c r="B371" t="s">
        <v>35</v>
      </c>
      <c r="C371">
        <v>3</v>
      </c>
      <c r="D371" t="s">
        <v>36</v>
      </c>
      <c r="E371">
        <v>3</v>
      </c>
      <c r="F371" t="s">
        <v>37</v>
      </c>
      <c r="G371">
        <v>6</v>
      </c>
      <c r="H371">
        <v>10</v>
      </c>
      <c r="I371">
        <v>1</v>
      </c>
      <c r="J371">
        <v>10</v>
      </c>
      <c r="K371">
        <v>6</v>
      </c>
      <c r="L371">
        <v>38</v>
      </c>
      <c r="M371">
        <v>2</v>
      </c>
      <c r="N371" t="s">
        <v>48</v>
      </c>
      <c r="O371" t="s">
        <v>39</v>
      </c>
      <c r="P371" t="s">
        <v>49</v>
      </c>
      <c r="Q371" t="s">
        <v>50</v>
      </c>
      <c r="R371" t="s">
        <v>51</v>
      </c>
      <c r="S371" t="s">
        <v>52</v>
      </c>
      <c r="T371" t="s">
        <v>53</v>
      </c>
      <c r="U371">
        <v>4</v>
      </c>
      <c r="V371" t="s">
        <v>172</v>
      </c>
      <c r="W371" t="s">
        <v>96</v>
      </c>
      <c r="X371" t="s">
        <v>137</v>
      </c>
      <c r="Y371">
        <v>2</v>
      </c>
      <c r="Z371">
        <v>3</v>
      </c>
      <c r="AA371">
        <v>44.1</v>
      </c>
      <c r="AB371">
        <v>-1</v>
      </c>
      <c r="AC371" t="s">
        <v>172</v>
      </c>
      <c r="AD371">
        <v>3</v>
      </c>
      <c r="AE371">
        <v>2</v>
      </c>
      <c r="AF371">
        <v>0</v>
      </c>
      <c r="AG371">
        <v>2.5369999999999999</v>
      </c>
      <c r="AH371">
        <v>0.25</v>
      </c>
      <c r="AI371">
        <v>-1</v>
      </c>
      <c r="AL371" t="str">
        <f t="shared" si="42"/>
        <v/>
      </c>
      <c r="AM371">
        <f>VLOOKUP(TRIM(N371),'[1]All - Durations'!$E$2:$H$109,4,FALSE)</f>
        <v>0.92200000000000004</v>
      </c>
      <c r="AN371" t="e">
        <f t="shared" si="43"/>
        <v>#VALUE!</v>
      </c>
      <c r="AO371" t="str">
        <f t="shared" si="44"/>
        <v/>
      </c>
    </row>
    <row r="372" spans="1:41" x14ac:dyDescent="0.25">
      <c r="A372">
        <v>259</v>
      </c>
      <c r="B372" t="s">
        <v>35</v>
      </c>
      <c r="C372">
        <v>3</v>
      </c>
      <c r="D372" t="s">
        <v>36</v>
      </c>
      <c r="E372">
        <v>3</v>
      </c>
      <c r="F372" t="s">
        <v>37</v>
      </c>
      <c r="G372">
        <v>6</v>
      </c>
      <c r="H372">
        <v>10</v>
      </c>
      <c r="I372">
        <v>1</v>
      </c>
      <c r="J372">
        <v>11</v>
      </c>
      <c r="K372">
        <v>3</v>
      </c>
      <c r="L372">
        <v>1</v>
      </c>
      <c r="M372">
        <v>1</v>
      </c>
      <c r="N372" t="s">
        <v>70</v>
      </c>
      <c r="O372" t="s">
        <v>39</v>
      </c>
      <c r="P372" t="s">
        <v>71</v>
      </c>
      <c r="Q372" t="s">
        <v>72</v>
      </c>
      <c r="R372" t="s">
        <v>58</v>
      </c>
      <c r="S372" t="s">
        <v>59</v>
      </c>
      <c r="T372" t="s">
        <v>73</v>
      </c>
      <c r="U372">
        <v>1</v>
      </c>
      <c r="V372" t="s">
        <v>94</v>
      </c>
      <c r="W372" t="s">
        <v>119</v>
      </c>
      <c r="X372" t="s">
        <v>55</v>
      </c>
      <c r="Y372">
        <v>1</v>
      </c>
      <c r="Z372">
        <v>3</v>
      </c>
      <c r="AA372">
        <v>44.1</v>
      </c>
      <c r="AB372">
        <v>-1</v>
      </c>
      <c r="AC372" t="s">
        <v>73</v>
      </c>
      <c r="AD372">
        <v>1</v>
      </c>
      <c r="AE372">
        <v>1</v>
      </c>
      <c r="AF372">
        <v>1</v>
      </c>
      <c r="AG372">
        <v>1.095</v>
      </c>
      <c r="AH372">
        <v>0.38300000000000001</v>
      </c>
      <c r="AI372">
        <v>-1</v>
      </c>
      <c r="AL372" t="str">
        <f t="shared" si="42"/>
        <v/>
      </c>
      <c r="AM372">
        <f>VLOOKUP(TRIM(N372),'[1]All - Durations'!$E$2:$H$109,4,FALSE)</f>
        <v>0.94799999999999995</v>
      </c>
      <c r="AN372" t="e">
        <f t="shared" si="43"/>
        <v>#VALUE!</v>
      </c>
      <c r="AO372" t="str">
        <f t="shared" si="44"/>
        <v/>
      </c>
    </row>
    <row r="373" spans="1:41" x14ac:dyDescent="0.25">
      <c r="A373">
        <v>259</v>
      </c>
      <c r="B373" t="s">
        <v>35</v>
      </c>
      <c r="C373">
        <v>3</v>
      </c>
      <c r="D373" t="s">
        <v>36</v>
      </c>
      <c r="E373">
        <v>3</v>
      </c>
      <c r="F373" t="s">
        <v>37</v>
      </c>
      <c r="G373">
        <v>6</v>
      </c>
      <c r="H373">
        <v>10</v>
      </c>
      <c r="I373">
        <v>1</v>
      </c>
      <c r="J373">
        <v>12</v>
      </c>
      <c r="K373">
        <v>12</v>
      </c>
      <c r="L373">
        <v>44</v>
      </c>
      <c r="M373">
        <v>2</v>
      </c>
      <c r="N373" t="s">
        <v>76</v>
      </c>
      <c r="O373" t="s">
        <v>39</v>
      </c>
      <c r="P373" t="s">
        <v>77</v>
      </c>
      <c r="Q373" t="s">
        <v>78</v>
      </c>
      <c r="R373" t="s">
        <v>51</v>
      </c>
      <c r="S373" t="s">
        <v>52</v>
      </c>
      <c r="T373" t="s">
        <v>79</v>
      </c>
      <c r="U373">
        <v>1</v>
      </c>
      <c r="V373" t="s">
        <v>149</v>
      </c>
      <c r="W373" t="s">
        <v>95</v>
      </c>
      <c r="X373" t="s">
        <v>103</v>
      </c>
      <c r="Y373">
        <v>2</v>
      </c>
      <c r="Z373">
        <v>3</v>
      </c>
      <c r="AA373">
        <v>44.1</v>
      </c>
      <c r="AB373">
        <v>-1</v>
      </c>
      <c r="AC373" t="s">
        <v>149</v>
      </c>
      <c r="AD373">
        <v>3</v>
      </c>
      <c r="AE373">
        <v>2</v>
      </c>
      <c r="AF373">
        <v>0</v>
      </c>
      <c r="AG373">
        <v>2.3759999999999999</v>
      </c>
      <c r="AH373">
        <v>0.58299999999999996</v>
      </c>
      <c r="AI373">
        <v>-1</v>
      </c>
      <c r="AL373" t="str">
        <f t="shared" si="42"/>
        <v/>
      </c>
      <c r="AM373">
        <f>VLOOKUP(TRIM(N373),'[1]All - Durations'!$E$2:$H$109,4,FALSE)</f>
        <v>0.999</v>
      </c>
      <c r="AN373" t="e">
        <f t="shared" si="43"/>
        <v>#VALUE!</v>
      </c>
      <c r="AO373" t="str">
        <f t="shared" si="44"/>
        <v/>
      </c>
    </row>
    <row r="374" spans="1:41" x14ac:dyDescent="0.25">
      <c r="A374">
        <v>259</v>
      </c>
      <c r="B374" t="s">
        <v>35</v>
      </c>
      <c r="C374">
        <v>3</v>
      </c>
      <c r="D374" t="s">
        <v>36</v>
      </c>
      <c r="E374">
        <v>3</v>
      </c>
      <c r="F374" t="s">
        <v>37</v>
      </c>
      <c r="G374">
        <v>6</v>
      </c>
      <c r="H374">
        <v>10</v>
      </c>
      <c r="I374">
        <v>1</v>
      </c>
      <c r="J374">
        <v>13</v>
      </c>
      <c r="K374">
        <v>14</v>
      </c>
      <c r="L374">
        <v>72</v>
      </c>
      <c r="M374">
        <v>2</v>
      </c>
      <c r="N374" t="s">
        <v>112</v>
      </c>
      <c r="O374" t="s">
        <v>113</v>
      </c>
      <c r="P374" t="s">
        <v>114</v>
      </c>
      <c r="Q374" t="s">
        <v>115</v>
      </c>
      <c r="R374" t="s">
        <v>114</v>
      </c>
      <c r="S374" t="s">
        <v>43</v>
      </c>
      <c r="T374" t="s">
        <v>104</v>
      </c>
      <c r="U374">
        <v>4</v>
      </c>
      <c r="V374" t="s">
        <v>46</v>
      </c>
      <c r="W374" t="s">
        <v>53</v>
      </c>
      <c r="X374" t="s">
        <v>99</v>
      </c>
      <c r="Y374">
        <v>1</v>
      </c>
      <c r="Z374">
        <v>3</v>
      </c>
      <c r="AA374">
        <v>44.1</v>
      </c>
      <c r="AB374">
        <v>-1</v>
      </c>
      <c r="AC374" t="s">
        <v>53</v>
      </c>
      <c r="AD374">
        <v>4</v>
      </c>
      <c r="AE374">
        <v>5</v>
      </c>
      <c r="AF374">
        <v>0</v>
      </c>
      <c r="AG374">
        <v>2.3130000000000002</v>
      </c>
      <c r="AH374">
        <v>0.26700000000000002</v>
      </c>
      <c r="AI374">
        <v>-1</v>
      </c>
      <c r="AL374" t="str">
        <f t="shared" si="42"/>
        <v/>
      </c>
      <c r="AM374">
        <f>VLOOKUP(TRIM(N374),'[1]All - Durations'!$E$2:$H$109,4,FALSE)</f>
        <v>0.94499999999999995</v>
      </c>
      <c r="AN374" t="e">
        <f t="shared" si="43"/>
        <v>#VALUE!</v>
      </c>
      <c r="AO374" t="str">
        <f t="shared" si="44"/>
        <v/>
      </c>
    </row>
    <row r="375" spans="1:41" x14ac:dyDescent="0.25">
      <c r="A375">
        <v>259</v>
      </c>
      <c r="B375" t="s">
        <v>35</v>
      </c>
      <c r="C375">
        <v>3</v>
      </c>
      <c r="D375" t="s">
        <v>36</v>
      </c>
      <c r="E375">
        <v>3</v>
      </c>
      <c r="F375" t="s">
        <v>37</v>
      </c>
      <c r="G375">
        <v>6</v>
      </c>
      <c r="H375">
        <v>10</v>
      </c>
      <c r="I375">
        <v>1</v>
      </c>
      <c r="J375">
        <v>14</v>
      </c>
      <c r="K375">
        <v>19</v>
      </c>
      <c r="L375">
        <v>63</v>
      </c>
      <c r="M375">
        <v>2</v>
      </c>
      <c r="N375" t="s">
        <v>140</v>
      </c>
      <c r="O375" t="s">
        <v>113</v>
      </c>
      <c r="P375" t="s">
        <v>114</v>
      </c>
      <c r="Q375" t="s">
        <v>134</v>
      </c>
      <c r="R375" t="s">
        <v>114</v>
      </c>
      <c r="S375" t="s">
        <v>59</v>
      </c>
      <c r="T375" t="s">
        <v>95</v>
      </c>
      <c r="U375">
        <v>5</v>
      </c>
      <c r="V375" t="s">
        <v>124</v>
      </c>
      <c r="W375" t="s">
        <v>82</v>
      </c>
      <c r="X375" t="s">
        <v>149</v>
      </c>
      <c r="Y375">
        <v>2</v>
      </c>
      <c r="Z375">
        <v>3</v>
      </c>
      <c r="AA375">
        <v>44.1</v>
      </c>
      <c r="AB375">
        <v>-1</v>
      </c>
      <c r="AC375" t="s">
        <v>124</v>
      </c>
      <c r="AD375">
        <v>3</v>
      </c>
      <c r="AE375">
        <v>2</v>
      </c>
      <c r="AF375">
        <v>0</v>
      </c>
      <c r="AG375">
        <v>2.2959999999999998</v>
      </c>
      <c r="AH375">
        <v>0.2</v>
      </c>
      <c r="AI375">
        <v>-1</v>
      </c>
      <c r="AL375" t="str">
        <f t="shared" si="42"/>
        <v/>
      </c>
      <c r="AM375">
        <f>VLOOKUP(TRIM(N375),'[1]All - Durations'!$E$2:$H$109,4,FALSE)</f>
        <v>0.86099999999999999</v>
      </c>
      <c r="AN375" t="e">
        <f t="shared" si="43"/>
        <v>#VALUE!</v>
      </c>
      <c r="AO375" t="str">
        <f t="shared" si="44"/>
        <v/>
      </c>
    </row>
    <row r="376" spans="1:41" x14ac:dyDescent="0.25">
      <c r="A376">
        <v>259</v>
      </c>
      <c r="B376" t="s">
        <v>35</v>
      </c>
      <c r="C376">
        <v>3</v>
      </c>
      <c r="D376" t="s">
        <v>36</v>
      </c>
      <c r="E376">
        <v>3</v>
      </c>
      <c r="F376" t="s">
        <v>37</v>
      </c>
      <c r="G376">
        <v>6</v>
      </c>
      <c r="H376">
        <v>10</v>
      </c>
      <c r="I376">
        <v>1</v>
      </c>
      <c r="J376">
        <v>15</v>
      </c>
      <c r="K376">
        <v>17</v>
      </c>
      <c r="L376">
        <v>61</v>
      </c>
      <c r="M376">
        <v>2</v>
      </c>
      <c r="N376" t="s">
        <v>125</v>
      </c>
      <c r="O376" t="s">
        <v>113</v>
      </c>
      <c r="P376" t="s">
        <v>114</v>
      </c>
      <c r="Q376" t="s">
        <v>126</v>
      </c>
      <c r="R376" t="s">
        <v>114</v>
      </c>
      <c r="S376" t="s">
        <v>92</v>
      </c>
      <c r="T376" t="s">
        <v>127</v>
      </c>
      <c r="U376">
        <v>1</v>
      </c>
      <c r="V376" t="s">
        <v>179</v>
      </c>
      <c r="W376" t="s">
        <v>96</v>
      </c>
      <c r="X376" t="s">
        <v>131</v>
      </c>
      <c r="Y376">
        <v>2</v>
      </c>
      <c r="Z376">
        <v>3</v>
      </c>
      <c r="AA376">
        <v>44.1</v>
      </c>
      <c r="AB376">
        <v>-1</v>
      </c>
      <c r="AC376" t="s">
        <v>127</v>
      </c>
      <c r="AD376">
        <v>1</v>
      </c>
      <c r="AE376">
        <v>1</v>
      </c>
      <c r="AF376">
        <v>1</v>
      </c>
      <c r="AG376">
        <v>2.2959999999999998</v>
      </c>
      <c r="AH376">
        <v>0.33300000000000002</v>
      </c>
      <c r="AI376">
        <v>-1</v>
      </c>
      <c r="AL376" t="str">
        <f t="shared" si="42"/>
        <v/>
      </c>
      <c r="AM376">
        <f>VLOOKUP(TRIM(N376),'[1]All - Durations'!$E$2:$H$109,4,FALSE)</f>
        <v>0.94899999999999995</v>
      </c>
      <c r="AN376" t="e">
        <f t="shared" si="43"/>
        <v>#VALUE!</v>
      </c>
      <c r="AO376" t="str">
        <f t="shared" si="44"/>
        <v/>
      </c>
    </row>
    <row r="377" spans="1:41" x14ac:dyDescent="0.25">
      <c r="A377">
        <v>259</v>
      </c>
      <c r="B377" t="s">
        <v>35</v>
      </c>
      <c r="C377">
        <v>3</v>
      </c>
      <c r="D377" t="s">
        <v>36</v>
      </c>
      <c r="E377">
        <v>3</v>
      </c>
      <c r="F377" t="s">
        <v>37</v>
      </c>
      <c r="G377">
        <v>6</v>
      </c>
      <c r="H377">
        <v>10</v>
      </c>
      <c r="I377">
        <v>1</v>
      </c>
      <c r="J377">
        <v>16</v>
      </c>
      <c r="K377">
        <v>13</v>
      </c>
      <c r="L377">
        <v>71</v>
      </c>
      <c r="M377">
        <v>2</v>
      </c>
      <c r="N377" t="s">
        <v>143</v>
      </c>
      <c r="O377" t="s">
        <v>113</v>
      </c>
      <c r="P377" t="s">
        <v>114</v>
      </c>
      <c r="Q377" t="s">
        <v>115</v>
      </c>
      <c r="R377" t="s">
        <v>114</v>
      </c>
      <c r="S377" t="s">
        <v>59</v>
      </c>
      <c r="T377" t="s">
        <v>46</v>
      </c>
      <c r="U377">
        <v>2</v>
      </c>
      <c r="V377" t="s">
        <v>87</v>
      </c>
      <c r="W377" t="s">
        <v>45</v>
      </c>
      <c r="X377" t="s">
        <v>110</v>
      </c>
      <c r="Y377">
        <v>2</v>
      </c>
      <c r="Z377">
        <v>3</v>
      </c>
      <c r="AA377">
        <v>44.1</v>
      </c>
      <c r="AB377">
        <v>-1</v>
      </c>
      <c r="AC377" t="s">
        <v>46</v>
      </c>
      <c r="AD377">
        <v>1</v>
      </c>
      <c r="AE377">
        <v>2</v>
      </c>
      <c r="AF377">
        <v>1</v>
      </c>
      <c r="AG377">
        <v>2.3359999999999999</v>
      </c>
      <c r="AH377">
        <v>0.183</v>
      </c>
      <c r="AI377">
        <v>-1</v>
      </c>
      <c r="AL377" t="str">
        <f t="shared" si="42"/>
        <v/>
      </c>
      <c r="AM377">
        <f>VLOOKUP(TRIM(N377),'[1]All - Durations'!$E$2:$H$109,4,FALSE)</f>
        <v>0.82799999999999996</v>
      </c>
      <c r="AN377" t="e">
        <f t="shared" si="43"/>
        <v>#VALUE!</v>
      </c>
      <c r="AO377" t="str">
        <f t="shared" si="44"/>
        <v/>
      </c>
    </row>
    <row r="378" spans="1:41" x14ac:dyDescent="0.25">
      <c r="A378">
        <v>259</v>
      </c>
      <c r="B378" t="s">
        <v>35</v>
      </c>
      <c r="C378">
        <v>3</v>
      </c>
      <c r="D378" t="s">
        <v>36</v>
      </c>
      <c r="E378">
        <v>3</v>
      </c>
      <c r="F378" t="s">
        <v>37</v>
      </c>
      <c r="G378">
        <v>6</v>
      </c>
      <c r="H378">
        <v>10</v>
      </c>
      <c r="I378">
        <v>1</v>
      </c>
      <c r="J378">
        <v>17</v>
      </c>
      <c r="K378">
        <v>22</v>
      </c>
      <c r="L378">
        <v>28</v>
      </c>
      <c r="M378">
        <v>1</v>
      </c>
      <c r="N378" t="s">
        <v>117</v>
      </c>
      <c r="O378" t="s">
        <v>113</v>
      </c>
      <c r="P378" t="s">
        <v>114</v>
      </c>
      <c r="Q378" t="s">
        <v>118</v>
      </c>
      <c r="R378" t="s">
        <v>114</v>
      </c>
      <c r="S378" t="s">
        <v>52</v>
      </c>
      <c r="T378" t="s">
        <v>119</v>
      </c>
      <c r="U378">
        <v>4</v>
      </c>
      <c r="V378" t="s">
        <v>214</v>
      </c>
      <c r="W378" t="s">
        <v>98</v>
      </c>
      <c r="X378" t="s">
        <v>86</v>
      </c>
      <c r="Y378">
        <v>2</v>
      </c>
      <c r="Z378">
        <v>3</v>
      </c>
      <c r="AA378">
        <v>44.1</v>
      </c>
      <c r="AB378">
        <v>-1</v>
      </c>
      <c r="AC378" t="s">
        <v>214</v>
      </c>
      <c r="AD378">
        <v>3</v>
      </c>
      <c r="AE378">
        <v>2</v>
      </c>
      <c r="AF378">
        <v>0</v>
      </c>
      <c r="AG378">
        <v>3.181</v>
      </c>
      <c r="AH378">
        <v>0.217</v>
      </c>
      <c r="AI378">
        <v>-1</v>
      </c>
      <c r="AL378" t="str">
        <f t="shared" si="42"/>
        <v/>
      </c>
      <c r="AM378">
        <f>VLOOKUP(TRIM(N378),'[1]All - Durations'!$E$2:$H$109,4,FALSE)</f>
        <v>0.97</v>
      </c>
      <c r="AN378" t="e">
        <f t="shared" si="43"/>
        <v>#VALUE!</v>
      </c>
      <c r="AO378" t="str">
        <f t="shared" si="44"/>
        <v/>
      </c>
    </row>
    <row r="379" spans="1:41" x14ac:dyDescent="0.25">
      <c r="A379">
        <v>259</v>
      </c>
      <c r="B379" t="s">
        <v>35</v>
      </c>
      <c r="C379">
        <v>3</v>
      </c>
      <c r="D379" t="s">
        <v>36</v>
      </c>
      <c r="E379">
        <v>3</v>
      </c>
      <c r="F379" t="s">
        <v>37</v>
      </c>
      <c r="G379">
        <v>6</v>
      </c>
      <c r="H379">
        <v>10</v>
      </c>
      <c r="I379">
        <v>1</v>
      </c>
      <c r="J379">
        <v>18</v>
      </c>
      <c r="K379">
        <v>18</v>
      </c>
      <c r="L379">
        <v>62</v>
      </c>
      <c r="M379">
        <v>2</v>
      </c>
      <c r="N379" t="s">
        <v>142</v>
      </c>
      <c r="O379" t="s">
        <v>113</v>
      </c>
      <c r="P379" t="s">
        <v>114</v>
      </c>
      <c r="Q379" t="s">
        <v>126</v>
      </c>
      <c r="R379" t="s">
        <v>114</v>
      </c>
      <c r="S379" t="s">
        <v>52</v>
      </c>
      <c r="T379" t="s">
        <v>128</v>
      </c>
      <c r="U379">
        <v>1</v>
      </c>
      <c r="V379" t="s">
        <v>127</v>
      </c>
      <c r="W379" t="s">
        <v>146</v>
      </c>
      <c r="X379" t="s">
        <v>67</v>
      </c>
      <c r="Y379">
        <v>1</v>
      </c>
      <c r="Z379">
        <v>3</v>
      </c>
      <c r="AA379">
        <v>44.1</v>
      </c>
      <c r="AB379">
        <v>-1</v>
      </c>
      <c r="AC379" t="s">
        <v>146</v>
      </c>
      <c r="AD379">
        <v>4</v>
      </c>
      <c r="AE379">
        <v>5</v>
      </c>
      <c r="AF379">
        <v>0</v>
      </c>
      <c r="AG379">
        <v>1.948</v>
      </c>
      <c r="AH379">
        <v>0.3</v>
      </c>
      <c r="AI379">
        <v>-1</v>
      </c>
      <c r="AL379" t="str">
        <f t="shared" si="42"/>
        <v/>
      </c>
      <c r="AM379">
        <f>VLOOKUP(TRIM(N379),'[1]All - Durations'!$E$2:$H$109,4,FALSE)</f>
        <v>1.1259999999999999</v>
      </c>
      <c r="AN379" t="e">
        <f t="shared" si="43"/>
        <v>#VALUE!</v>
      </c>
      <c r="AO379" t="str">
        <f t="shared" si="44"/>
        <v/>
      </c>
    </row>
    <row r="380" spans="1:41" x14ac:dyDescent="0.25">
      <c r="A380">
        <v>259</v>
      </c>
      <c r="B380" t="s">
        <v>35</v>
      </c>
      <c r="C380">
        <v>3</v>
      </c>
      <c r="D380" t="s">
        <v>36</v>
      </c>
      <c r="E380">
        <v>3</v>
      </c>
      <c r="F380" t="s">
        <v>37</v>
      </c>
      <c r="G380">
        <v>6</v>
      </c>
      <c r="H380">
        <v>10</v>
      </c>
      <c r="I380">
        <v>1</v>
      </c>
      <c r="J380">
        <v>19</v>
      </c>
      <c r="K380">
        <v>15</v>
      </c>
      <c r="L380">
        <v>25</v>
      </c>
      <c r="M380">
        <v>1</v>
      </c>
      <c r="N380" t="s">
        <v>122</v>
      </c>
      <c r="O380" t="s">
        <v>113</v>
      </c>
      <c r="P380" t="s">
        <v>114</v>
      </c>
      <c r="Q380" t="s">
        <v>123</v>
      </c>
      <c r="R380" t="s">
        <v>114</v>
      </c>
      <c r="S380" t="s">
        <v>59</v>
      </c>
      <c r="T380" t="s">
        <v>124</v>
      </c>
      <c r="U380">
        <v>1</v>
      </c>
      <c r="V380" t="s">
        <v>130</v>
      </c>
      <c r="W380" t="s">
        <v>166</v>
      </c>
      <c r="X380" t="s">
        <v>144</v>
      </c>
      <c r="Y380">
        <v>1</v>
      </c>
      <c r="Z380">
        <v>3</v>
      </c>
      <c r="AA380">
        <v>44.1</v>
      </c>
      <c r="AB380">
        <v>-1</v>
      </c>
      <c r="AC380" t="s">
        <v>124</v>
      </c>
      <c r="AD380">
        <v>1</v>
      </c>
      <c r="AE380">
        <v>1</v>
      </c>
      <c r="AF380">
        <v>1</v>
      </c>
      <c r="AG380">
        <v>2.63</v>
      </c>
      <c r="AH380">
        <v>0.65</v>
      </c>
      <c r="AI380">
        <v>-1</v>
      </c>
      <c r="AL380" t="str">
        <f t="shared" si="42"/>
        <v/>
      </c>
      <c r="AM380">
        <f>VLOOKUP(TRIM(N380),'[1]All - Durations'!$E$2:$H$109,4,FALSE)</f>
        <v>0.83899999999999997</v>
      </c>
      <c r="AN380" t="e">
        <f t="shared" si="43"/>
        <v>#VALUE!</v>
      </c>
      <c r="AO380" t="str">
        <f t="shared" si="44"/>
        <v/>
      </c>
    </row>
    <row r="381" spans="1:41" x14ac:dyDescent="0.25">
      <c r="A381">
        <v>259</v>
      </c>
      <c r="B381" t="s">
        <v>35</v>
      </c>
      <c r="C381">
        <v>3</v>
      </c>
      <c r="D381" t="s">
        <v>36</v>
      </c>
      <c r="E381">
        <v>3</v>
      </c>
      <c r="F381" t="s">
        <v>37</v>
      </c>
      <c r="G381">
        <v>6</v>
      </c>
      <c r="H381">
        <v>10</v>
      </c>
      <c r="I381">
        <v>1</v>
      </c>
      <c r="J381">
        <v>20</v>
      </c>
      <c r="K381">
        <v>24</v>
      </c>
      <c r="L381">
        <v>68</v>
      </c>
      <c r="M381">
        <v>2</v>
      </c>
      <c r="N381" t="s">
        <v>135</v>
      </c>
      <c r="O381" t="s">
        <v>113</v>
      </c>
      <c r="P381" t="s">
        <v>114</v>
      </c>
      <c r="Q381" t="s">
        <v>136</v>
      </c>
      <c r="R381" t="s">
        <v>114</v>
      </c>
      <c r="S381" t="s">
        <v>52</v>
      </c>
      <c r="T381" t="s">
        <v>74</v>
      </c>
      <c r="U381">
        <v>5</v>
      </c>
      <c r="V381" t="s">
        <v>128</v>
      </c>
      <c r="W381" t="s">
        <v>85</v>
      </c>
      <c r="X381" t="s">
        <v>121</v>
      </c>
      <c r="Y381">
        <v>2</v>
      </c>
      <c r="Z381">
        <v>3</v>
      </c>
      <c r="AA381">
        <v>44.1</v>
      </c>
      <c r="AB381">
        <v>-1</v>
      </c>
      <c r="AC381" t="s">
        <v>85</v>
      </c>
      <c r="AD381">
        <v>4</v>
      </c>
      <c r="AE381">
        <v>1</v>
      </c>
      <c r="AF381">
        <v>0</v>
      </c>
      <c r="AG381">
        <v>1.468</v>
      </c>
      <c r="AH381">
        <v>0.28299999999999997</v>
      </c>
      <c r="AI381">
        <v>-1</v>
      </c>
      <c r="AL381" t="str">
        <f t="shared" si="42"/>
        <v/>
      </c>
      <c r="AM381">
        <f>VLOOKUP(TRIM(N381),'[1]All - Durations'!$E$2:$H$109,4,FALSE)</f>
        <v>1.0209999999999999</v>
      </c>
      <c r="AN381" t="e">
        <f t="shared" si="43"/>
        <v>#VALUE!</v>
      </c>
      <c r="AO381" t="str">
        <f t="shared" si="44"/>
        <v/>
      </c>
    </row>
    <row r="382" spans="1:41" x14ac:dyDescent="0.25">
      <c r="A382">
        <v>259</v>
      </c>
      <c r="B382" t="s">
        <v>35</v>
      </c>
      <c r="C382">
        <v>3</v>
      </c>
      <c r="D382" t="s">
        <v>36</v>
      </c>
      <c r="E382">
        <v>3</v>
      </c>
      <c r="F382" t="s">
        <v>37</v>
      </c>
      <c r="G382">
        <v>6</v>
      </c>
      <c r="H382">
        <v>10</v>
      </c>
      <c r="I382">
        <v>1</v>
      </c>
      <c r="J382">
        <v>21</v>
      </c>
      <c r="K382">
        <v>21</v>
      </c>
      <c r="L382">
        <v>27</v>
      </c>
      <c r="M382">
        <v>1</v>
      </c>
      <c r="N382" t="s">
        <v>129</v>
      </c>
      <c r="O382" t="s">
        <v>113</v>
      </c>
      <c r="P382" t="s">
        <v>114</v>
      </c>
      <c r="Q382" t="s">
        <v>118</v>
      </c>
      <c r="R382" t="s">
        <v>114</v>
      </c>
      <c r="S382" t="s">
        <v>92</v>
      </c>
      <c r="T382" t="s">
        <v>120</v>
      </c>
      <c r="U382">
        <v>4</v>
      </c>
      <c r="V382" t="s">
        <v>119</v>
      </c>
      <c r="W382" t="s">
        <v>161</v>
      </c>
      <c r="X382" t="s">
        <v>156</v>
      </c>
      <c r="Y382">
        <v>1</v>
      </c>
      <c r="Z382">
        <v>3</v>
      </c>
      <c r="AA382">
        <v>44.1</v>
      </c>
      <c r="AB382">
        <v>-1</v>
      </c>
      <c r="AC382" t="s">
        <v>119</v>
      </c>
      <c r="AD382">
        <v>2</v>
      </c>
      <c r="AE382">
        <v>1</v>
      </c>
      <c r="AF382">
        <v>0</v>
      </c>
      <c r="AG382">
        <v>2.653</v>
      </c>
      <c r="AH382">
        <v>0.68300000000000005</v>
      </c>
      <c r="AI382">
        <v>-1</v>
      </c>
      <c r="AL382" t="str">
        <f t="shared" si="42"/>
        <v/>
      </c>
      <c r="AM382">
        <f>VLOOKUP(TRIM(N382),'[1]All - Durations'!$E$2:$H$109,4,FALSE)</f>
        <v>0.92900000000000005</v>
      </c>
      <c r="AN382" t="e">
        <f t="shared" si="43"/>
        <v>#VALUE!</v>
      </c>
      <c r="AO382" t="str">
        <f t="shared" si="44"/>
        <v/>
      </c>
    </row>
    <row r="383" spans="1:41" x14ac:dyDescent="0.25">
      <c r="A383">
        <v>259</v>
      </c>
      <c r="B383" t="s">
        <v>35</v>
      </c>
      <c r="C383">
        <v>3</v>
      </c>
      <c r="D383" t="s">
        <v>36</v>
      </c>
      <c r="E383">
        <v>3</v>
      </c>
      <c r="F383" t="s">
        <v>37</v>
      </c>
      <c r="G383">
        <v>6</v>
      </c>
      <c r="H383">
        <v>10</v>
      </c>
      <c r="I383">
        <v>1</v>
      </c>
      <c r="J383">
        <v>22</v>
      </c>
      <c r="K383">
        <v>16</v>
      </c>
      <c r="L383">
        <v>26</v>
      </c>
      <c r="M383">
        <v>1</v>
      </c>
      <c r="N383" t="s">
        <v>148</v>
      </c>
      <c r="O383" t="s">
        <v>113</v>
      </c>
      <c r="P383" t="s">
        <v>114</v>
      </c>
      <c r="Q383" t="s">
        <v>123</v>
      </c>
      <c r="R383" t="s">
        <v>114</v>
      </c>
      <c r="S383" t="s">
        <v>92</v>
      </c>
      <c r="T383" t="s">
        <v>130</v>
      </c>
      <c r="U383">
        <v>2</v>
      </c>
      <c r="V383" t="s">
        <v>137</v>
      </c>
      <c r="W383" t="s">
        <v>60</v>
      </c>
      <c r="X383" t="s">
        <v>132</v>
      </c>
      <c r="Y383">
        <v>2</v>
      </c>
      <c r="Z383">
        <v>3</v>
      </c>
      <c r="AA383">
        <v>44.1</v>
      </c>
      <c r="AB383">
        <v>-1</v>
      </c>
      <c r="AC383" t="s">
        <v>60</v>
      </c>
      <c r="AD383">
        <v>4</v>
      </c>
      <c r="AE383">
        <v>1</v>
      </c>
      <c r="AF383">
        <v>0</v>
      </c>
      <c r="AG383">
        <v>3.1280000000000001</v>
      </c>
      <c r="AH383">
        <v>0.23300000000000001</v>
      </c>
      <c r="AI383">
        <v>-1</v>
      </c>
      <c r="AL383" t="str">
        <f t="shared" si="42"/>
        <v/>
      </c>
      <c r="AM383">
        <f>VLOOKUP(TRIM(N383),'[1]All - Durations'!$E$2:$H$109,4,FALSE)</f>
        <v>0.90400000000000003</v>
      </c>
      <c r="AN383" t="e">
        <f t="shared" si="43"/>
        <v>#VALUE!</v>
      </c>
      <c r="AO383" t="str">
        <f t="shared" si="44"/>
        <v/>
      </c>
    </row>
    <row r="384" spans="1:41" x14ac:dyDescent="0.25">
      <c r="A384">
        <v>259</v>
      </c>
      <c r="B384" t="s">
        <v>35</v>
      </c>
      <c r="C384">
        <v>3</v>
      </c>
      <c r="D384" t="s">
        <v>36</v>
      </c>
      <c r="E384">
        <v>3</v>
      </c>
      <c r="F384" t="s">
        <v>37</v>
      </c>
      <c r="G384">
        <v>6</v>
      </c>
      <c r="H384">
        <v>10</v>
      </c>
      <c r="I384">
        <v>1</v>
      </c>
      <c r="J384">
        <v>23</v>
      </c>
      <c r="K384">
        <v>23</v>
      </c>
      <c r="L384">
        <v>67</v>
      </c>
      <c r="M384">
        <v>2</v>
      </c>
      <c r="N384" t="s">
        <v>145</v>
      </c>
      <c r="O384" t="s">
        <v>113</v>
      </c>
      <c r="P384" t="s">
        <v>114</v>
      </c>
      <c r="Q384" t="s">
        <v>136</v>
      </c>
      <c r="R384" t="s">
        <v>114</v>
      </c>
      <c r="S384" t="s">
        <v>92</v>
      </c>
      <c r="T384" t="s">
        <v>137</v>
      </c>
      <c r="U384">
        <v>1</v>
      </c>
      <c r="V384" t="s">
        <v>74</v>
      </c>
      <c r="W384" t="s">
        <v>147</v>
      </c>
      <c r="X384" t="s">
        <v>55</v>
      </c>
      <c r="Y384">
        <v>1</v>
      </c>
      <c r="Z384">
        <v>3</v>
      </c>
      <c r="AA384">
        <v>44.1</v>
      </c>
      <c r="AB384">
        <v>-1</v>
      </c>
      <c r="AC384" t="s">
        <v>137</v>
      </c>
      <c r="AD384">
        <v>1</v>
      </c>
      <c r="AE384">
        <v>1</v>
      </c>
      <c r="AF384">
        <v>1</v>
      </c>
      <c r="AG384">
        <v>0.748</v>
      </c>
      <c r="AH384">
        <v>0.23300000000000001</v>
      </c>
      <c r="AI384">
        <v>-1</v>
      </c>
      <c r="AL384" t="str">
        <f t="shared" si="42"/>
        <v/>
      </c>
      <c r="AM384">
        <f>VLOOKUP(TRIM(N384),'[1]All - Durations'!$E$2:$H$109,4,FALSE)</f>
        <v>0.96199999999999997</v>
      </c>
      <c r="AN384" t="e">
        <f t="shared" si="43"/>
        <v>#VALUE!</v>
      </c>
      <c r="AO384" t="str">
        <f t="shared" si="44"/>
        <v/>
      </c>
    </row>
    <row r="385" spans="1:41" x14ac:dyDescent="0.25">
      <c r="A385">
        <v>259</v>
      </c>
      <c r="B385" t="s">
        <v>35</v>
      </c>
      <c r="C385">
        <v>3</v>
      </c>
      <c r="D385" t="s">
        <v>36</v>
      </c>
      <c r="E385">
        <v>3</v>
      </c>
      <c r="F385" t="s">
        <v>37</v>
      </c>
      <c r="G385">
        <v>6</v>
      </c>
      <c r="H385">
        <v>10</v>
      </c>
      <c r="I385">
        <v>1</v>
      </c>
      <c r="J385">
        <v>24</v>
      </c>
      <c r="K385">
        <v>20</v>
      </c>
      <c r="L385">
        <v>64</v>
      </c>
      <c r="M385">
        <v>2</v>
      </c>
      <c r="N385" t="s">
        <v>133</v>
      </c>
      <c r="O385" t="s">
        <v>113</v>
      </c>
      <c r="P385" t="s">
        <v>114</v>
      </c>
      <c r="Q385" t="s">
        <v>134</v>
      </c>
      <c r="R385" t="s">
        <v>114</v>
      </c>
      <c r="S385" t="s">
        <v>43</v>
      </c>
      <c r="T385" t="s">
        <v>100</v>
      </c>
      <c r="U385">
        <v>5</v>
      </c>
      <c r="V385" t="s">
        <v>95</v>
      </c>
      <c r="W385" t="s">
        <v>62</v>
      </c>
      <c r="X385" t="s">
        <v>93</v>
      </c>
      <c r="Y385">
        <v>1</v>
      </c>
      <c r="Z385">
        <v>3</v>
      </c>
      <c r="AA385">
        <v>44.1</v>
      </c>
      <c r="AB385">
        <v>-1</v>
      </c>
      <c r="AC385" t="s">
        <v>100</v>
      </c>
      <c r="AD385">
        <v>1</v>
      </c>
      <c r="AE385">
        <v>5</v>
      </c>
      <c r="AF385">
        <v>1</v>
      </c>
      <c r="AG385">
        <v>0.65400000000000003</v>
      </c>
      <c r="AH385">
        <v>0.26700000000000002</v>
      </c>
      <c r="AI385">
        <v>-1</v>
      </c>
      <c r="AL385" t="str">
        <f t="shared" si="42"/>
        <v/>
      </c>
      <c r="AM385">
        <f>VLOOKUP(TRIM(N385),'[1]All - Durations'!$E$2:$H$109,4,FALSE)</f>
        <v>0.80200000000000005</v>
      </c>
      <c r="AN385" t="e">
        <f t="shared" si="43"/>
        <v>#VALUE!</v>
      </c>
      <c r="AO385" t="str">
        <f t="shared" si="44"/>
        <v/>
      </c>
    </row>
    <row r="386" spans="1:41" x14ac:dyDescent="0.25">
      <c r="A386">
        <v>259</v>
      </c>
      <c r="B386" t="s">
        <v>35</v>
      </c>
      <c r="C386">
        <v>3</v>
      </c>
      <c r="D386" t="s">
        <v>36</v>
      </c>
      <c r="E386">
        <v>3</v>
      </c>
      <c r="F386" t="s">
        <v>37</v>
      </c>
      <c r="G386">
        <v>6</v>
      </c>
      <c r="H386">
        <v>10</v>
      </c>
      <c r="I386">
        <v>1</v>
      </c>
      <c r="J386">
        <v>25</v>
      </c>
      <c r="K386">
        <v>26</v>
      </c>
      <c r="L386">
        <v>60</v>
      </c>
      <c r="M386">
        <v>2</v>
      </c>
      <c r="N386" t="s">
        <v>157</v>
      </c>
      <c r="O386" t="s">
        <v>151</v>
      </c>
      <c r="P386" t="s">
        <v>158</v>
      </c>
      <c r="Q386" t="s">
        <v>159</v>
      </c>
      <c r="R386" t="s">
        <v>160</v>
      </c>
      <c r="S386" t="s">
        <v>43</v>
      </c>
      <c r="T386" t="s">
        <v>161</v>
      </c>
      <c r="U386">
        <v>1</v>
      </c>
      <c r="V386" t="s">
        <v>103</v>
      </c>
      <c r="W386" t="s">
        <v>172</v>
      </c>
      <c r="X386" t="s">
        <v>127</v>
      </c>
      <c r="Y386">
        <v>1</v>
      </c>
      <c r="Z386">
        <v>3</v>
      </c>
      <c r="AA386">
        <v>44.1</v>
      </c>
      <c r="AB386">
        <v>-1</v>
      </c>
      <c r="AC386" t="s">
        <v>161</v>
      </c>
      <c r="AD386">
        <v>1</v>
      </c>
      <c r="AE386">
        <v>1</v>
      </c>
      <c r="AF386">
        <v>1</v>
      </c>
      <c r="AG386">
        <v>2.653</v>
      </c>
      <c r="AH386">
        <v>0.26700000000000002</v>
      </c>
      <c r="AI386">
        <v>-1</v>
      </c>
      <c r="AL386" t="str">
        <f t="shared" si="42"/>
        <v/>
      </c>
      <c r="AM386">
        <f>VLOOKUP(TRIM(N386),'[1]All - Durations'!$E$2:$H$109,4,FALSE)</f>
        <v>1.0549999999999999</v>
      </c>
      <c r="AN386" t="e">
        <f t="shared" si="43"/>
        <v>#VALUE!</v>
      </c>
      <c r="AO386" t="str">
        <f t="shared" si="44"/>
        <v/>
      </c>
    </row>
    <row r="387" spans="1:41" x14ac:dyDescent="0.25">
      <c r="A387">
        <v>259</v>
      </c>
      <c r="B387" t="s">
        <v>35</v>
      </c>
      <c r="C387">
        <v>3</v>
      </c>
      <c r="D387" t="s">
        <v>36</v>
      </c>
      <c r="E387">
        <v>3</v>
      </c>
      <c r="F387" t="s">
        <v>37</v>
      </c>
      <c r="G387">
        <v>6</v>
      </c>
      <c r="H387">
        <v>10</v>
      </c>
      <c r="I387">
        <v>1</v>
      </c>
      <c r="J387">
        <v>26</v>
      </c>
      <c r="K387">
        <v>32</v>
      </c>
      <c r="L387">
        <v>52</v>
      </c>
      <c r="M387">
        <v>2</v>
      </c>
      <c r="N387" t="s">
        <v>188</v>
      </c>
      <c r="O387" t="s">
        <v>151</v>
      </c>
      <c r="P387" t="s">
        <v>177</v>
      </c>
      <c r="Q387" t="s">
        <v>178</v>
      </c>
      <c r="R387" t="s">
        <v>160</v>
      </c>
      <c r="S387" t="s">
        <v>43</v>
      </c>
      <c r="T387" t="s">
        <v>108</v>
      </c>
      <c r="U387">
        <v>1</v>
      </c>
      <c r="V387" t="s">
        <v>139</v>
      </c>
      <c r="W387" t="s">
        <v>128</v>
      </c>
      <c r="X387" t="s">
        <v>79</v>
      </c>
      <c r="Y387">
        <v>1</v>
      </c>
      <c r="Z387">
        <v>3</v>
      </c>
      <c r="AA387">
        <v>44.1</v>
      </c>
      <c r="AB387">
        <v>-1</v>
      </c>
      <c r="AC387" t="s">
        <v>139</v>
      </c>
      <c r="AD387">
        <v>2</v>
      </c>
      <c r="AE387">
        <v>5</v>
      </c>
      <c r="AF387">
        <v>0</v>
      </c>
      <c r="AG387">
        <v>2.641</v>
      </c>
      <c r="AH387">
        <v>0.3</v>
      </c>
      <c r="AI387">
        <v>-1</v>
      </c>
      <c r="AL387" t="str">
        <f t="shared" ref="AL387:AL450" si="45">IF(ISNUMBER(AK387), AK387, IF(AND(AK387="",AJ387=""),"",IF(AK387="",AJ387,"")))</f>
        <v/>
      </c>
      <c r="AM387">
        <f>VLOOKUP(TRIM(N387),'[1]All - Durations'!$E$2:$H$109,4,FALSE)</f>
        <v>0.90400000000000003</v>
      </c>
      <c r="AN387" t="e">
        <f t="shared" ref="AN387:AN450" si="46">AL387-AM387</f>
        <v>#VALUE!</v>
      </c>
      <c r="AO387" t="str">
        <f t="shared" ref="AO387:AO450" si="47">IF(ISNUMBER(AN387), AN387, "")</f>
        <v/>
      </c>
    </row>
    <row r="388" spans="1:41" x14ac:dyDescent="0.25">
      <c r="A388">
        <v>259</v>
      </c>
      <c r="B388" t="s">
        <v>35</v>
      </c>
      <c r="C388">
        <v>3</v>
      </c>
      <c r="D388" t="s">
        <v>36</v>
      </c>
      <c r="E388">
        <v>3</v>
      </c>
      <c r="F388" t="s">
        <v>37</v>
      </c>
      <c r="G388">
        <v>6</v>
      </c>
      <c r="H388">
        <v>10</v>
      </c>
      <c r="I388">
        <v>1</v>
      </c>
      <c r="J388">
        <v>27</v>
      </c>
      <c r="K388">
        <v>29</v>
      </c>
      <c r="L388">
        <v>49</v>
      </c>
      <c r="M388">
        <v>2</v>
      </c>
      <c r="N388" t="s">
        <v>180</v>
      </c>
      <c r="O388" t="s">
        <v>151</v>
      </c>
      <c r="P388" t="s">
        <v>181</v>
      </c>
      <c r="Q388" t="s">
        <v>182</v>
      </c>
      <c r="R388" t="s">
        <v>154</v>
      </c>
      <c r="S388" t="s">
        <v>92</v>
      </c>
      <c r="T388" t="s">
        <v>183</v>
      </c>
      <c r="U388">
        <v>4</v>
      </c>
      <c r="V388" t="s">
        <v>187</v>
      </c>
      <c r="W388" t="s">
        <v>138</v>
      </c>
      <c r="X388" t="s">
        <v>116</v>
      </c>
      <c r="Y388">
        <v>1</v>
      </c>
      <c r="Z388">
        <v>3</v>
      </c>
      <c r="AA388">
        <v>44.1</v>
      </c>
      <c r="AB388">
        <v>-1</v>
      </c>
      <c r="AC388" t="s">
        <v>187</v>
      </c>
      <c r="AD388">
        <v>2</v>
      </c>
      <c r="AE388">
        <v>1</v>
      </c>
      <c r="AF388">
        <v>0</v>
      </c>
      <c r="AG388">
        <v>1.7350000000000001</v>
      </c>
      <c r="AH388">
        <v>0.28299999999999997</v>
      </c>
      <c r="AI388">
        <v>-1</v>
      </c>
      <c r="AL388" t="str">
        <f t="shared" si="45"/>
        <v/>
      </c>
      <c r="AM388">
        <f>VLOOKUP(TRIM(N388),'[1]All - Durations'!$E$2:$H$109,4,FALSE)</f>
        <v>0.81799999999999995</v>
      </c>
      <c r="AN388" t="e">
        <f t="shared" si="46"/>
        <v>#VALUE!</v>
      </c>
      <c r="AO388" t="str">
        <f t="shared" si="47"/>
        <v/>
      </c>
    </row>
    <row r="389" spans="1:41" x14ac:dyDescent="0.25">
      <c r="A389">
        <v>259</v>
      </c>
      <c r="B389" t="s">
        <v>35</v>
      </c>
      <c r="C389">
        <v>3</v>
      </c>
      <c r="D389" t="s">
        <v>36</v>
      </c>
      <c r="E389">
        <v>3</v>
      </c>
      <c r="F389" t="s">
        <v>37</v>
      </c>
      <c r="G389">
        <v>6</v>
      </c>
      <c r="H389">
        <v>10</v>
      </c>
      <c r="I389">
        <v>1</v>
      </c>
      <c r="J389">
        <v>28</v>
      </c>
      <c r="K389">
        <v>31</v>
      </c>
      <c r="L389">
        <v>51</v>
      </c>
      <c r="M389">
        <v>2</v>
      </c>
      <c r="N389" t="s">
        <v>176</v>
      </c>
      <c r="O389" t="s">
        <v>151</v>
      </c>
      <c r="P389" t="s">
        <v>177</v>
      </c>
      <c r="Q389" t="s">
        <v>178</v>
      </c>
      <c r="R389" t="s">
        <v>170</v>
      </c>
      <c r="S389" t="s">
        <v>59</v>
      </c>
      <c r="T389" t="s">
        <v>139</v>
      </c>
      <c r="U389">
        <v>2</v>
      </c>
      <c r="V389" t="s">
        <v>204</v>
      </c>
      <c r="W389" t="s">
        <v>69</v>
      </c>
      <c r="X389" t="s">
        <v>102</v>
      </c>
      <c r="Y389">
        <v>2</v>
      </c>
      <c r="Z389">
        <v>3</v>
      </c>
      <c r="AA389">
        <v>44.1</v>
      </c>
      <c r="AB389">
        <v>-1</v>
      </c>
      <c r="AC389" t="s">
        <v>139</v>
      </c>
      <c r="AD389">
        <v>1</v>
      </c>
      <c r="AE389">
        <v>2</v>
      </c>
      <c r="AF389">
        <v>1</v>
      </c>
      <c r="AG389">
        <v>1.98</v>
      </c>
      <c r="AH389">
        <v>0.217</v>
      </c>
      <c r="AI389">
        <v>-1</v>
      </c>
      <c r="AL389" t="str">
        <f t="shared" si="45"/>
        <v/>
      </c>
      <c r="AM389">
        <f>VLOOKUP(TRIM(N389),'[1]All - Durations'!$E$2:$H$109,4,FALSE)</f>
        <v>0.879</v>
      </c>
      <c r="AN389" t="e">
        <f t="shared" si="46"/>
        <v>#VALUE!</v>
      </c>
      <c r="AO389" t="str">
        <f t="shared" si="47"/>
        <v/>
      </c>
    </row>
    <row r="390" spans="1:41" x14ac:dyDescent="0.25">
      <c r="A390">
        <v>259</v>
      </c>
      <c r="B390" t="s">
        <v>35</v>
      </c>
      <c r="C390">
        <v>3</v>
      </c>
      <c r="D390" t="s">
        <v>36</v>
      </c>
      <c r="E390">
        <v>3</v>
      </c>
      <c r="F390" t="s">
        <v>37</v>
      </c>
      <c r="G390">
        <v>6</v>
      </c>
      <c r="H390">
        <v>10</v>
      </c>
      <c r="I390">
        <v>1</v>
      </c>
      <c r="J390">
        <v>29</v>
      </c>
      <c r="K390">
        <v>30</v>
      </c>
      <c r="L390">
        <v>50</v>
      </c>
      <c r="M390">
        <v>2</v>
      </c>
      <c r="N390" t="s">
        <v>186</v>
      </c>
      <c r="O390" t="s">
        <v>151</v>
      </c>
      <c r="P390" t="s">
        <v>181</v>
      </c>
      <c r="Q390" t="s">
        <v>182</v>
      </c>
      <c r="R390" t="s">
        <v>174</v>
      </c>
      <c r="S390" t="s">
        <v>52</v>
      </c>
      <c r="T390" t="s">
        <v>187</v>
      </c>
      <c r="U390">
        <v>5</v>
      </c>
      <c r="V390" t="s">
        <v>47</v>
      </c>
      <c r="W390" t="s">
        <v>100</v>
      </c>
      <c r="X390" t="s">
        <v>85</v>
      </c>
      <c r="Y390">
        <v>2</v>
      </c>
      <c r="Z390">
        <v>3</v>
      </c>
      <c r="AA390">
        <v>44.1</v>
      </c>
      <c r="AB390">
        <v>-1</v>
      </c>
      <c r="AC390" t="s">
        <v>187</v>
      </c>
      <c r="AD390">
        <v>1</v>
      </c>
      <c r="AE390">
        <v>5</v>
      </c>
      <c r="AF390">
        <v>1</v>
      </c>
      <c r="AG390">
        <v>2.2949999999999999</v>
      </c>
      <c r="AH390">
        <v>0.25</v>
      </c>
      <c r="AI390">
        <v>-1</v>
      </c>
      <c r="AL390" t="str">
        <f t="shared" si="45"/>
        <v/>
      </c>
      <c r="AM390">
        <f>VLOOKUP(TRIM(N390),'[1]All - Durations'!$E$2:$H$109,4,FALSE)</f>
        <v>0.89100000000000001</v>
      </c>
      <c r="AN390" t="e">
        <f t="shared" si="46"/>
        <v>#VALUE!</v>
      </c>
      <c r="AO390" t="str">
        <f t="shared" si="47"/>
        <v/>
      </c>
    </row>
    <row r="391" spans="1:41" x14ac:dyDescent="0.25">
      <c r="A391">
        <v>259</v>
      </c>
      <c r="B391" t="s">
        <v>35</v>
      </c>
      <c r="C391">
        <v>3</v>
      </c>
      <c r="D391" t="s">
        <v>36</v>
      </c>
      <c r="E391">
        <v>3</v>
      </c>
      <c r="F391" t="s">
        <v>37</v>
      </c>
      <c r="G391">
        <v>6</v>
      </c>
      <c r="H391">
        <v>10</v>
      </c>
      <c r="I391">
        <v>1</v>
      </c>
      <c r="J391">
        <v>30</v>
      </c>
      <c r="K391">
        <v>34</v>
      </c>
      <c r="L391">
        <v>16</v>
      </c>
      <c r="M391">
        <v>1</v>
      </c>
      <c r="N391" t="s">
        <v>173</v>
      </c>
      <c r="O391" t="s">
        <v>151</v>
      </c>
      <c r="P391" t="s">
        <v>152</v>
      </c>
      <c r="Q391" t="s">
        <v>153</v>
      </c>
      <c r="R391" t="s">
        <v>174</v>
      </c>
      <c r="S391" t="s">
        <v>52</v>
      </c>
      <c r="T391" t="s">
        <v>99</v>
      </c>
      <c r="U391">
        <v>5</v>
      </c>
      <c r="V391" t="s">
        <v>75</v>
      </c>
      <c r="W391" t="s">
        <v>124</v>
      </c>
      <c r="X391" t="s">
        <v>106</v>
      </c>
      <c r="Y391">
        <v>2</v>
      </c>
      <c r="Z391">
        <v>3</v>
      </c>
      <c r="AA391">
        <v>44.1</v>
      </c>
      <c r="AB391">
        <v>-1</v>
      </c>
      <c r="AC391" t="s">
        <v>99</v>
      </c>
      <c r="AD391">
        <v>1</v>
      </c>
      <c r="AE391">
        <v>5</v>
      </c>
      <c r="AF391">
        <v>1</v>
      </c>
      <c r="AG391">
        <v>1.546</v>
      </c>
      <c r="AH391">
        <v>0.25</v>
      </c>
      <c r="AI391">
        <v>-1</v>
      </c>
      <c r="AL391" t="str">
        <f t="shared" si="45"/>
        <v/>
      </c>
      <c r="AM391">
        <f>VLOOKUP(TRIM(N391),'[1]All - Durations'!$E$2:$H$109,4,FALSE)</f>
        <v>0.996</v>
      </c>
      <c r="AN391" t="e">
        <f t="shared" si="46"/>
        <v>#VALUE!</v>
      </c>
      <c r="AO391" t="str">
        <f t="shared" si="47"/>
        <v/>
      </c>
    </row>
    <row r="392" spans="1:41" x14ac:dyDescent="0.25">
      <c r="A392">
        <v>259</v>
      </c>
      <c r="B392" t="s">
        <v>35</v>
      </c>
      <c r="C392">
        <v>3</v>
      </c>
      <c r="D392" t="s">
        <v>36</v>
      </c>
      <c r="E392">
        <v>3</v>
      </c>
      <c r="F392" t="s">
        <v>37</v>
      </c>
      <c r="G392">
        <v>6</v>
      </c>
      <c r="H392">
        <v>10</v>
      </c>
      <c r="I392">
        <v>1</v>
      </c>
      <c r="J392">
        <v>31</v>
      </c>
      <c r="K392">
        <v>36</v>
      </c>
      <c r="L392">
        <v>56</v>
      </c>
      <c r="M392">
        <v>2</v>
      </c>
      <c r="N392" t="s">
        <v>175</v>
      </c>
      <c r="O392" t="s">
        <v>151</v>
      </c>
      <c r="P392" t="s">
        <v>164</v>
      </c>
      <c r="Q392" t="s">
        <v>165</v>
      </c>
      <c r="R392" t="s">
        <v>174</v>
      </c>
      <c r="S392" t="s">
        <v>52</v>
      </c>
      <c r="T392" t="s">
        <v>166</v>
      </c>
      <c r="U392">
        <v>2</v>
      </c>
      <c r="V392" t="s">
        <v>86</v>
      </c>
      <c r="W392" t="s">
        <v>67</v>
      </c>
      <c r="X392" t="s">
        <v>107</v>
      </c>
      <c r="Y392">
        <v>1</v>
      </c>
      <c r="Z392">
        <v>3</v>
      </c>
      <c r="AA392">
        <v>44.1</v>
      </c>
      <c r="AB392">
        <v>-1</v>
      </c>
      <c r="AC392" t="s">
        <v>86</v>
      </c>
      <c r="AD392">
        <v>2</v>
      </c>
      <c r="AE392">
        <v>5</v>
      </c>
      <c r="AF392">
        <v>0</v>
      </c>
      <c r="AG392">
        <v>0.93</v>
      </c>
      <c r="AH392">
        <v>0.3</v>
      </c>
      <c r="AI392">
        <v>-1</v>
      </c>
      <c r="AL392" t="str">
        <f t="shared" si="45"/>
        <v/>
      </c>
      <c r="AM392">
        <f>VLOOKUP(TRIM(N392),'[1]All - Durations'!$E$2:$H$109,4,FALSE)</f>
        <v>0.97099999999999997</v>
      </c>
      <c r="AN392" t="e">
        <f t="shared" si="46"/>
        <v>#VALUE!</v>
      </c>
      <c r="AO392" t="str">
        <f t="shared" si="47"/>
        <v/>
      </c>
    </row>
    <row r="393" spans="1:41" x14ac:dyDescent="0.25">
      <c r="A393">
        <v>259</v>
      </c>
      <c r="B393" t="s">
        <v>35</v>
      </c>
      <c r="C393">
        <v>3</v>
      </c>
      <c r="D393" t="s">
        <v>36</v>
      </c>
      <c r="E393">
        <v>3</v>
      </c>
      <c r="F393" t="s">
        <v>37</v>
      </c>
      <c r="G393">
        <v>6</v>
      </c>
      <c r="H393">
        <v>10</v>
      </c>
      <c r="I393">
        <v>1</v>
      </c>
      <c r="J393">
        <v>32</v>
      </c>
      <c r="K393">
        <v>28</v>
      </c>
      <c r="L393">
        <v>14</v>
      </c>
      <c r="M393">
        <v>1</v>
      </c>
      <c r="N393" t="s">
        <v>184</v>
      </c>
      <c r="O393" t="s">
        <v>151</v>
      </c>
      <c r="P393" t="s">
        <v>168</v>
      </c>
      <c r="Q393" t="s">
        <v>169</v>
      </c>
      <c r="R393" t="s">
        <v>154</v>
      </c>
      <c r="S393" t="s">
        <v>92</v>
      </c>
      <c r="T393" t="s">
        <v>141</v>
      </c>
      <c r="U393">
        <v>5</v>
      </c>
      <c r="V393" t="s">
        <v>62</v>
      </c>
      <c r="W393" t="s">
        <v>149</v>
      </c>
      <c r="X393" t="s">
        <v>61</v>
      </c>
      <c r="Y393">
        <v>2</v>
      </c>
      <c r="Z393">
        <v>3</v>
      </c>
      <c r="AA393">
        <v>44.1</v>
      </c>
      <c r="AB393">
        <v>-1</v>
      </c>
      <c r="AC393" t="s">
        <v>141</v>
      </c>
      <c r="AD393">
        <v>1</v>
      </c>
      <c r="AE393">
        <v>5</v>
      </c>
      <c r="AF393">
        <v>1</v>
      </c>
      <c r="AG393">
        <v>3.1739999999999999</v>
      </c>
      <c r="AH393">
        <v>0.25</v>
      </c>
      <c r="AI393">
        <v>-1</v>
      </c>
      <c r="AL393" t="str">
        <f t="shared" si="45"/>
        <v/>
      </c>
      <c r="AM393">
        <f>VLOOKUP(TRIM(N393),'[1]All - Durations'!$E$2:$H$109,4,FALSE)</f>
        <v>0.91</v>
      </c>
      <c r="AN393" t="e">
        <f t="shared" si="46"/>
        <v>#VALUE!</v>
      </c>
      <c r="AO393" t="str">
        <f t="shared" si="47"/>
        <v/>
      </c>
    </row>
    <row r="394" spans="1:41" x14ac:dyDescent="0.25">
      <c r="A394">
        <v>259</v>
      </c>
      <c r="B394" t="s">
        <v>35</v>
      </c>
      <c r="C394">
        <v>3</v>
      </c>
      <c r="D394" t="s">
        <v>36</v>
      </c>
      <c r="E394">
        <v>3</v>
      </c>
      <c r="F394" t="s">
        <v>37</v>
      </c>
      <c r="G394">
        <v>6</v>
      </c>
      <c r="H394">
        <v>10</v>
      </c>
      <c r="I394">
        <v>1</v>
      </c>
      <c r="J394">
        <v>33</v>
      </c>
      <c r="K394">
        <v>25</v>
      </c>
      <c r="L394">
        <v>59</v>
      </c>
      <c r="M394">
        <v>2</v>
      </c>
      <c r="N394" t="s">
        <v>171</v>
      </c>
      <c r="O394" t="s">
        <v>151</v>
      </c>
      <c r="P394" t="s">
        <v>158</v>
      </c>
      <c r="Q394" t="s">
        <v>159</v>
      </c>
      <c r="R394" t="s">
        <v>170</v>
      </c>
      <c r="S394" t="s">
        <v>59</v>
      </c>
      <c r="T394" t="s">
        <v>103</v>
      </c>
      <c r="U394">
        <v>4</v>
      </c>
      <c r="V394" t="s">
        <v>146</v>
      </c>
      <c r="W394" t="s">
        <v>179</v>
      </c>
      <c r="X394" t="s">
        <v>185</v>
      </c>
      <c r="Y394">
        <v>2</v>
      </c>
      <c r="Z394">
        <v>3</v>
      </c>
      <c r="AA394">
        <v>44.1</v>
      </c>
      <c r="AB394">
        <v>-1</v>
      </c>
      <c r="AC394" t="s">
        <v>103</v>
      </c>
      <c r="AD394">
        <v>1</v>
      </c>
      <c r="AE394">
        <v>4</v>
      </c>
      <c r="AF394">
        <v>1</v>
      </c>
      <c r="AG394">
        <v>0.53400000000000003</v>
      </c>
      <c r="AH394">
        <v>0.28299999999999997</v>
      </c>
      <c r="AI394">
        <v>-1</v>
      </c>
      <c r="AL394" t="str">
        <f t="shared" si="45"/>
        <v/>
      </c>
      <c r="AM394">
        <f>VLOOKUP(TRIM(N394),'[1]All - Durations'!$E$2:$H$109,4,FALSE)</f>
        <v>0.92300000000000004</v>
      </c>
      <c r="AN394" t="e">
        <f t="shared" si="46"/>
        <v>#VALUE!</v>
      </c>
      <c r="AO394" t="str">
        <f t="shared" si="47"/>
        <v/>
      </c>
    </row>
    <row r="395" spans="1:41" x14ac:dyDescent="0.25">
      <c r="A395">
        <v>259</v>
      </c>
      <c r="B395" t="s">
        <v>35</v>
      </c>
      <c r="C395">
        <v>3</v>
      </c>
      <c r="D395" t="s">
        <v>36</v>
      </c>
      <c r="E395">
        <v>3</v>
      </c>
      <c r="F395" t="s">
        <v>37</v>
      </c>
      <c r="G395">
        <v>6</v>
      </c>
      <c r="H395">
        <v>10</v>
      </c>
      <c r="I395">
        <v>1</v>
      </c>
      <c r="J395">
        <v>34</v>
      </c>
      <c r="K395">
        <v>35</v>
      </c>
      <c r="L395">
        <v>55</v>
      </c>
      <c r="M395">
        <v>2</v>
      </c>
      <c r="N395" t="s">
        <v>163</v>
      </c>
      <c r="O395" t="s">
        <v>151</v>
      </c>
      <c r="P395" t="s">
        <v>164</v>
      </c>
      <c r="Q395" t="s">
        <v>165</v>
      </c>
      <c r="R395" t="s">
        <v>154</v>
      </c>
      <c r="S395" t="s">
        <v>92</v>
      </c>
      <c r="T395" t="s">
        <v>86</v>
      </c>
      <c r="U395">
        <v>5</v>
      </c>
      <c r="V395" t="s">
        <v>155</v>
      </c>
      <c r="W395" t="s">
        <v>56</v>
      </c>
      <c r="X395" t="s">
        <v>45</v>
      </c>
      <c r="Y395">
        <v>2</v>
      </c>
      <c r="Z395">
        <v>3</v>
      </c>
      <c r="AA395">
        <v>44.1</v>
      </c>
      <c r="AB395">
        <v>-1</v>
      </c>
      <c r="AC395" t="s">
        <v>86</v>
      </c>
      <c r="AD395">
        <v>1</v>
      </c>
      <c r="AE395">
        <v>5</v>
      </c>
      <c r="AF395">
        <v>1</v>
      </c>
      <c r="AG395">
        <v>1.325</v>
      </c>
      <c r="AH395">
        <v>0.2</v>
      </c>
      <c r="AI395">
        <v>-1</v>
      </c>
      <c r="AL395" t="str">
        <f t="shared" si="45"/>
        <v/>
      </c>
      <c r="AM395">
        <f>VLOOKUP(TRIM(N395),'[1]All - Durations'!$E$2:$H$109,4,FALSE)</f>
        <v>0.877</v>
      </c>
      <c r="AN395" t="e">
        <f t="shared" si="46"/>
        <v>#VALUE!</v>
      </c>
      <c r="AO395" t="str">
        <f t="shared" si="47"/>
        <v/>
      </c>
    </row>
    <row r="396" spans="1:41" x14ac:dyDescent="0.25">
      <c r="A396">
        <v>259</v>
      </c>
      <c r="B396" t="s">
        <v>35</v>
      </c>
      <c r="C396">
        <v>3</v>
      </c>
      <c r="D396" t="s">
        <v>36</v>
      </c>
      <c r="E396">
        <v>3</v>
      </c>
      <c r="F396" t="s">
        <v>37</v>
      </c>
      <c r="G396">
        <v>6</v>
      </c>
      <c r="H396">
        <v>10</v>
      </c>
      <c r="I396">
        <v>1</v>
      </c>
      <c r="J396">
        <v>35</v>
      </c>
      <c r="K396">
        <v>27</v>
      </c>
      <c r="L396">
        <v>13</v>
      </c>
      <c r="M396">
        <v>1</v>
      </c>
      <c r="N396" t="s">
        <v>167</v>
      </c>
      <c r="O396" t="s">
        <v>151</v>
      </c>
      <c r="P396" t="s">
        <v>168</v>
      </c>
      <c r="Q396" t="s">
        <v>169</v>
      </c>
      <c r="R396" t="s">
        <v>170</v>
      </c>
      <c r="S396" t="s">
        <v>59</v>
      </c>
      <c r="T396" t="s">
        <v>96</v>
      </c>
      <c r="U396">
        <v>4</v>
      </c>
      <c r="V396" t="s">
        <v>141</v>
      </c>
      <c r="W396" t="s">
        <v>44</v>
      </c>
      <c r="X396" t="s">
        <v>81</v>
      </c>
      <c r="Y396">
        <v>1</v>
      </c>
      <c r="Z396">
        <v>3</v>
      </c>
      <c r="AA396">
        <v>44.1</v>
      </c>
      <c r="AB396">
        <v>-1</v>
      </c>
      <c r="AC396" t="s">
        <v>44</v>
      </c>
      <c r="AD396">
        <v>4</v>
      </c>
      <c r="AE396">
        <v>2</v>
      </c>
      <c r="AF396">
        <v>0</v>
      </c>
      <c r="AG396">
        <v>2.3959999999999999</v>
      </c>
      <c r="AH396">
        <v>0.217</v>
      </c>
      <c r="AI396">
        <v>-1</v>
      </c>
      <c r="AL396" t="str">
        <f t="shared" si="45"/>
        <v/>
      </c>
      <c r="AM396">
        <f>VLOOKUP(TRIM(N396),'[1]All - Durations'!$E$2:$H$109,4,FALSE)</f>
        <v>0.97399999999999998</v>
      </c>
      <c r="AN396" t="e">
        <f t="shared" si="46"/>
        <v>#VALUE!</v>
      </c>
      <c r="AO396" t="str">
        <f t="shared" si="47"/>
        <v/>
      </c>
    </row>
    <row r="397" spans="1:41" x14ac:dyDescent="0.25">
      <c r="A397">
        <v>259</v>
      </c>
      <c r="B397" t="s">
        <v>35</v>
      </c>
      <c r="C397">
        <v>3</v>
      </c>
      <c r="D397" t="s">
        <v>36</v>
      </c>
      <c r="E397">
        <v>3</v>
      </c>
      <c r="F397" t="s">
        <v>37</v>
      </c>
      <c r="G397">
        <v>6</v>
      </c>
      <c r="H397">
        <v>10</v>
      </c>
      <c r="I397">
        <v>1</v>
      </c>
      <c r="J397">
        <v>36</v>
      </c>
      <c r="K397">
        <v>33</v>
      </c>
      <c r="L397">
        <v>15</v>
      </c>
      <c r="M397">
        <v>1</v>
      </c>
      <c r="N397" t="s">
        <v>150</v>
      </c>
      <c r="O397" t="s">
        <v>151</v>
      </c>
      <c r="P397" t="s">
        <v>152</v>
      </c>
      <c r="Q397" t="s">
        <v>153</v>
      </c>
      <c r="R397" t="s">
        <v>154</v>
      </c>
      <c r="S397" t="s">
        <v>92</v>
      </c>
      <c r="T397" t="s">
        <v>155</v>
      </c>
      <c r="U397">
        <v>4</v>
      </c>
      <c r="V397" t="s">
        <v>99</v>
      </c>
      <c r="W397" t="s">
        <v>104</v>
      </c>
      <c r="X397" t="s">
        <v>60</v>
      </c>
      <c r="Y397">
        <v>1</v>
      </c>
      <c r="Z397">
        <v>3</v>
      </c>
      <c r="AA397">
        <v>44.1</v>
      </c>
      <c r="AB397">
        <v>-1</v>
      </c>
      <c r="AC397" t="s">
        <v>99</v>
      </c>
      <c r="AD397">
        <v>2</v>
      </c>
      <c r="AE397">
        <v>1</v>
      </c>
      <c r="AF397">
        <v>0</v>
      </c>
      <c r="AG397">
        <v>2.5179999999999998</v>
      </c>
      <c r="AH397">
        <v>0.2</v>
      </c>
      <c r="AI397">
        <v>-1</v>
      </c>
      <c r="AL397" t="str">
        <f t="shared" si="45"/>
        <v/>
      </c>
      <c r="AM397">
        <f>VLOOKUP(TRIM(N397),'[1]All - Durations'!$E$2:$H$109,4,FALSE)</f>
        <v>0.94299999999999995</v>
      </c>
      <c r="AN397" t="e">
        <f t="shared" si="46"/>
        <v>#VALUE!</v>
      </c>
      <c r="AO397" t="str">
        <f t="shared" si="47"/>
        <v/>
      </c>
    </row>
    <row r="398" spans="1:41" x14ac:dyDescent="0.25">
      <c r="A398">
        <v>259</v>
      </c>
      <c r="B398" t="s">
        <v>35</v>
      </c>
      <c r="C398">
        <v>3</v>
      </c>
      <c r="D398" t="s">
        <v>36</v>
      </c>
      <c r="E398">
        <v>3</v>
      </c>
      <c r="F398" t="s">
        <v>37</v>
      </c>
      <c r="G398">
        <v>6</v>
      </c>
      <c r="H398">
        <v>10</v>
      </c>
      <c r="I398">
        <v>1</v>
      </c>
      <c r="J398">
        <v>37</v>
      </c>
      <c r="K398">
        <v>46</v>
      </c>
      <c r="L398">
        <v>46</v>
      </c>
      <c r="M398">
        <v>2</v>
      </c>
      <c r="N398" t="s">
        <v>189</v>
      </c>
      <c r="O398" t="s">
        <v>39</v>
      </c>
      <c r="P398" t="s">
        <v>190</v>
      </c>
      <c r="Q398" t="s">
        <v>191</v>
      </c>
      <c r="R398" t="s">
        <v>42</v>
      </c>
      <c r="S398" t="s">
        <v>43</v>
      </c>
      <c r="T398" t="s">
        <v>45</v>
      </c>
      <c r="U398">
        <v>1</v>
      </c>
      <c r="V398" t="s">
        <v>67</v>
      </c>
      <c r="W398" t="s">
        <v>127</v>
      </c>
      <c r="X398" t="s">
        <v>187</v>
      </c>
      <c r="Y398">
        <v>2</v>
      </c>
      <c r="Z398">
        <v>3</v>
      </c>
      <c r="AA398">
        <v>44.1</v>
      </c>
      <c r="AB398">
        <v>-1</v>
      </c>
      <c r="AC398" t="s">
        <v>45</v>
      </c>
      <c r="AD398">
        <v>1</v>
      </c>
      <c r="AE398">
        <v>1</v>
      </c>
      <c r="AF398">
        <v>1</v>
      </c>
      <c r="AG398">
        <v>2.4239999999999999</v>
      </c>
      <c r="AH398">
        <v>0.26700000000000002</v>
      </c>
      <c r="AI398">
        <v>-1</v>
      </c>
      <c r="AL398" t="str">
        <f t="shared" si="45"/>
        <v/>
      </c>
      <c r="AM398">
        <f>VLOOKUP(TRIM(N398),'[1]All - Durations'!$E$2:$H$109,4,FALSE)</f>
        <v>1.091</v>
      </c>
      <c r="AN398" t="e">
        <f t="shared" si="46"/>
        <v>#VALUE!</v>
      </c>
      <c r="AO398" t="str">
        <f t="shared" si="47"/>
        <v/>
      </c>
    </row>
    <row r="399" spans="1:41" x14ac:dyDescent="0.25">
      <c r="A399">
        <v>259</v>
      </c>
      <c r="B399" t="s">
        <v>35</v>
      </c>
      <c r="C399">
        <v>3</v>
      </c>
      <c r="D399" t="s">
        <v>36</v>
      </c>
      <c r="E399">
        <v>3</v>
      </c>
      <c r="F399" t="s">
        <v>37</v>
      </c>
      <c r="G399">
        <v>6</v>
      </c>
      <c r="H399">
        <v>10</v>
      </c>
      <c r="I399">
        <v>1</v>
      </c>
      <c r="J399">
        <v>38</v>
      </c>
      <c r="K399">
        <v>41</v>
      </c>
      <c r="L399">
        <v>41</v>
      </c>
      <c r="M399">
        <v>2</v>
      </c>
      <c r="N399" t="s">
        <v>198</v>
      </c>
      <c r="O399" t="s">
        <v>39</v>
      </c>
      <c r="P399" t="s">
        <v>199</v>
      </c>
      <c r="Q399" t="s">
        <v>200</v>
      </c>
      <c r="R399" t="s">
        <v>58</v>
      </c>
      <c r="S399" t="s">
        <v>59</v>
      </c>
      <c r="T399" t="s">
        <v>138</v>
      </c>
      <c r="U399">
        <v>2</v>
      </c>
      <c r="V399" t="s">
        <v>98</v>
      </c>
      <c r="W399" t="s">
        <v>47</v>
      </c>
      <c r="X399" t="s">
        <v>214</v>
      </c>
      <c r="Y399">
        <v>1</v>
      </c>
      <c r="Z399">
        <v>3</v>
      </c>
      <c r="AA399">
        <v>44.1</v>
      </c>
      <c r="AB399">
        <v>-1</v>
      </c>
      <c r="AC399" t="s">
        <v>214</v>
      </c>
      <c r="AD399">
        <v>4</v>
      </c>
      <c r="AE399">
        <v>1</v>
      </c>
      <c r="AF399">
        <v>0</v>
      </c>
      <c r="AG399">
        <v>3.2050000000000001</v>
      </c>
      <c r="AH399">
        <v>0.217</v>
      </c>
      <c r="AI399">
        <v>-1</v>
      </c>
      <c r="AL399" t="str">
        <f t="shared" si="45"/>
        <v/>
      </c>
      <c r="AM399">
        <f>VLOOKUP(TRIM(N399),'[1]All - Durations'!$E$2:$H$109,4,FALSE)</f>
        <v>0.97199999999999998</v>
      </c>
      <c r="AN399" t="e">
        <f t="shared" si="46"/>
        <v>#VALUE!</v>
      </c>
      <c r="AO399" t="str">
        <f t="shared" si="47"/>
        <v/>
      </c>
    </row>
    <row r="400" spans="1:41" x14ac:dyDescent="0.25">
      <c r="A400">
        <v>259</v>
      </c>
      <c r="B400" t="s">
        <v>35</v>
      </c>
      <c r="C400">
        <v>3</v>
      </c>
      <c r="D400" t="s">
        <v>36</v>
      </c>
      <c r="E400">
        <v>3</v>
      </c>
      <c r="F400" t="s">
        <v>37</v>
      </c>
      <c r="G400">
        <v>6</v>
      </c>
      <c r="H400">
        <v>10</v>
      </c>
      <c r="I400">
        <v>1</v>
      </c>
      <c r="J400">
        <v>39</v>
      </c>
      <c r="K400">
        <v>43</v>
      </c>
      <c r="L400">
        <v>5</v>
      </c>
      <c r="M400">
        <v>1</v>
      </c>
      <c r="N400" t="s">
        <v>192</v>
      </c>
      <c r="O400" t="s">
        <v>39</v>
      </c>
      <c r="P400" t="s">
        <v>193</v>
      </c>
      <c r="Q400" t="s">
        <v>194</v>
      </c>
      <c r="R400" t="s">
        <v>51</v>
      </c>
      <c r="S400" t="s">
        <v>52</v>
      </c>
      <c r="T400" t="s">
        <v>144</v>
      </c>
      <c r="U400">
        <v>5</v>
      </c>
      <c r="V400" t="s">
        <v>185</v>
      </c>
      <c r="W400" t="s">
        <v>62</v>
      </c>
      <c r="X400" t="s">
        <v>120</v>
      </c>
      <c r="Y400">
        <v>1</v>
      </c>
      <c r="Z400">
        <v>3</v>
      </c>
      <c r="AA400">
        <v>44.1</v>
      </c>
      <c r="AB400">
        <v>-1</v>
      </c>
      <c r="AC400" t="s">
        <v>144</v>
      </c>
      <c r="AD400">
        <v>1</v>
      </c>
      <c r="AE400">
        <v>5</v>
      </c>
      <c r="AF400">
        <v>1</v>
      </c>
      <c r="AG400">
        <v>1.0580000000000001</v>
      </c>
      <c r="AH400">
        <v>0.23300000000000001</v>
      </c>
      <c r="AI400">
        <v>-1</v>
      </c>
      <c r="AL400" t="str">
        <f t="shared" si="45"/>
        <v/>
      </c>
      <c r="AM400">
        <f>VLOOKUP(TRIM(N400),'[1]All - Durations'!$E$2:$H$109,4,FALSE)</f>
        <v>1.0669999999999999</v>
      </c>
      <c r="AN400" t="e">
        <f t="shared" si="46"/>
        <v>#VALUE!</v>
      </c>
      <c r="AO400" t="str">
        <f t="shared" si="47"/>
        <v/>
      </c>
    </row>
    <row r="401" spans="1:41" x14ac:dyDescent="0.25">
      <c r="A401">
        <v>259</v>
      </c>
      <c r="B401" t="s">
        <v>35</v>
      </c>
      <c r="C401">
        <v>3</v>
      </c>
      <c r="D401" t="s">
        <v>36</v>
      </c>
      <c r="E401">
        <v>3</v>
      </c>
      <c r="F401" t="s">
        <v>37</v>
      </c>
      <c r="G401">
        <v>6</v>
      </c>
      <c r="H401">
        <v>10</v>
      </c>
      <c r="I401">
        <v>1</v>
      </c>
      <c r="J401">
        <v>40</v>
      </c>
      <c r="K401">
        <v>45</v>
      </c>
      <c r="L401">
        <v>45</v>
      </c>
      <c r="M401">
        <v>2</v>
      </c>
      <c r="N401" t="s">
        <v>210</v>
      </c>
      <c r="O401" t="s">
        <v>39</v>
      </c>
      <c r="P401" t="s">
        <v>190</v>
      </c>
      <c r="Q401" t="s">
        <v>191</v>
      </c>
      <c r="R401" t="s">
        <v>51</v>
      </c>
      <c r="S401" t="s">
        <v>52</v>
      </c>
      <c r="T401" t="s">
        <v>149</v>
      </c>
      <c r="U401">
        <v>2</v>
      </c>
      <c r="V401" t="s">
        <v>45</v>
      </c>
      <c r="W401" t="s">
        <v>204</v>
      </c>
      <c r="X401" t="s">
        <v>179</v>
      </c>
      <c r="Y401">
        <v>1</v>
      </c>
      <c r="Z401">
        <v>3</v>
      </c>
      <c r="AA401">
        <v>44.1</v>
      </c>
      <c r="AB401">
        <v>-1</v>
      </c>
      <c r="AC401" t="s">
        <v>149</v>
      </c>
      <c r="AD401">
        <v>1</v>
      </c>
      <c r="AE401">
        <v>2</v>
      </c>
      <c r="AF401">
        <v>1</v>
      </c>
      <c r="AG401">
        <v>2.4609999999999999</v>
      </c>
      <c r="AH401">
        <v>0.183</v>
      </c>
      <c r="AI401">
        <v>-1</v>
      </c>
      <c r="AL401" t="str">
        <f t="shared" si="45"/>
        <v/>
      </c>
      <c r="AM401">
        <f>VLOOKUP(TRIM(N401),'[1]All - Durations'!$E$2:$H$109,4,FALSE)</f>
        <v>1.004</v>
      </c>
      <c r="AN401" t="e">
        <f t="shared" si="46"/>
        <v>#VALUE!</v>
      </c>
      <c r="AO401" t="str">
        <f t="shared" si="47"/>
        <v/>
      </c>
    </row>
    <row r="402" spans="1:41" x14ac:dyDescent="0.25">
      <c r="A402">
        <v>259</v>
      </c>
      <c r="B402" t="s">
        <v>35</v>
      </c>
      <c r="C402">
        <v>3</v>
      </c>
      <c r="D402" t="s">
        <v>36</v>
      </c>
      <c r="E402">
        <v>3</v>
      </c>
      <c r="F402" t="s">
        <v>37</v>
      </c>
      <c r="G402">
        <v>6</v>
      </c>
      <c r="H402">
        <v>10</v>
      </c>
      <c r="I402">
        <v>1</v>
      </c>
      <c r="J402">
        <v>41</v>
      </c>
      <c r="K402">
        <v>42</v>
      </c>
      <c r="L402">
        <v>42</v>
      </c>
      <c r="M402">
        <v>2</v>
      </c>
      <c r="N402" t="s">
        <v>216</v>
      </c>
      <c r="O402" t="s">
        <v>39</v>
      </c>
      <c r="P402" t="s">
        <v>199</v>
      </c>
      <c r="Q402" t="s">
        <v>200</v>
      </c>
      <c r="R402" t="s">
        <v>91</v>
      </c>
      <c r="S402" t="s">
        <v>92</v>
      </c>
      <c r="T402" t="s">
        <v>98</v>
      </c>
      <c r="U402">
        <v>4</v>
      </c>
      <c r="V402" t="s">
        <v>80</v>
      </c>
      <c r="W402" t="s">
        <v>46</v>
      </c>
      <c r="X402" t="s">
        <v>139</v>
      </c>
      <c r="Y402">
        <v>2</v>
      </c>
      <c r="Z402">
        <v>3</v>
      </c>
      <c r="AA402">
        <v>44.1</v>
      </c>
      <c r="AB402">
        <v>-1</v>
      </c>
      <c r="AC402" t="s">
        <v>98</v>
      </c>
      <c r="AD402">
        <v>1</v>
      </c>
      <c r="AE402">
        <v>4</v>
      </c>
      <c r="AF402">
        <v>1</v>
      </c>
      <c r="AG402">
        <v>1.353</v>
      </c>
      <c r="AH402">
        <v>0.26600000000000001</v>
      </c>
      <c r="AI402">
        <v>-1</v>
      </c>
      <c r="AL402" t="str">
        <f t="shared" si="45"/>
        <v/>
      </c>
      <c r="AM402">
        <f>VLOOKUP(TRIM(N402),'[1]All - Durations'!$E$2:$H$109,4,FALSE)</f>
        <v>0.85899999999999999</v>
      </c>
      <c r="AN402" t="e">
        <f t="shared" si="46"/>
        <v>#VALUE!</v>
      </c>
      <c r="AO402" t="str">
        <f t="shared" si="47"/>
        <v/>
      </c>
    </row>
    <row r="403" spans="1:41" x14ac:dyDescent="0.25">
      <c r="A403">
        <v>259</v>
      </c>
      <c r="B403" t="s">
        <v>35</v>
      </c>
      <c r="C403">
        <v>3</v>
      </c>
      <c r="D403" t="s">
        <v>36</v>
      </c>
      <c r="E403">
        <v>3</v>
      </c>
      <c r="F403" t="s">
        <v>37</v>
      </c>
      <c r="G403">
        <v>6</v>
      </c>
      <c r="H403">
        <v>10</v>
      </c>
      <c r="I403">
        <v>1</v>
      </c>
      <c r="J403">
        <v>42</v>
      </c>
      <c r="K403">
        <v>40</v>
      </c>
      <c r="L403">
        <v>8</v>
      </c>
      <c r="M403">
        <v>1</v>
      </c>
      <c r="N403" t="s">
        <v>195</v>
      </c>
      <c r="O403" t="s">
        <v>39</v>
      </c>
      <c r="P403" t="s">
        <v>196</v>
      </c>
      <c r="Q403" t="s">
        <v>197</v>
      </c>
      <c r="R403" t="s">
        <v>42</v>
      </c>
      <c r="S403" t="s">
        <v>43</v>
      </c>
      <c r="T403" t="s">
        <v>85</v>
      </c>
      <c r="U403">
        <v>1</v>
      </c>
      <c r="V403" t="s">
        <v>44</v>
      </c>
      <c r="W403" t="s">
        <v>162</v>
      </c>
      <c r="X403" t="s">
        <v>211</v>
      </c>
      <c r="Y403">
        <v>2</v>
      </c>
      <c r="Z403">
        <v>3</v>
      </c>
      <c r="AA403">
        <v>44.1</v>
      </c>
      <c r="AB403">
        <v>-1</v>
      </c>
      <c r="AC403" t="s">
        <v>44</v>
      </c>
      <c r="AD403">
        <v>3</v>
      </c>
      <c r="AE403">
        <v>5</v>
      </c>
      <c r="AF403">
        <v>0</v>
      </c>
      <c r="AG403">
        <v>2.2709999999999999</v>
      </c>
      <c r="AH403">
        <v>0.183</v>
      </c>
      <c r="AI403">
        <v>-1</v>
      </c>
      <c r="AL403" t="str">
        <f t="shared" si="45"/>
        <v/>
      </c>
      <c r="AM403">
        <f>VLOOKUP(TRIM(N403),'[1]All - Durations'!$E$2:$H$109,4,FALSE)</f>
        <v>0.92600000000000005</v>
      </c>
      <c r="AN403" t="e">
        <f t="shared" si="46"/>
        <v>#VALUE!</v>
      </c>
      <c r="AO403" t="str">
        <f t="shared" si="47"/>
        <v/>
      </c>
    </row>
    <row r="404" spans="1:41" x14ac:dyDescent="0.25">
      <c r="A404">
        <v>259</v>
      </c>
      <c r="B404" t="s">
        <v>35</v>
      </c>
      <c r="C404">
        <v>3</v>
      </c>
      <c r="D404" t="s">
        <v>36</v>
      </c>
      <c r="E404">
        <v>3</v>
      </c>
      <c r="F404" t="s">
        <v>37</v>
      </c>
      <c r="G404">
        <v>6</v>
      </c>
      <c r="H404">
        <v>10</v>
      </c>
      <c r="I404">
        <v>1</v>
      </c>
      <c r="J404">
        <v>43</v>
      </c>
      <c r="K404">
        <v>38</v>
      </c>
      <c r="L404">
        <v>12</v>
      </c>
      <c r="M404">
        <v>1</v>
      </c>
      <c r="N404" t="s">
        <v>206</v>
      </c>
      <c r="O404" t="s">
        <v>39</v>
      </c>
      <c r="P404" t="s">
        <v>207</v>
      </c>
      <c r="Q404" t="s">
        <v>208</v>
      </c>
      <c r="R404" t="s">
        <v>42</v>
      </c>
      <c r="S404" t="s">
        <v>43</v>
      </c>
      <c r="T404" t="s">
        <v>131</v>
      </c>
      <c r="U404">
        <v>1</v>
      </c>
      <c r="V404" t="s">
        <v>106</v>
      </c>
      <c r="W404" t="s">
        <v>75</v>
      </c>
      <c r="X404" t="s">
        <v>128</v>
      </c>
      <c r="Y404">
        <v>1</v>
      </c>
      <c r="Z404">
        <v>3</v>
      </c>
      <c r="AA404">
        <v>44.1</v>
      </c>
      <c r="AB404">
        <v>-1</v>
      </c>
      <c r="AC404" t="s">
        <v>131</v>
      </c>
      <c r="AD404">
        <v>1</v>
      </c>
      <c r="AE404">
        <v>1</v>
      </c>
      <c r="AF404">
        <v>1</v>
      </c>
      <c r="AG404">
        <v>1.0760000000000001</v>
      </c>
      <c r="AH404">
        <v>0.26700000000000002</v>
      </c>
      <c r="AI404">
        <v>-1</v>
      </c>
      <c r="AL404" t="str">
        <f t="shared" si="45"/>
        <v/>
      </c>
      <c r="AM404">
        <f>VLOOKUP(TRIM(N404),'[1]All - Durations'!$E$2:$H$109,4,FALSE)</f>
        <v>0.82699999999999996</v>
      </c>
      <c r="AN404" t="e">
        <f t="shared" si="46"/>
        <v>#VALUE!</v>
      </c>
      <c r="AO404" t="str">
        <f t="shared" si="47"/>
        <v/>
      </c>
    </row>
    <row r="405" spans="1:41" x14ac:dyDescent="0.25">
      <c r="A405">
        <v>259</v>
      </c>
      <c r="B405" t="s">
        <v>35</v>
      </c>
      <c r="C405">
        <v>3</v>
      </c>
      <c r="D405" t="s">
        <v>36</v>
      </c>
      <c r="E405">
        <v>3</v>
      </c>
      <c r="F405" t="s">
        <v>37</v>
      </c>
      <c r="G405">
        <v>6</v>
      </c>
      <c r="H405">
        <v>10</v>
      </c>
      <c r="I405">
        <v>1</v>
      </c>
      <c r="J405">
        <v>44</v>
      </c>
      <c r="K405">
        <v>47</v>
      </c>
      <c r="L405">
        <v>9</v>
      </c>
      <c r="M405">
        <v>1</v>
      </c>
      <c r="N405" t="s">
        <v>212</v>
      </c>
      <c r="O405" t="s">
        <v>39</v>
      </c>
      <c r="P405" t="s">
        <v>202</v>
      </c>
      <c r="Q405" t="s">
        <v>203</v>
      </c>
      <c r="R405" t="s">
        <v>58</v>
      </c>
      <c r="S405" t="s">
        <v>59</v>
      </c>
      <c r="T405" t="s">
        <v>147</v>
      </c>
      <c r="U405">
        <v>4</v>
      </c>
      <c r="V405" t="s">
        <v>156</v>
      </c>
      <c r="W405" t="s">
        <v>116</v>
      </c>
      <c r="X405" t="s">
        <v>121</v>
      </c>
      <c r="Y405">
        <v>2</v>
      </c>
      <c r="Z405">
        <v>3</v>
      </c>
      <c r="AA405">
        <v>44.1</v>
      </c>
      <c r="AB405">
        <v>-1</v>
      </c>
      <c r="AC405" t="s">
        <v>147</v>
      </c>
      <c r="AD405">
        <v>1</v>
      </c>
      <c r="AE405">
        <v>4</v>
      </c>
      <c r="AF405">
        <v>1</v>
      </c>
      <c r="AG405">
        <v>0.85499999999999998</v>
      </c>
      <c r="AH405">
        <v>0.16700000000000001</v>
      </c>
      <c r="AI405">
        <v>-1</v>
      </c>
      <c r="AL405" t="str">
        <f t="shared" si="45"/>
        <v/>
      </c>
      <c r="AM405">
        <f>VLOOKUP(TRIM(N405),'[1]All - Durations'!$E$2:$H$109,4,FALSE)</f>
        <v>0.93500000000000005</v>
      </c>
      <c r="AN405" t="e">
        <f t="shared" si="46"/>
        <v>#VALUE!</v>
      </c>
      <c r="AO405" t="str">
        <f t="shared" si="47"/>
        <v/>
      </c>
    </row>
    <row r="406" spans="1:41" x14ac:dyDescent="0.25">
      <c r="A406">
        <v>259</v>
      </c>
      <c r="B406" t="s">
        <v>35</v>
      </c>
      <c r="C406">
        <v>3</v>
      </c>
      <c r="D406" t="s">
        <v>36</v>
      </c>
      <c r="E406">
        <v>3</v>
      </c>
      <c r="F406" t="s">
        <v>37</v>
      </c>
      <c r="G406">
        <v>6</v>
      </c>
      <c r="H406">
        <v>10</v>
      </c>
      <c r="I406">
        <v>1</v>
      </c>
      <c r="J406">
        <v>45</v>
      </c>
      <c r="K406">
        <v>44</v>
      </c>
      <c r="L406">
        <v>6</v>
      </c>
      <c r="M406">
        <v>1</v>
      </c>
      <c r="N406" t="s">
        <v>215</v>
      </c>
      <c r="O406" t="s">
        <v>39</v>
      </c>
      <c r="P406" t="s">
        <v>193</v>
      </c>
      <c r="Q406" t="s">
        <v>194</v>
      </c>
      <c r="R406" t="s">
        <v>42</v>
      </c>
      <c r="S406" t="s">
        <v>43</v>
      </c>
      <c r="T406" t="s">
        <v>185</v>
      </c>
      <c r="U406">
        <v>4</v>
      </c>
      <c r="V406" t="s">
        <v>131</v>
      </c>
      <c r="W406" t="s">
        <v>209</v>
      </c>
      <c r="X406" t="s">
        <v>86</v>
      </c>
      <c r="Y406">
        <v>2</v>
      </c>
      <c r="Z406">
        <v>3</v>
      </c>
      <c r="AA406">
        <v>44.1</v>
      </c>
      <c r="AB406">
        <v>-1</v>
      </c>
      <c r="AC406" t="s">
        <v>185</v>
      </c>
      <c r="AD406">
        <v>1</v>
      </c>
      <c r="AE406">
        <v>4</v>
      </c>
      <c r="AF406">
        <v>1</v>
      </c>
      <c r="AG406">
        <v>2.3149999999999999</v>
      </c>
      <c r="AH406">
        <v>0.317</v>
      </c>
      <c r="AI406">
        <v>-1</v>
      </c>
      <c r="AL406" t="str">
        <f t="shared" si="45"/>
        <v/>
      </c>
      <c r="AM406">
        <f>VLOOKUP(TRIM(N406),'[1]All - Durations'!$E$2:$H$109,4,FALSE)</f>
        <v>0.88200000000000001</v>
      </c>
      <c r="AN406" t="e">
        <f t="shared" si="46"/>
        <v>#VALUE!</v>
      </c>
      <c r="AO406" t="str">
        <f t="shared" si="47"/>
        <v/>
      </c>
    </row>
    <row r="407" spans="1:41" x14ac:dyDescent="0.25">
      <c r="A407">
        <v>259</v>
      </c>
      <c r="B407" t="s">
        <v>35</v>
      </c>
      <c r="C407">
        <v>3</v>
      </c>
      <c r="D407" t="s">
        <v>36</v>
      </c>
      <c r="E407">
        <v>3</v>
      </c>
      <c r="F407" t="s">
        <v>37</v>
      </c>
      <c r="G407">
        <v>6</v>
      </c>
      <c r="H407">
        <v>10</v>
      </c>
      <c r="I407">
        <v>1</v>
      </c>
      <c r="J407">
        <v>46</v>
      </c>
      <c r="K407">
        <v>48</v>
      </c>
      <c r="L407">
        <v>10</v>
      </c>
      <c r="M407">
        <v>1</v>
      </c>
      <c r="N407" t="s">
        <v>201</v>
      </c>
      <c r="O407" t="s">
        <v>39</v>
      </c>
      <c r="P407" t="s">
        <v>202</v>
      </c>
      <c r="Q407" t="s">
        <v>203</v>
      </c>
      <c r="R407" t="s">
        <v>51</v>
      </c>
      <c r="S407" t="s">
        <v>52</v>
      </c>
      <c r="T407" t="s">
        <v>172</v>
      </c>
      <c r="U407">
        <v>5</v>
      </c>
      <c r="V407" t="s">
        <v>147</v>
      </c>
      <c r="W407" t="s">
        <v>155</v>
      </c>
      <c r="X407" t="s">
        <v>104</v>
      </c>
      <c r="Y407">
        <v>1</v>
      </c>
      <c r="Z407">
        <v>3</v>
      </c>
      <c r="AA407">
        <v>44.1</v>
      </c>
      <c r="AB407">
        <v>-1</v>
      </c>
      <c r="AC407" t="s">
        <v>172</v>
      </c>
      <c r="AD407">
        <v>1</v>
      </c>
      <c r="AE407">
        <v>5</v>
      </c>
      <c r="AF407">
        <v>1</v>
      </c>
      <c r="AG407">
        <v>0.71799999999999997</v>
      </c>
      <c r="AH407">
        <v>0.28299999999999997</v>
      </c>
      <c r="AI407">
        <v>-1</v>
      </c>
      <c r="AL407" t="str">
        <f t="shared" si="45"/>
        <v/>
      </c>
      <c r="AM407">
        <f>VLOOKUP(TRIM(N407),'[1]All - Durations'!$E$2:$H$109,4,FALSE)</f>
        <v>0.997</v>
      </c>
      <c r="AN407" t="e">
        <f t="shared" si="46"/>
        <v>#VALUE!</v>
      </c>
      <c r="AO407" t="str">
        <f t="shared" si="47"/>
        <v/>
      </c>
    </row>
    <row r="408" spans="1:41" x14ac:dyDescent="0.25">
      <c r="A408">
        <v>259</v>
      </c>
      <c r="B408" t="s">
        <v>35</v>
      </c>
      <c r="C408">
        <v>3</v>
      </c>
      <c r="D408" t="s">
        <v>36</v>
      </c>
      <c r="E408">
        <v>3</v>
      </c>
      <c r="F408" t="s">
        <v>37</v>
      </c>
      <c r="G408">
        <v>6</v>
      </c>
      <c r="H408">
        <v>10</v>
      </c>
      <c r="I408">
        <v>1</v>
      </c>
      <c r="J408">
        <v>47</v>
      </c>
      <c r="K408">
        <v>37</v>
      </c>
      <c r="L408">
        <v>11</v>
      </c>
      <c r="M408">
        <v>1</v>
      </c>
      <c r="N408" t="s">
        <v>213</v>
      </c>
      <c r="O408" t="s">
        <v>39</v>
      </c>
      <c r="P408" t="s">
        <v>207</v>
      </c>
      <c r="Q408" t="s">
        <v>208</v>
      </c>
      <c r="R408" t="s">
        <v>91</v>
      </c>
      <c r="S408" t="s">
        <v>92</v>
      </c>
      <c r="T408" t="s">
        <v>106</v>
      </c>
      <c r="U408">
        <v>1</v>
      </c>
      <c r="V408" t="s">
        <v>93</v>
      </c>
      <c r="W408" t="s">
        <v>107</v>
      </c>
      <c r="X408" t="s">
        <v>110</v>
      </c>
      <c r="Y408">
        <v>2</v>
      </c>
      <c r="Z408">
        <v>3</v>
      </c>
      <c r="AA408">
        <v>44.1</v>
      </c>
      <c r="AB408">
        <v>-1</v>
      </c>
      <c r="AC408" t="s">
        <v>93</v>
      </c>
      <c r="AD408">
        <v>3</v>
      </c>
      <c r="AE408">
        <v>5</v>
      </c>
      <c r="AF408">
        <v>0</v>
      </c>
      <c r="AG408">
        <v>2.0920000000000001</v>
      </c>
      <c r="AH408">
        <v>0.61699999999999999</v>
      </c>
      <c r="AI408">
        <v>-1</v>
      </c>
      <c r="AL408" t="str">
        <f t="shared" si="45"/>
        <v/>
      </c>
      <c r="AM408">
        <f>VLOOKUP(TRIM(N408),'[1]All - Durations'!$E$2:$H$109,4,FALSE)</f>
        <v>0.86599999999999999</v>
      </c>
      <c r="AN408" t="e">
        <f t="shared" si="46"/>
        <v>#VALUE!</v>
      </c>
      <c r="AO408" t="str">
        <f t="shared" si="47"/>
        <v/>
      </c>
    </row>
    <row r="409" spans="1:41" x14ac:dyDescent="0.25">
      <c r="A409">
        <v>259</v>
      </c>
      <c r="B409" t="s">
        <v>35</v>
      </c>
      <c r="C409">
        <v>3</v>
      </c>
      <c r="D409" t="s">
        <v>36</v>
      </c>
      <c r="E409">
        <v>3</v>
      </c>
      <c r="F409" t="s">
        <v>37</v>
      </c>
      <c r="G409">
        <v>6</v>
      </c>
      <c r="H409">
        <v>10</v>
      </c>
      <c r="I409">
        <v>1</v>
      </c>
      <c r="J409">
        <v>48</v>
      </c>
      <c r="K409">
        <v>39</v>
      </c>
      <c r="L409">
        <v>7</v>
      </c>
      <c r="M409">
        <v>1</v>
      </c>
      <c r="N409" t="s">
        <v>205</v>
      </c>
      <c r="O409" t="s">
        <v>39</v>
      </c>
      <c r="P409" t="s">
        <v>196</v>
      </c>
      <c r="Q409" t="s">
        <v>197</v>
      </c>
      <c r="R409" t="s">
        <v>58</v>
      </c>
      <c r="S409" t="s">
        <v>59</v>
      </c>
      <c r="T409" t="s">
        <v>156</v>
      </c>
      <c r="U409">
        <v>4</v>
      </c>
      <c r="V409" t="s">
        <v>85</v>
      </c>
      <c r="W409" t="s">
        <v>61</v>
      </c>
      <c r="X409" t="s">
        <v>99</v>
      </c>
      <c r="Y409">
        <v>1</v>
      </c>
      <c r="Z409">
        <v>3</v>
      </c>
      <c r="AA409">
        <v>44.1</v>
      </c>
      <c r="AB409">
        <v>-1</v>
      </c>
      <c r="AC409" t="s">
        <v>156</v>
      </c>
      <c r="AD409">
        <v>1</v>
      </c>
      <c r="AE409">
        <v>4</v>
      </c>
      <c r="AF409">
        <v>1</v>
      </c>
      <c r="AG409">
        <v>2.7690000000000001</v>
      </c>
      <c r="AH409">
        <v>0.25</v>
      </c>
      <c r="AI409">
        <v>-1</v>
      </c>
      <c r="AL409" t="str">
        <f t="shared" si="45"/>
        <v/>
      </c>
      <c r="AM409">
        <f>VLOOKUP(TRIM(N409),'[1]All - Durations'!$E$2:$H$109,4,FALSE)</f>
        <v>0.94499999999999995</v>
      </c>
      <c r="AN409" t="e">
        <f t="shared" si="46"/>
        <v>#VALUE!</v>
      </c>
      <c r="AO409" t="str">
        <f t="shared" si="47"/>
        <v/>
      </c>
    </row>
    <row r="410" spans="1:41" x14ac:dyDescent="0.25">
      <c r="A410">
        <v>259</v>
      </c>
      <c r="B410" t="s">
        <v>35</v>
      </c>
      <c r="C410">
        <v>3</v>
      </c>
      <c r="D410" t="s">
        <v>36</v>
      </c>
      <c r="E410">
        <v>3</v>
      </c>
      <c r="F410" t="s">
        <v>37</v>
      </c>
      <c r="G410">
        <v>6</v>
      </c>
      <c r="H410">
        <v>10</v>
      </c>
      <c r="I410">
        <v>1</v>
      </c>
      <c r="J410">
        <v>49</v>
      </c>
      <c r="K410">
        <v>53</v>
      </c>
      <c r="L410">
        <v>65</v>
      </c>
      <c r="M410">
        <v>2</v>
      </c>
      <c r="N410" t="s">
        <v>225</v>
      </c>
      <c r="O410" t="s">
        <v>113</v>
      </c>
      <c r="P410" t="s">
        <v>114</v>
      </c>
      <c r="Q410" t="s">
        <v>226</v>
      </c>
      <c r="R410" t="s">
        <v>114</v>
      </c>
      <c r="S410" t="s">
        <v>59</v>
      </c>
      <c r="T410" t="s">
        <v>87</v>
      </c>
      <c r="U410">
        <v>5</v>
      </c>
      <c r="V410" t="s">
        <v>209</v>
      </c>
      <c r="W410" t="s">
        <v>75</v>
      </c>
      <c r="X410" t="s">
        <v>172</v>
      </c>
      <c r="Y410">
        <v>1</v>
      </c>
      <c r="Z410">
        <v>3</v>
      </c>
      <c r="AA410">
        <v>44.1</v>
      </c>
      <c r="AB410">
        <v>-1</v>
      </c>
      <c r="AC410" t="s">
        <v>87</v>
      </c>
      <c r="AD410">
        <v>1</v>
      </c>
      <c r="AE410">
        <v>5</v>
      </c>
      <c r="AF410">
        <v>1</v>
      </c>
      <c r="AG410">
        <v>2.613</v>
      </c>
      <c r="AH410">
        <v>0.2</v>
      </c>
      <c r="AI410">
        <v>-1</v>
      </c>
      <c r="AL410" t="str">
        <f t="shared" si="45"/>
        <v/>
      </c>
      <c r="AM410">
        <f>VLOOKUP(TRIM(N410),'[1]All - Durations'!$E$2:$H$109,4,FALSE)</f>
        <v>0.97099999999999997</v>
      </c>
      <c r="AN410" t="e">
        <f t="shared" si="46"/>
        <v>#VALUE!</v>
      </c>
      <c r="AO410" t="str">
        <f t="shared" si="47"/>
        <v/>
      </c>
    </row>
    <row r="411" spans="1:41" x14ac:dyDescent="0.25">
      <c r="A411">
        <v>259</v>
      </c>
      <c r="B411" t="s">
        <v>35</v>
      </c>
      <c r="C411">
        <v>3</v>
      </c>
      <c r="D411" t="s">
        <v>36</v>
      </c>
      <c r="E411">
        <v>3</v>
      </c>
      <c r="F411" t="s">
        <v>37</v>
      </c>
      <c r="G411">
        <v>6</v>
      </c>
      <c r="H411">
        <v>10</v>
      </c>
      <c r="I411">
        <v>1</v>
      </c>
      <c r="J411">
        <v>50</v>
      </c>
      <c r="K411">
        <v>50</v>
      </c>
      <c r="L411">
        <v>36</v>
      </c>
      <c r="M411">
        <v>1</v>
      </c>
      <c r="N411" t="s">
        <v>227</v>
      </c>
      <c r="O411" t="s">
        <v>113</v>
      </c>
      <c r="P411" t="s">
        <v>114</v>
      </c>
      <c r="Q411" t="s">
        <v>220</v>
      </c>
      <c r="R411" t="s">
        <v>114</v>
      </c>
      <c r="S411" t="s">
        <v>43</v>
      </c>
      <c r="T411" t="s">
        <v>116</v>
      </c>
      <c r="U411">
        <v>2</v>
      </c>
      <c r="V411" t="s">
        <v>100</v>
      </c>
      <c r="W411" t="s">
        <v>155</v>
      </c>
      <c r="X411" t="s">
        <v>80</v>
      </c>
      <c r="Y411">
        <v>2</v>
      </c>
      <c r="Z411">
        <v>3</v>
      </c>
      <c r="AA411">
        <v>44.1</v>
      </c>
      <c r="AB411">
        <v>-1</v>
      </c>
      <c r="AC411" t="s">
        <v>155</v>
      </c>
      <c r="AD411">
        <v>4</v>
      </c>
      <c r="AE411">
        <v>1</v>
      </c>
      <c r="AF411">
        <v>0</v>
      </c>
      <c r="AG411">
        <v>2.972</v>
      </c>
      <c r="AH411">
        <v>0.26700000000000002</v>
      </c>
      <c r="AI411">
        <v>-1</v>
      </c>
      <c r="AL411" t="str">
        <f t="shared" si="45"/>
        <v/>
      </c>
      <c r="AM411">
        <f>VLOOKUP(TRIM(N411),'[1]All - Durations'!$E$2:$H$109,4,FALSE)</f>
        <v>0.95299999999999996</v>
      </c>
      <c r="AN411" t="e">
        <f t="shared" si="46"/>
        <v>#VALUE!</v>
      </c>
      <c r="AO411" t="str">
        <f t="shared" si="47"/>
        <v/>
      </c>
    </row>
    <row r="412" spans="1:41" x14ac:dyDescent="0.25">
      <c r="A412">
        <v>259</v>
      </c>
      <c r="B412" t="s">
        <v>35</v>
      </c>
      <c r="C412">
        <v>3</v>
      </c>
      <c r="D412" t="s">
        <v>36</v>
      </c>
      <c r="E412">
        <v>3</v>
      </c>
      <c r="F412" t="s">
        <v>37</v>
      </c>
      <c r="G412">
        <v>6</v>
      </c>
      <c r="H412">
        <v>10</v>
      </c>
      <c r="I412">
        <v>1</v>
      </c>
      <c r="J412">
        <v>51</v>
      </c>
      <c r="K412">
        <v>56</v>
      </c>
      <c r="L412">
        <v>30</v>
      </c>
      <c r="M412">
        <v>1</v>
      </c>
      <c r="N412" t="s">
        <v>233</v>
      </c>
      <c r="O412" t="s">
        <v>113</v>
      </c>
      <c r="P412" t="s">
        <v>114</v>
      </c>
      <c r="Q412" t="s">
        <v>218</v>
      </c>
      <c r="R412" t="s">
        <v>114</v>
      </c>
      <c r="S412" t="s">
        <v>43</v>
      </c>
      <c r="T412" t="s">
        <v>107</v>
      </c>
      <c r="U412">
        <v>5</v>
      </c>
      <c r="V412" t="s">
        <v>111</v>
      </c>
      <c r="W412" t="s">
        <v>102</v>
      </c>
      <c r="X412" t="s">
        <v>187</v>
      </c>
      <c r="Y412">
        <v>2</v>
      </c>
      <c r="Z412">
        <v>3</v>
      </c>
      <c r="AA412">
        <v>44.1</v>
      </c>
      <c r="AB412">
        <v>-1</v>
      </c>
      <c r="AC412" t="s">
        <v>102</v>
      </c>
      <c r="AD412">
        <v>4</v>
      </c>
      <c r="AE412">
        <v>4</v>
      </c>
      <c r="AF412">
        <v>0</v>
      </c>
      <c r="AG412">
        <v>2.8780000000000001</v>
      </c>
      <c r="AH412">
        <v>0.23300000000000001</v>
      </c>
      <c r="AI412">
        <v>-1</v>
      </c>
      <c r="AL412" t="str">
        <f t="shared" si="45"/>
        <v/>
      </c>
      <c r="AM412">
        <f>VLOOKUP(TRIM(N412),'[1]All - Durations'!$E$2:$H$109,4,FALSE)</f>
        <v>0.85599999999999998</v>
      </c>
      <c r="AN412" t="e">
        <f t="shared" si="46"/>
        <v>#VALUE!</v>
      </c>
      <c r="AO412" t="str">
        <f t="shared" si="47"/>
        <v/>
      </c>
    </row>
    <row r="413" spans="1:41" x14ac:dyDescent="0.25">
      <c r="A413">
        <v>259</v>
      </c>
      <c r="B413" t="s">
        <v>35</v>
      </c>
      <c r="C413">
        <v>3</v>
      </c>
      <c r="D413" t="s">
        <v>36</v>
      </c>
      <c r="E413">
        <v>3</v>
      </c>
      <c r="F413" t="s">
        <v>37</v>
      </c>
      <c r="G413">
        <v>6</v>
      </c>
      <c r="H413">
        <v>10</v>
      </c>
      <c r="I413">
        <v>1</v>
      </c>
      <c r="J413">
        <v>52</v>
      </c>
      <c r="K413">
        <v>49</v>
      </c>
      <c r="L413">
        <v>35</v>
      </c>
      <c r="M413">
        <v>1</v>
      </c>
      <c r="N413" t="s">
        <v>219</v>
      </c>
      <c r="O413" t="s">
        <v>113</v>
      </c>
      <c r="P413" t="s">
        <v>114</v>
      </c>
      <c r="Q413" t="s">
        <v>220</v>
      </c>
      <c r="R413" t="s">
        <v>114</v>
      </c>
      <c r="S413" t="s">
        <v>92</v>
      </c>
      <c r="T413" t="s">
        <v>179</v>
      </c>
      <c r="U413">
        <v>2</v>
      </c>
      <c r="V413" t="s">
        <v>116</v>
      </c>
      <c r="W413" t="s">
        <v>204</v>
      </c>
      <c r="X413" t="s">
        <v>73</v>
      </c>
      <c r="Y413">
        <v>1</v>
      </c>
      <c r="Z413">
        <v>3</v>
      </c>
      <c r="AA413">
        <v>44.1</v>
      </c>
      <c r="AB413">
        <v>-1</v>
      </c>
      <c r="AC413" t="s">
        <v>179</v>
      </c>
      <c r="AD413">
        <v>1</v>
      </c>
      <c r="AE413">
        <v>2</v>
      </c>
      <c r="AF413">
        <v>1</v>
      </c>
      <c r="AG413">
        <v>1.212</v>
      </c>
      <c r="AH413">
        <v>0.23300000000000001</v>
      </c>
      <c r="AI413">
        <v>-1</v>
      </c>
      <c r="AL413" t="str">
        <f t="shared" si="45"/>
        <v/>
      </c>
      <c r="AM413">
        <f>VLOOKUP(TRIM(N413),'[1]All - Durations'!$E$2:$H$109,4,FALSE)</f>
        <v>0.99299999999999999</v>
      </c>
      <c r="AN413" t="e">
        <f t="shared" si="46"/>
        <v>#VALUE!</v>
      </c>
      <c r="AO413" t="str">
        <f t="shared" si="47"/>
        <v/>
      </c>
    </row>
    <row r="414" spans="1:41" x14ac:dyDescent="0.25">
      <c r="A414">
        <v>259</v>
      </c>
      <c r="B414" t="s">
        <v>35</v>
      </c>
      <c r="C414">
        <v>3</v>
      </c>
      <c r="D414" t="s">
        <v>36</v>
      </c>
      <c r="E414">
        <v>3</v>
      </c>
      <c r="F414" t="s">
        <v>37</v>
      </c>
      <c r="G414">
        <v>6</v>
      </c>
      <c r="H414">
        <v>10</v>
      </c>
      <c r="I414">
        <v>1</v>
      </c>
      <c r="J414">
        <v>53</v>
      </c>
      <c r="K414">
        <v>54</v>
      </c>
      <c r="L414">
        <v>66</v>
      </c>
      <c r="M414">
        <v>2</v>
      </c>
      <c r="N414" t="s">
        <v>229</v>
      </c>
      <c r="O414" t="s">
        <v>113</v>
      </c>
      <c r="P414" t="s">
        <v>114</v>
      </c>
      <c r="Q414" t="s">
        <v>226</v>
      </c>
      <c r="R414" t="s">
        <v>114</v>
      </c>
      <c r="S414" t="s">
        <v>92</v>
      </c>
      <c r="T414" t="s">
        <v>209</v>
      </c>
      <c r="U414">
        <v>2</v>
      </c>
      <c r="V414" t="s">
        <v>120</v>
      </c>
      <c r="W414" t="s">
        <v>185</v>
      </c>
      <c r="X414" t="s">
        <v>103</v>
      </c>
      <c r="Y414">
        <v>2</v>
      </c>
      <c r="Z414">
        <v>3</v>
      </c>
      <c r="AA414">
        <v>44.1</v>
      </c>
      <c r="AB414">
        <v>-1</v>
      </c>
      <c r="AC414" t="s">
        <v>209</v>
      </c>
      <c r="AD414">
        <v>1</v>
      </c>
      <c r="AE414">
        <v>2</v>
      </c>
      <c r="AF414">
        <v>1</v>
      </c>
      <c r="AG414">
        <v>1.5820000000000001</v>
      </c>
      <c r="AH414">
        <v>0.217</v>
      </c>
      <c r="AI414">
        <v>-1</v>
      </c>
      <c r="AL414" t="str">
        <f t="shared" si="45"/>
        <v/>
      </c>
      <c r="AM414">
        <f>VLOOKUP(TRIM(N414),'[1]All - Durations'!$E$2:$H$109,4,FALSE)</f>
        <v>0.88600000000000001</v>
      </c>
      <c r="AN414" t="e">
        <f t="shared" si="46"/>
        <v>#VALUE!</v>
      </c>
      <c r="AO414" t="str">
        <f t="shared" si="47"/>
        <v/>
      </c>
    </row>
    <row r="415" spans="1:41" x14ac:dyDescent="0.25">
      <c r="A415">
        <v>259</v>
      </c>
      <c r="B415" t="s">
        <v>35</v>
      </c>
      <c r="C415">
        <v>3</v>
      </c>
      <c r="D415" t="s">
        <v>36</v>
      </c>
      <c r="E415">
        <v>3</v>
      </c>
      <c r="F415" t="s">
        <v>37</v>
      </c>
      <c r="G415">
        <v>6</v>
      </c>
      <c r="H415">
        <v>10</v>
      </c>
      <c r="I415">
        <v>1</v>
      </c>
      <c r="J415">
        <v>54</v>
      </c>
      <c r="K415">
        <v>51</v>
      </c>
      <c r="L415">
        <v>31</v>
      </c>
      <c r="M415">
        <v>1</v>
      </c>
      <c r="N415" t="s">
        <v>230</v>
      </c>
      <c r="O415" t="s">
        <v>113</v>
      </c>
      <c r="P415" t="s">
        <v>114</v>
      </c>
      <c r="Q415" t="s">
        <v>231</v>
      </c>
      <c r="R415" t="s">
        <v>114</v>
      </c>
      <c r="S415" t="s">
        <v>59</v>
      </c>
      <c r="T415" t="s">
        <v>162</v>
      </c>
      <c r="U415">
        <v>5</v>
      </c>
      <c r="V415" t="s">
        <v>56</v>
      </c>
      <c r="W415" t="s">
        <v>106</v>
      </c>
      <c r="X415" t="s">
        <v>141</v>
      </c>
      <c r="Y415">
        <v>2</v>
      </c>
      <c r="Z415">
        <v>3</v>
      </c>
      <c r="AA415">
        <v>44.1</v>
      </c>
      <c r="AB415">
        <v>-1</v>
      </c>
      <c r="AC415" t="s">
        <v>162</v>
      </c>
      <c r="AD415">
        <v>1</v>
      </c>
      <c r="AE415">
        <v>5</v>
      </c>
      <c r="AF415">
        <v>1</v>
      </c>
      <c r="AG415">
        <v>2.5630000000000002</v>
      </c>
      <c r="AH415">
        <v>0.16700000000000001</v>
      </c>
      <c r="AI415">
        <v>-1</v>
      </c>
      <c r="AL415" t="str">
        <f t="shared" si="45"/>
        <v/>
      </c>
      <c r="AM415">
        <f>VLOOKUP(TRIM(N415),'[1]All - Durations'!$E$2:$H$109,4,FALSE)</f>
        <v>0.92100000000000004</v>
      </c>
      <c r="AN415" t="e">
        <f t="shared" si="46"/>
        <v>#VALUE!</v>
      </c>
      <c r="AO415" t="str">
        <f t="shared" si="47"/>
        <v/>
      </c>
    </row>
    <row r="416" spans="1:41" x14ac:dyDescent="0.25">
      <c r="A416">
        <v>259</v>
      </c>
      <c r="B416" t="s">
        <v>35</v>
      </c>
      <c r="C416">
        <v>3</v>
      </c>
      <c r="D416" t="s">
        <v>36</v>
      </c>
      <c r="E416">
        <v>3</v>
      </c>
      <c r="F416" t="s">
        <v>37</v>
      </c>
      <c r="G416">
        <v>6</v>
      </c>
      <c r="H416">
        <v>10</v>
      </c>
      <c r="I416">
        <v>1</v>
      </c>
      <c r="J416">
        <v>55</v>
      </c>
      <c r="K416">
        <v>55</v>
      </c>
      <c r="L416">
        <v>29</v>
      </c>
      <c r="M416">
        <v>1</v>
      </c>
      <c r="N416" t="s">
        <v>217</v>
      </c>
      <c r="O416" t="s">
        <v>113</v>
      </c>
      <c r="P416" t="s">
        <v>114</v>
      </c>
      <c r="Q416" t="s">
        <v>218</v>
      </c>
      <c r="R416" t="s">
        <v>114</v>
      </c>
      <c r="S416" t="s">
        <v>52</v>
      </c>
      <c r="T416" t="s">
        <v>214</v>
      </c>
      <c r="U416">
        <v>4</v>
      </c>
      <c r="V416" t="s">
        <v>107</v>
      </c>
      <c r="W416" t="s">
        <v>94</v>
      </c>
      <c r="X416" t="s">
        <v>211</v>
      </c>
      <c r="Y416">
        <v>1</v>
      </c>
      <c r="Z416">
        <v>3</v>
      </c>
      <c r="AA416">
        <v>44.1</v>
      </c>
      <c r="AB416">
        <v>-1</v>
      </c>
      <c r="AC416" t="s">
        <v>214</v>
      </c>
      <c r="AD416">
        <v>1</v>
      </c>
      <c r="AE416">
        <v>4</v>
      </c>
      <c r="AF416">
        <v>1</v>
      </c>
      <c r="AG416">
        <v>2.1920000000000002</v>
      </c>
      <c r="AH416">
        <v>0.2</v>
      </c>
      <c r="AI416">
        <v>-1</v>
      </c>
      <c r="AL416" t="str">
        <f t="shared" si="45"/>
        <v/>
      </c>
      <c r="AM416">
        <f>VLOOKUP(TRIM(N416),'[1]All - Durations'!$E$2:$H$109,4,FALSE)</f>
        <v>0.76300000000000001</v>
      </c>
      <c r="AN416" t="e">
        <f t="shared" si="46"/>
        <v>#VALUE!</v>
      </c>
      <c r="AO416" t="str">
        <f t="shared" si="47"/>
        <v/>
      </c>
    </row>
    <row r="417" spans="1:41" x14ac:dyDescent="0.25">
      <c r="A417">
        <v>259</v>
      </c>
      <c r="B417" t="s">
        <v>35</v>
      </c>
      <c r="C417">
        <v>3</v>
      </c>
      <c r="D417" t="s">
        <v>36</v>
      </c>
      <c r="E417">
        <v>3</v>
      </c>
      <c r="F417" t="s">
        <v>37</v>
      </c>
      <c r="G417">
        <v>6</v>
      </c>
      <c r="H417">
        <v>10</v>
      </c>
      <c r="I417">
        <v>1</v>
      </c>
      <c r="J417">
        <v>56</v>
      </c>
      <c r="K417">
        <v>58</v>
      </c>
      <c r="L417">
        <v>70</v>
      </c>
      <c r="M417">
        <v>2</v>
      </c>
      <c r="N417" t="s">
        <v>232</v>
      </c>
      <c r="O417" t="s">
        <v>113</v>
      </c>
      <c r="P417" t="s">
        <v>114</v>
      </c>
      <c r="Q417" t="s">
        <v>222</v>
      </c>
      <c r="R417" t="s">
        <v>114</v>
      </c>
      <c r="S417" t="s">
        <v>43</v>
      </c>
      <c r="T417" t="s">
        <v>81</v>
      </c>
      <c r="U417">
        <v>2</v>
      </c>
      <c r="V417" t="s">
        <v>104</v>
      </c>
      <c r="W417" t="s">
        <v>47</v>
      </c>
      <c r="X417" t="s">
        <v>54</v>
      </c>
      <c r="Y417">
        <v>2</v>
      </c>
      <c r="Z417">
        <v>3</v>
      </c>
      <c r="AA417">
        <v>44.1</v>
      </c>
      <c r="AB417">
        <v>-1</v>
      </c>
      <c r="AC417" t="s">
        <v>81</v>
      </c>
      <c r="AD417">
        <v>1</v>
      </c>
      <c r="AE417">
        <v>2</v>
      </c>
      <c r="AF417">
        <v>1</v>
      </c>
      <c r="AG417">
        <v>3.4540000000000002</v>
      </c>
      <c r="AH417">
        <v>0.25</v>
      </c>
      <c r="AI417">
        <v>-1</v>
      </c>
      <c r="AL417" t="str">
        <f t="shared" si="45"/>
        <v/>
      </c>
      <c r="AM417">
        <f>VLOOKUP(TRIM(N417),'[1]All - Durations'!$E$2:$H$109,4,FALSE)</f>
        <v>1.0269999999999999</v>
      </c>
      <c r="AN417" t="e">
        <f t="shared" si="46"/>
        <v>#VALUE!</v>
      </c>
      <c r="AO417" t="str">
        <f t="shared" si="47"/>
        <v/>
      </c>
    </row>
    <row r="418" spans="1:41" x14ac:dyDescent="0.25">
      <c r="A418">
        <v>259</v>
      </c>
      <c r="B418" t="s">
        <v>35</v>
      </c>
      <c r="C418">
        <v>3</v>
      </c>
      <c r="D418" t="s">
        <v>36</v>
      </c>
      <c r="E418">
        <v>3</v>
      </c>
      <c r="F418" t="s">
        <v>37</v>
      </c>
      <c r="G418">
        <v>6</v>
      </c>
      <c r="H418">
        <v>10</v>
      </c>
      <c r="I418">
        <v>1</v>
      </c>
      <c r="J418">
        <v>57</v>
      </c>
      <c r="K418">
        <v>59</v>
      </c>
      <c r="L418">
        <v>33</v>
      </c>
      <c r="M418">
        <v>1</v>
      </c>
      <c r="N418" t="s">
        <v>223</v>
      </c>
      <c r="O418" t="s">
        <v>113</v>
      </c>
      <c r="P418" t="s">
        <v>114</v>
      </c>
      <c r="Q418" t="s">
        <v>224</v>
      </c>
      <c r="R418" t="s">
        <v>114</v>
      </c>
      <c r="S418" t="s">
        <v>59</v>
      </c>
      <c r="T418" t="s">
        <v>56</v>
      </c>
      <c r="U418">
        <v>1</v>
      </c>
      <c r="V418" t="s">
        <v>61</v>
      </c>
      <c r="W418" t="s">
        <v>183</v>
      </c>
      <c r="X418" t="s">
        <v>44</v>
      </c>
      <c r="Y418">
        <v>1</v>
      </c>
      <c r="Z418">
        <v>3</v>
      </c>
      <c r="AA418">
        <v>44.1</v>
      </c>
      <c r="AB418">
        <v>-1</v>
      </c>
      <c r="AC418" t="s">
        <v>44</v>
      </c>
      <c r="AD418">
        <v>4</v>
      </c>
      <c r="AE418">
        <v>5</v>
      </c>
      <c r="AF418">
        <v>0</v>
      </c>
      <c r="AG418">
        <v>2.7469999999999999</v>
      </c>
      <c r="AH418">
        <v>0.7</v>
      </c>
      <c r="AI418">
        <v>-1</v>
      </c>
      <c r="AL418" t="str">
        <f t="shared" si="45"/>
        <v/>
      </c>
      <c r="AM418">
        <f>VLOOKUP(TRIM(N418),'[1]All - Durations'!$E$2:$H$109,4,FALSE)</f>
        <v>1.0089999999999999</v>
      </c>
      <c r="AN418" t="e">
        <f t="shared" si="46"/>
        <v>#VALUE!</v>
      </c>
      <c r="AO418" t="str">
        <f t="shared" si="47"/>
        <v/>
      </c>
    </row>
    <row r="419" spans="1:41" x14ac:dyDescent="0.25">
      <c r="A419">
        <v>259</v>
      </c>
      <c r="B419" t="s">
        <v>35</v>
      </c>
      <c r="C419">
        <v>3</v>
      </c>
      <c r="D419" t="s">
        <v>36</v>
      </c>
      <c r="E419">
        <v>3</v>
      </c>
      <c r="F419" t="s">
        <v>37</v>
      </c>
      <c r="G419">
        <v>6</v>
      </c>
      <c r="H419">
        <v>10</v>
      </c>
      <c r="I419">
        <v>1</v>
      </c>
      <c r="J419">
        <v>58</v>
      </c>
      <c r="K419">
        <v>57</v>
      </c>
      <c r="L419">
        <v>69</v>
      </c>
      <c r="M419">
        <v>2</v>
      </c>
      <c r="N419" t="s">
        <v>221</v>
      </c>
      <c r="O419" t="s">
        <v>113</v>
      </c>
      <c r="P419" t="s">
        <v>114</v>
      </c>
      <c r="Q419" t="s">
        <v>222</v>
      </c>
      <c r="R419" t="s">
        <v>114</v>
      </c>
      <c r="S419" t="s">
        <v>52</v>
      </c>
      <c r="T419" t="s">
        <v>69</v>
      </c>
      <c r="U419">
        <v>1</v>
      </c>
      <c r="V419" t="s">
        <v>81</v>
      </c>
      <c r="W419" t="s">
        <v>66</v>
      </c>
      <c r="X419" t="s">
        <v>139</v>
      </c>
      <c r="Y419">
        <v>1</v>
      </c>
      <c r="Z419">
        <v>3</v>
      </c>
      <c r="AA419">
        <v>44.1</v>
      </c>
      <c r="AB419">
        <v>-1</v>
      </c>
      <c r="AC419" t="s">
        <v>69</v>
      </c>
      <c r="AD419">
        <v>1</v>
      </c>
      <c r="AE419">
        <v>1</v>
      </c>
      <c r="AF419">
        <v>1</v>
      </c>
      <c r="AG419">
        <v>0.61899999999999999</v>
      </c>
      <c r="AH419">
        <v>0.28299999999999997</v>
      </c>
      <c r="AI419">
        <v>-1</v>
      </c>
      <c r="AL419" t="str">
        <f t="shared" si="45"/>
        <v/>
      </c>
      <c r="AM419">
        <f>VLOOKUP(TRIM(N419),'[1]All - Durations'!$E$2:$H$109,4,FALSE)</f>
        <v>0.79100000000000004</v>
      </c>
      <c r="AN419" t="e">
        <f t="shared" si="46"/>
        <v>#VALUE!</v>
      </c>
      <c r="AO419" t="str">
        <f t="shared" si="47"/>
        <v/>
      </c>
    </row>
    <row r="420" spans="1:41" x14ac:dyDescent="0.25">
      <c r="A420">
        <v>259</v>
      </c>
      <c r="B420" t="s">
        <v>35</v>
      </c>
      <c r="C420">
        <v>3</v>
      </c>
      <c r="D420" t="s">
        <v>36</v>
      </c>
      <c r="E420">
        <v>3</v>
      </c>
      <c r="F420" t="s">
        <v>37</v>
      </c>
      <c r="G420">
        <v>6</v>
      </c>
      <c r="H420">
        <v>10</v>
      </c>
      <c r="I420">
        <v>1</v>
      </c>
      <c r="J420">
        <v>59</v>
      </c>
      <c r="K420">
        <v>60</v>
      </c>
      <c r="L420">
        <v>34</v>
      </c>
      <c r="M420">
        <v>1</v>
      </c>
      <c r="N420" t="s">
        <v>228</v>
      </c>
      <c r="O420" t="s">
        <v>113</v>
      </c>
      <c r="P420" t="s">
        <v>114</v>
      </c>
      <c r="Q420" t="s">
        <v>224</v>
      </c>
      <c r="R420" t="s">
        <v>114</v>
      </c>
      <c r="S420" t="s">
        <v>52</v>
      </c>
      <c r="T420" t="s">
        <v>61</v>
      </c>
      <c r="U420">
        <v>1</v>
      </c>
      <c r="V420" t="s">
        <v>69</v>
      </c>
      <c r="W420" t="s">
        <v>108</v>
      </c>
      <c r="X420" t="s">
        <v>138</v>
      </c>
      <c r="Y420">
        <v>2</v>
      </c>
      <c r="Z420">
        <v>3</v>
      </c>
      <c r="AA420">
        <v>44.1</v>
      </c>
      <c r="AB420">
        <v>-1</v>
      </c>
      <c r="AC420" t="s">
        <v>61</v>
      </c>
      <c r="AD420">
        <v>1</v>
      </c>
      <c r="AE420">
        <v>1</v>
      </c>
      <c r="AF420">
        <v>1</v>
      </c>
      <c r="AG420">
        <v>0.73099999999999998</v>
      </c>
      <c r="AH420">
        <v>0.26700000000000002</v>
      </c>
      <c r="AI420">
        <v>-1</v>
      </c>
      <c r="AL420" t="str">
        <f t="shared" si="45"/>
        <v/>
      </c>
      <c r="AM420">
        <f>VLOOKUP(TRIM(N420),'[1]All - Durations'!$E$2:$H$109,4,FALSE)</f>
        <v>0.93300000000000005</v>
      </c>
      <c r="AN420" t="e">
        <f t="shared" si="46"/>
        <v>#VALUE!</v>
      </c>
      <c r="AO420" t="str">
        <f t="shared" si="47"/>
        <v/>
      </c>
    </row>
    <row r="421" spans="1:41" x14ac:dyDescent="0.25">
      <c r="A421">
        <v>259</v>
      </c>
      <c r="B421" t="s">
        <v>35</v>
      </c>
      <c r="C421">
        <v>3</v>
      </c>
      <c r="D421" t="s">
        <v>36</v>
      </c>
      <c r="E421">
        <v>3</v>
      </c>
      <c r="F421" t="s">
        <v>37</v>
      </c>
      <c r="G421">
        <v>6</v>
      </c>
      <c r="H421">
        <v>10</v>
      </c>
      <c r="I421">
        <v>1</v>
      </c>
      <c r="J421">
        <v>60</v>
      </c>
      <c r="K421">
        <v>52</v>
      </c>
      <c r="L421">
        <v>32</v>
      </c>
      <c r="M421">
        <v>1</v>
      </c>
      <c r="N421" t="s">
        <v>234</v>
      </c>
      <c r="O421" t="s">
        <v>113</v>
      </c>
      <c r="P421" t="s">
        <v>114</v>
      </c>
      <c r="Q421" t="s">
        <v>231</v>
      </c>
      <c r="R421" t="s">
        <v>114</v>
      </c>
      <c r="S421" t="s">
        <v>43</v>
      </c>
      <c r="T421" t="s">
        <v>111</v>
      </c>
      <c r="U421">
        <v>1</v>
      </c>
      <c r="V421" t="s">
        <v>162</v>
      </c>
      <c r="W421" t="s">
        <v>79</v>
      </c>
      <c r="X421" t="s">
        <v>68</v>
      </c>
      <c r="Y421">
        <v>1</v>
      </c>
      <c r="Z421">
        <v>3</v>
      </c>
      <c r="AA421">
        <v>44.1</v>
      </c>
      <c r="AB421">
        <v>-1</v>
      </c>
      <c r="AC421" t="s">
        <v>162</v>
      </c>
      <c r="AD421">
        <v>2</v>
      </c>
      <c r="AE421">
        <v>2</v>
      </c>
      <c r="AF421">
        <v>0</v>
      </c>
      <c r="AG421">
        <v>2.8479999999999999</v>
      </c>
      <c r="AH421">
        <v>0.2</v>
      </c>
      <c r="AI421">
        <v>-1</v>
      </c>
      <c r="AL421" t="str">
        <f t="shared" si="45"/>
        <v/>
      </c>
      <c r="AM421">
        <f>VLOOKUP(TRIM(N421),'[1]All - Durations'!$E$2:$H$109,4,FALSE)</f>
        <v>0.9</v>
      </c>
      <c r="AN421" t="e">
        <f t="shared" si="46"/>
        <v>#VALUE!</v>
      </c>
      <c r="AO421" t="str">
        <f t="shared" si="47"/>
        <v/>
      </c>
    </row>
    <row r="422" spans="1:41" x14ac:dyDescent="0.25">
      <c r="A422">
        <v>259</v>
      </c>
      <c r="B422" t="s">
        <v>35</v>
      </c>
      <c r="C422">
        <v>3</v>
      </c>
      <c r="D422" t="s">
        <v>36</v>
      </c>
      <c r="E422">
        <v>3</v>
      </c>
      <c r="F422" t="s">
        <v>37</v>
      </c>
      <c r="G422">
        <v>6</v>
      </c>
      <c r="H422">
        <v>10</v>
      </c>
      <c r="I422">
        <v>1</v>
      </c>
      <c r="J422">
        <v>61</v>
      </c>
      <c r="K422">
        <v>63</v>
      </c>
      <c r="L422">
        <v>19</v>
      </c>
      <c r="M422">
        <v>1</v>
      </c>
      <c r="N422" t="s">
        <v>253</v>
      </c>
      <c r="O422" t="s">
        <v>151</v>
      </c>
      <c r="P422" t="s">
        <v>239</v>
      </c>
      <c r="Q422" t="s">
        <v>240</v>
      </c>
      <c r="R422" t="s">
        <v>170</v>
      </c>
      <c r="S422" t="s">
        <v>59</v>
      </c>
      <c r="T422" t="s">
        <v>211</v>
      </c>
      <c r="U422">
        <v>2</v>
      </c>
      <c r="V422" t="s">
        <v>96</v>
      </c>
      <c r="W422" t="s">
        <v>137</v>
      </c>
      <c r="X422" t="s">
        <v>53</v>
      </c>
      <c r="Y422">
        <v>2</v>
      </c>
      <c r="Z422">
        <v>3</v>
      </c>
      <c r="AA422">
        <v>44.1</v>
      </c>
      <c r="AB422">
        <v>-1</v>
      </c>
      <c r="AC422" t="s">
        <v>211</v>
      </c>
      <c r="AD422">
        <v>1</v>
      </c>
      <c r="AE422">
        <v>2</v>
      </c>
      <c r="AF422">
        <v>1</v>
      </c>
      <c r="AG422">
        <v>2.4239999999999999</v>
      </c>
      <c r="AH422">
        <v>0.28299999999999997</v>
      </c>
      <c r="AI422">
        <v>-1</v>
      </c>
      <c r="AL422" t="str">
        <f t="shared" si="45"/>
        <v/>
      </c>
      <c r="AM422">
        <f>VLOOKUP(TRIM(N422),'[1]All - Durations'!$E$2:$H$109,4,FALSE)</f>
        <v>0.92100000000000004</v>
      </c>
      <c r="AN422" t="e">
        <f t="shared" si="46"/>
        <v>#VALUE!</v>
      </c>
      <c r="AO422" t="str">
        <f t="shared" si="47"/>
        <v/>
      </c>
    </row>
    <row r="423" spans="1:41" x14ac:dyDescent="0.25">
      <c r="A423">
        <v>259</v>
      </c>
      <c r="B423" t="s">
        <v>35</v>
      </c>
      <c r="C423">
        <v>3</v>
      </c>
      <c r="D423" t="s">
        <v>36</v>
      </c>
      <c r="E423">
        <v>3</v>
      </c>
      <c r="F423" t="s">
        <v>37</v>
      </c>
      <c r="G423">
        <v>6</v>
      </c>
      <c r="H423">
        <v>10</v>
      </c>
      <c r="I423">
        <v>1</v>
      </c>
      <c r="J423">
        <v>62</v>
      </c>
      <c r="K423">
        <v>72</v>
      </c>
      <c r="L423">
        <v>22</v>
      </c>
      <c r="M423">
        <v>1</v>
      </c>
      <c r="N423" t="s">
        <v>241</v>
      </c>
      <c r="O423" t="s">
        <v>151</v>
      </c>
      <c r="P423" t="s">
        <v>242</v>
      </c>
      <c r="Q423" t="s">
        <v>243</v>
      </c>
      <c r="R423" t="s">
        <v>174</v>
      </c>
      <c r="S423" t="s">
        <v>52</v>
      </c>
      <c r="T423" t="s">
        <v>132</v>
      </c>
      <c r="U423">
        <v>4</v>
      </c>
      <c r="V423" t="s">
        <v>166</v>
      </c>
      <c r="W423" t="s">
        <v>111</v>
      </c>
      <c r="X423" t="s">
        <v>66</v>
      </c>
      <c r="Y423">
        <v>2</v>
      </c>
      <c r="Z423">
        <v>3</v>
      </c>
      <c r="AA423">
        <v>44.1</v>
      </c>
      <c r="AB423">
        <v>-1</v>
      </c>
      <c r="AC423" t="s">
        <v>111</v>
      </c>
      <c r="AD423">
        <v>4</v>
      </c>
      <c r="AE423">
        <v>5</v>
      </c>
      <c r="AF423">
        <v>0</v>
      </c>
      <c r="AG423">
        <v>3.093</v>
      </c>
      <c r="AH423">
        <v>0.26700000000000002</v>
      </c>
      <c r="AI423">
        <v>-1</v>
      </c>
      <c r="AL423" t="str">
        <f t="shared" si="45"/>
        <v/>
      </c>
      <c r="AM423">
        <f>VLOOKUP(TRIM(N423),'[1]All - Durations'!$E$2:$H$109,4,FALSE)</f>
        <v>0.97099999999999997</v>
      </c>
      <c r="AN423" t="e">
        <f t="shared" si="46"/>
        <v>#VALUE!</v>
      </c>
      <c r="AO423" t="str">
        <f t="shared" si="47"/>
        <v/>
      </c>
    </row>
    <row r="424" spans="1:41" x14ac:dyDescent="0.25">
      <c r="A424">
        <v>259</v>
      </c>
      <c r="B424" t="s">
        <v>35</v>
      </c>
      <c r="C424">
        <v>3</v>
      </c>
      <c r="D424" t="s">
        <v>36</v>
      </c>
      <c r="E424">
        <v>3</v>
      </c>
      <c r="F424" t="s">
        <v>37</v>
      </c>
      <c r="G424">
        <v>6</v>
      </c>
      <c r="H424">
        <v>10</v>
      </c>
      <c r="I424">
        <v>1</v>
      </c>
      <c r="J424">
        <v>63</v>
      </c>
      <c r="K424">
        <v>68</v>
      </c>
      <c r="L424">
        <v>18</v>
      </c>
      <c r="M424">
        <v>1</v>
      </c>
      <c r="N424" t="s">
        <v>258</v>
      </c>
      <c r="O424" t="s">
        <v>151</v>
      </c>
      <c r="P424" t="s">
        <v>255</v>
      </c>
      <c r="Q424" t="s">
        <v>256</v>
      </c>
      <c r="R424" t="s">
        <v>160</v>
      </c>
      <c r="S424" t="s">
        <v>43</v>
      </c>
      <c r="T424" t="s">
        <v>110</v>
      </c>
      <c r="U424">
        <v>2</v>
      </c>
      <c r="V424" t="s">
        <v>82</v>
      </c>
      <c r="W424" t="s">
        <v>214</v>
      </c>
      <c r="X424" t="s">
        <v>147</v>
      </c>
      <c r="Y424">
        <v>2</v>
      </c>
      <c r="Z424">
        <v>3</v>
      </c>
      <c r="AA424">
        <v>44.1</v>
      </c>
      <c r="AB424">
        <v>-1</v>
      </c>
      <c r="AC424" t="s">
        <v>110</v>
      </c>
      <c r="AD424">
        <v>1</v>
      </c>
      <c r="AE424">
        <v>2</v>
      </c>
      <c r="AF424">
        <v>1</v>
      </c>
      <c r="AG424">
        <v>1.379</v>
      </c>
      <c r="AH424">
        <v>0.434</v>
      </c>
      <c r="AI424">
        <v>-1</v>
      </c>
      <c r="AL424" t="str">
        <f t="shared" si="45"/>
        <v/>
      </c>
      <c r="AM424">
        <f>VLOOKUP(TRIM(N424),'[1]All - Durations'!$E$2:$H$109,4,FALSE)</f>
        <v>0.86299999999999999</v>
      </c>
      <c r="AN424" t="e">
        <f t="shared" si="46"/>
        <v>#VALUE!</v>
      </c>
      <c r="AO424" t="str">
        <f t="shared" si="47"/>
        <v/>
      </c>
    </row>
    <row r="425" spans="1:41" x14ac:dyDescent="0.25">
      <c r="A425">
        <v>259</v>
      </c>
      <c r="B425" t="s">
        <v>35</v>
      </c>
      <c r="C425">
        <v>3</v>
      </c>
      <c r="D425" t="s">
        <v>36</v>
      </c>
      <c r="E425">
        <v>3</v>
      </c>
      <c r="F425" t="s">
        <v>37</v>
      </c>
      <c r="G425">
        <v>6</v>
      </c>
      <c r="H425">
        <v>10</v>
      </c>
      <c r="I425">
        <v>1</v>
      </c>
      <c r="J425">
        <v>64</v>
      </c>
      <c r="K425">
        <v>61</v>
      </c>
      <c r="L425">
        <v>23</v>
      </c>
      <c r="M425">
        <v>1</v>
      </c>
      <c r="N425" t="s">
        <v>244</v>
      </c>
      <c r="O425" t="s">
        <v>151</v>
      </c>
      <c r="P425" t="s">
        <v>245</v>
      </c>
      <c r="Q425" t="s">
        <v>246</v>
      </c>
      <c r="R425" t="s">
        <v>154</v>
      </c>
      <c r="S425" t="s">
        <v>92</v>
      </c>
      <c r="T425" t="s">
        <v>62</v>
      </c>
      <c r="U425">
        <v>1</v>
      </c>
      <c r="V425" t="s">
        <v>121</v>
      </c>
      <c r="W425" t="s">
        <v>73</v>
      </c>
      <c r="X425" t="s">
        <v>162</v>
      </c>
      <c r="Y425">
        <v>1</v>
      </c>
      <c r="Z425">
        <v>3</v>
      </c>
      <c r="AA425">
        <v>44.1</v>
      </c>
      <c r="AB425">
        <v>-1</v>
      </c>
      <c r="AC425" t="s">
        <v>62</v>
      </c>
      <c r="AD425">
        <v>1</v>
      </c>
      <c r="AE425">
        <v>1</v>
      </c>
      <c r="AF425">
        <v>1</v>
      </c>
      <c r="AG425">
        <v>1.839</v>
      </c>
      <c r="AH425">
        <v>0.2</v>
      </c>
      <c r="AI425">
        <v>-1</v>
      </c>
      <c r="AL425" t="str">
        <f t="shared" si="45"/>
        <v/>
      </c>
      <c r="AM425">
        <f>VLOOKUP(TRIM(N425),'[1]All - Durations'!$E$2:$H$109,4,FALSE)</f>
        <v>0.88300000000000001</v>
      </c>
      <c r="AN425" t="e">
        <f t="shared" si="46"/>
        <v>#VALUE!</v>
      </c>
      <c r="AO425" t="str">
        <f t="shared" si="47"/>
        <v/>
      </c>
    </row>
    <row r="426" spans="1:41" x14ac:dyDescent="0.25">
      <c r="A426">
        <v>259</v>
      </c>
      <c r="B426" t="s">
        <v>35</v>
      </c>
      <c r="C426">
        <v>3</v>
      </c>
      <c r="D426" t="s">
        <v>36</v>
      </c>
      <c r="E426">
        <v>3</v>
      </c>
      <c r="F426" t="s">
        <v>37</v>
      </c>
      <c r="G426">
        <v>6</v>
      </c>
      <c r="H426">
        <v>10</v>
      </c>
      <c r="I426">
        <v>1</v>
      </c>
      <c r="J426">
        <v>65</v>
      </c>
      <c r="K426">
        <v>69</v>
      </c>
      <c r="L426">
        <v>57</v>
      </c>
      <c r="M426">
        <v>2</v>
      </c>
      <c r="N426" t="s">
        <v>247</v>
      </c>
      <c r="O426" t="s">
        <v>151</v>
      </c>
      <c r="P426" t="s">
        <v>236</v>
      </c>
      <c r="Q426" t="s">
        <v>237</v>
      </c>
      <c r="R426" t="s">
        <v>174</v>
      </c>
      <c r="S426" t="s">
        <v>52</v>
      </c>
      <c r="T426" t="s">
        <v>75</v>
      </c>
      <c r="U426">
        <v>1</v>
      </c>
      <c r="V426" t="s">
        <v>55</v>
      </c>
      <c r="W426" t="s">
        <v>93</v>
      </c>
      <c r="X426" t="s">
        <v>95</v>
      </c>
      <c r="Y426">
        <v>1</v>
      </c>
      <c r="Z426">
        <v>3</v>
      </c>
      <c r="AA426">
        <v>44.1</v>
      </c>
      <c r="AB426">
        <v>-1</v>
      </c>
      <c r="AC426" t="s">
        <v>75</v>
      </c>
      <c r="AD426">
        <v>1</v>
      </c>
      <c r="AE426">
        <v>1</v>
      </c>
      <c r="AF426">
        <v>1</v>
      </c>
      <c r="AG426">
        <v>0.67900000000000005</v>
      </c>
      <c r="AH426">
        <v>0.23300000000000001</v>
      </c>
      <c r="AI426">
        <v>-1</v>
      </c>
      <c r="AL426" t="str">
        <f t="shared" si="45"/>
        <v/>
      </c>
      <c r="AM426">
        <f>VLOOKUP(TRIM(N426),'[1]All - Durations'!$E$2:$H$109,4,FALSE)</f>
        <v>0.94399999999999995</v>
      </c>
      <c r="AN426" t="e">
        <f t="shared" si="46"/>
        <v>#VALUE!</v>
      </c>
      <c r="AO426" t="str">
        <f t="shared" si="47"/>
        <v/>
      </c>
    </row>
    <row r="427" spans="1:41" x14ac:dyDescent="0.25">
      <c r="A427">
        <v>259</v>
      </c>
      <c r="B427" t="s">
        <v>35</v>
      </c>
      <c r="C427">
        <v>3</v>
      </c>
      <c r="D427" t="s">
        <v>36</v>
      </c>
      <c r="E427">
        <v>3</v>
      </c>
      <c r="F427" t="s">
        <v>37</v>
      </c>
      <c r="G427">
        <v>6</v>
      </c>
      <c r="H427">
        <v>10</v>
      </c>
      <c r="I427">
        <v>1</v>
      </c>
      <c r="J427">
        <v>66</v>
      </c>
      <c r="K427">
        <v>62</v>
      </c>
      <c r="L427">
        <v>24</v>
      </c>
      <c r="M427">
        <v>1</v>
      </c>
      <c r="N427" t="s">
        <v>251</v>
      </c>
      <c r="O427" t="s">
        <v>151</v>
      </c>
      <c r="P427" t="s">
        <v>245</v>
      </c>
      <c r="Q427" t="s">
        <v>246</v>
      </c>
      <c r="R427" t="s">
        <v>160</v>
      </c>
      <c r="S427" t="s">
        <v>43</v>
      </c>
      <c r="T427" t="s">
        <v>121</v>
      </c>
      <c r="U427">
        <v>1</v>
      </c>
      <c r="V427" t="s">
        <v>161</v>
      </c>
      <c r="W427" t="s">
        <v>144</v>
      </c>
      <c r="X427" t="s">
        <v>119</v>
      </c>
      <c r="Y427">
        <v>2</v>
      </c>
      <c r="Z427">
        <v>3</v>
      </c>
      <c r="AA427">
        <v>44.1</v>
      </c>
      <c r="AB427">
        <v>-1</v>
      </c>
      <c r="AC427" t="s">
        <v>119</v>
      </c>
      <c r="AD427">
        <v>4</v>
      </c>
      <c r="AE427">
        <v>2</v>
      </c>
      <c r="AF427">
        <v>0</v>
      </c>
      <c r="AG427">
        <v>2.0979999999999999</v>
      </c>
      <c r="AH427">
        <v>0.33300000000000002</v>
      </c>
      <c r="AI427">
        <v>-1</v>
      </c>
      <c r="AL427" t="str">
        <f t="shared" si="45"/>
        <v/>
      </c>
      <c r="AM427">
        <f>VLOOKUP(TRIM(N427),'[1]All - Durations'!$E$2:$H$109,4,FALSE)</f>
        <v>0.81699999999999995</v>
      </c>
      <c r="AN427" t="e">
        <f t="shared" si="46"/>
        <v>#VALUE!</v>
      </c>
      <c r="AO427" t="str">
        <f t="shared" si="47"/>
        <v/>
      </c>
    </row>
    <row r="428" spans="1:41" x14ac:dyDescent="0.25">
      <c r="A428">
        <v>259</v>
      </c>
      <c r="B428" t="s">
        <v>35</v>
      </c>
      <c r="C428">
        <v>3</v>
      </c>
      <c r="D428" t="s">
        <v>36</v>
      </c>
      <c r="E428">
        <v>3</v>
      </c>
      <c r="F428" t="s">
        <v>37</v>
      </c>
      <c r="G428">
        <v>6</v>
      </c>
      <c r="H428">
        <v>10</v>
      </c>
      <c r="I428">
        <v>1</v>
      </c>
      <c r="J428">
        <v>67</v>
      </c>
      <c r="K428">
        <v>65</v>
      </c>
      <c r="L428">
        <v>53</v>
      </c>
      <c r="M428">
        <v>2</v>
      </c>
      <c r="N428" t="s">
        <v>257</v>
      </c>
      <c r="O428" t="s">
        <v>151</v>
      </c>
      <c r="P428" t="s">
        <v>249</v>
      </c>
      <c r="Q428" t="s">
        <v>250</v>
      </c>
      <c r="R428" t="s">
        <v>170</v>
      </c>
      <c r="S428" t="s">
        <v>59</v>
      </c>
      <c r="T428" t="s">
        <v>204</v>
      </c>
      <c r="U428">
        <v>2</v>
      </c>
      <c r="V428" t="s">
        <v>68</v>
      </c>
      <c r="W428" t="s">
        <v>131</v>
      </c>
      <c r="X428" t="s">
        <v>74</v>
      </c>
      <c r="Y428">
        <v>1</v>
      </c>
      <c r="Z428">
        <v>3</v>
      </c>
      <c r="AA428">
        <v>44.1</v>
      </c>
      <c r="AB428">
        <v>-1</v>
      </c>
      <c r="AC428" t="s">
        <v>68</v>
      </c>
      <c r="AD428">
        <v>2</v>
      </c>
      <c r="AE428">
        <v>1</v>
      </c>
      <c r="AF428">
        <v>0</v>
      </c>
      <c r="AG428">
        <v>2.1520000000000001</v>
      </c>
      <c r="AH428">
        <v>0.6</v>
      </c>
      <c r="AI428">
        <v>-1</v>
      </c>
      <c r="AL428" t="str">
        <f t="shared" si="45"/>
        <v/>
      </c>
      <c r="AM428">
        <f>VLOOKUP(TRIM(N428),'[1]All - Durations'!$E$2:$H$109,4,FALSE)</f>
        <v>0.98299999999999998</v>
      </c>
      <c r="AN428" t="e">
        <f t="shared" si="46"/>
        <v>#VALUE!</v>
      </c>
      <c r="AO428" t="str">
        <f t="shared" si="47"/>
        <v/>
      </c>
    </row>
    <row r="429" spans="1:41" x14ac:dyDescent="0.25">
      <c r="A429">
        <v>259</v>
      </c>
      <c r="B429" t="s">
        <v>35</v>
      </c>
      <c r="C429">
        <v>3</v>
      </c>
      <c r="D429" t="s">
        <v>36</v>
      </c>
      <c r="E429">
        <v>3</v>
      </c>
      <c r="F429" t="s">
        <v>37</v>
      </c>
      <c r="G429">
        <v>6</v>
      </c>
      <c r="H429">
        <v>10</v>
      </c>
      <c r="I429">
        <v>1</v>
      </c>
      <c r="J429">
        <v>68</v>
      </c>
      <c r="K429">
        <v>71</v>
      </c>
      <c r="L429">
        <v>21</v>
      </c>
      <c r="M429">
        <v>1</v>
      </c>
      <c r="N429" t="s">
        <v>252</v>
      </c>
      <c r="O429" t="s">
        <v>151</v>
      </c>
      <c r="P429" t="s">
        <v>242</v>
      </c>
      <c r="Q429" t="s">
        <v>243</v>
      </c>
      <c r="R429" t="s">
        <v>170</v>
      </c>
      <c r="S429" t="s">
        <v>59</v>
      </c>
      <c r="T429" t="s">
        <v>146</v>
      </c>
      <c r="U429">
        <v>2</v>
      </c>
      <c r="V429" t="s">
        <v>132</v>
      </c>
      <c r="W429" t="s">
        <v>80</v>
      </c>
      <c r="X429" t="s">
        <v>209</v>
      </c>
      <c r="Y429">
        <v>1</v>
      </c>
      <c r="Z429">
        <v>3</v>
      </c>
      <c r="AA429">
        <v>44.1</v>
      </c>
      <c r="AB429">
        <v>-1</v>
      </c>
      <c r="AC429" t="s">
        <v>132</v>
      </c>
      <c r="AD429">
        <v>2</v>
      </c>
      <c r="AE429">
        <v>1</v>
      </c>
      <c r="AF429">
        <v>0</v>
      </c>
      <c r="AG429">
        <v>2.1120000000000001</v>
      </c>
      <c r="AH429">
        <v>0.33300000000000002</v>
      </c>
      <c r="AI429">
        <v>-1</v>
      </c>
      <c r="AL429" t="str">
        <f t="shared" si="45"/>
        <v/>
      </c>
      <c r="AM429">
        <f>VLOOKUP(TRIM(N429),'[1]All - Durations'!$E$2:$H$109,4,FALSE)</f>
        <v>1.026</v>
      </c>
      <c r="AN429" t="e">
        <f t="shared" si="46"/>
        <v>#VALUE!</v>
      </c>
      <c r="AO429" t="str">
        <f t="shared" si="47"/>
        <v/>
      </c>
    </row>
    <row r="430" spans="1:41" x14ac:dyDescent="0.25">
      <c r="A430">
        <v>259</v>
      </c>
      <c r="B430" t="s">
        <v>35</v>
      </c>
      <c r="C430">
        <v>3</v>
      </c>
      <c r="D430" t="s">
        <v>36</v>
      </c>
      <c r="E430">
        <v>3</v>
      </c>
      <c r="F430" t="s">
        <v>37</v>
      </c>
      <c r="G430">
        <v>6</v>
      </c>
      <c r="H430">
        <v>10</v>
      </c>
      <c r="I430">
        <v>1</v>
      </c>
      <c r="J430">
        <v>69</v>
      </c>
      <c r="K430">
        <v>66</v>
      </c>
      <c r="L430">
        <v>54</v>
      </c>
      <c r="M430">
        <v>2</v>
      </c>
      <c r="N430" t="s">
        <v>248</v>
      </c>
      <c r="O430" t="s">
        <v>151</v>
      </c>
      <c r="P430" t="s">
        <v>249</v>
      </c>
      <c r="Q430" t="s">
        <v>250</v>
      </c>
      <c r="R430" t="s">
        <v>154</v>
      </c>
      <c r="S430" t="s">
        <v>92</v>
      </c>
      <c r="T430" t="s">
        <v>68</v>
      </c>
      <c r="U430">
        <v>1</v>
      </c>
      <c r="V430" t="s">
        <v>183</v>
      </c>
      <c r="W430" t="s">
        <v>156</v>
      </c>
      <c r="X430" t="s">
        <v>46</v>
      </c>
      <c r="Y430">
        <v>2</v>
      </c>
      <c r="Z430">
        <v>3</v>
      </c>
      <c r="AA430">
        <v>44.1</v>
      </c>
      <c r="AB430">
        <v>-1</v>
      </c>
      <c r="AC430" t="s">
        <v>156</v>
      </c>
      <c r="AD430">
        <v>4</v>
      </c>
      <c r="AE430">
        <v>2</v>
      </c>
      <c r="AF430">
        <v>0</v>
      </c>
      <c r="AG430">
        <v>1.7769999999999999</v>
      </c>
      <c r="AH430">
        <v>0.13300000000000001</v>
      </c>
      <c r="AI430">
        <v>-1</v>
      </c>
      <c r="AL430" t="str">
        <f t="shared" si="45"/>
        <v/>
      </c>
      <c r="AM430">
        <f>VLOOKUP(TRIM(N430),'[1]All - Durations'!$E$2:$H$109,4,FALSE)</f>
        <v>0.94199999999999995</v>
      </c>
      <c r="AN430" t="e">
        <f t="shared" si="46"/>
        <v>#VALUE!</v>
      </c>
      <c r="AO430" t="str">
        <f t="shared" si="47"/>
        <v/>
      </c>
    </row>
    <row r="431" spans="1:41" x14ac:dyDescent="0.25">
      <c r="A431">
        <v>259</v>
      </c>
      <c r="B431" t="s">
        <v>35</v>
      </c>
      <c r="C431">
        <v>3</v>
      </c>
      <c r="D431" t="s">
        <v>36</v>
      </c>
      <c r="E431">
        <v>3</v>
      </c>
      <c r="F431" t="s">
        <v>37</v>
      </c>
      <c r="G431">
        <v>6</v>
      </c>
      <c r="H431">
        <v>10</v>
      </c>
      <c r="I431">
        <v>1</v>
      </c>
      <c r="J431">
        <v>70</v>
      </c>
      <c r="K431">
        <v>64</v>
      </c>
      <c r="L431">
        <v>20</v>
      </c>
      <c r="M431">
        <v>1</v>
      </c>
      <c r="N431" t="s">
        <v>238</v>
      </c>
      <c r="O431" t="s">
        <v>151</v>
      </c>
      <c r="P431" t="s">
        <v>239</v>
      </c>
      <c r="Q431" t="s">
        <v>240</v>
      </c>
      <c r="R431" t="s">
        <v>160</v>
      </c>
      <c r="S431" t="s">
        <v>43</v>
      </c>
      <c r="T431" t="s">
        <v>82</v>
      </c>
      <c r="U431">
        <v>5</v>
      </c>
      <c r="V431" t="s">
        <v>211</v>
      </c>
      <c r="W431" t="s">
        <v>120</v>
      </c>
      <c r="X431" t="s">
        <v>94</v>
      </c>
      <c r="Y431">
        <v>1</v>
      </c>
      <c r="Z431">
        <v>3</v>
      </c>
      <c r="AA431">
        <v>44.1</v>
      </c>
      <c r="AB431">
        <v>-1</v>
      </c>
      <c r="AC431" t="s">
        <v>82</v>
      </c>
      <c r="AD431">
        <v>1</v>
      </c>
      <c r="AE431">
        <v>5</v>
      </c>
      <c r="AF431">
        <v>1</v>
      </c>
      <c r="AG431">
        <v>1.4570000000000001</v>
      </c>
      <c r="AH431">
        <v>0.26700000000000002</v>
      </c>
      <c r="AI431">
        <v>-1</v>
      </c>
      <c r="AL431" t="str">
        <f t="shared" si="45"/>
        <v/>
      </c>
      <c r="AM431">
        <f>VLOOKUP(TRIM(N431),'[1]All - Durations'!$E$2:$H$109,4,FALSE)</f>
        <v>0.9</v>
      </c>
      <c r="AN431" t="e">
        <f t="shared" si="46"/>
        <v>#VALUE!</v>
      </c>
      <c r="AO431" t="str">
        <f t="shared" si="47"/>
        <v/>
      </c>
    </row>
    <row r="432" spans="1:41" x14ac:dyDescent="0.25">
      <c r="A432">
        <v>259</v>
      </c>
      <c r="B432" t="s">
        <v>35</v>
      </c>
      <c r="C432">
        <v>3</v>
      </c>
      <c r="D432" t="s">
        <v>36</v>
      </c>
      <c r="E432">
        <v>3</v>
      </c>
      <c r="F432" t="s">
        <v>37</v>
      </c>
      <c r="G432">
        <v>6</v>
      </c>
      <c r="H432">
        <v>10</v>
      </c>
      <c r="I432">
        <v>1</v>
      </c>
      <c r="J432">
        <v>71</v>
      </c>
      <c r="K432">
        <v>67</v>
      </c>
      <c r="L432">
        <v>17</v>
      </c>
      <c r="M432">
        <v>1</v>
      </c>
      <c r="N432" t="s">
        <v>254</v>
      </c>
      <c r="O432" t="s">
        <v>151</v>
      </c>
      <c r="P432" t="s">
        <v>255</v>
      </c>
      <c r="Q432" t="s">
        <v>256</v>
      </c>
      <c r="R432" t="s">
        <v>174</v>
      </c>
      <c r="S432" t="s">
        <v>52</v>
      </c>
      <c r="T432" t="s">
        <v>47</v>
      </c>
      <c r="U432">
        <v>5</v>
      </c>
      <c r="V432" t="s">
        <v>110</v>
      </c>
      <c r="W432" t="s">
        <v>87</v>
      </c>
      <c r="X432" t="s">
        <v>98</v>
      </c>
      <c r="Y432">
        <v>1</v>
      </c>
      <c r="Z432">
        <v>3</v>
      </c>
      <c r="AA432">
        <v>44.1</v>
      </c>
      <c r="AB432">
        <v>-1</v>
      </c>
      <c r="AC432" t="s">
        <v>98</v>
      </c>
      <c r="AD432">
        <v>4</v>
      </c>
      <c r="AE432">
        <v>2</v>
      </c>
      <c r="AF432">
        <v>0</v>
      </c>
      <c r="AG432">
        <v>3.0720000000000001</v>
      </c>
      <c r="AH432">
        <v>0.53300000000000003</v>
      </c>
      <c r="AI432">
        <v>-1</v>
      </c>
      <c r="AL432" t="str">
        <f t="shared" si="45"/>
        <v/>
      </c>
      <c r="AM432">
        <f>VLOOKUP(TRIM(N432),'[1]All - Durations'!$E$2:$H$109,4,FALSE)</f>
        <v>0.97499999999999998</v>
      </c>
      <c r="AN432" t="e">
        <f t="shared" si="46"/>
        <v>#VALUE!</v>
      </c>
      <c r="AO432" t="str">
        <f t="shared" si="47"/>
        <v/>
      </c>
    </row>
    <row r="433" spans="1:41" x14ac:dyDescent="0.25">
      <c r="A433">
        <v>259</v>
      </c>
      <c r="B433" t="s">
        <v>35</v>
      </c>
      <c r="C433">
        <v>3</v>
      </c>
      <c r="D433" t="s">
        <v>36</v>
      </c>
      <c r="E433">
        <v>3</v>
      </c>
      <c r="F433" t="s">
        <v>37</v>
      </c>
      <c r="G433">
        <v>6</v>
      </c>
      <c r="H433">
        <v>10</v>
      </c>
      <c r="I433">
        <v>1</v>
      </c>
      <c r="J433">
        <v>72</v>
      </c>
      <c r="K433">
        <v>70</v>
      </c>
      <c r="L433">
        <v>58</v>
      </c>
      <c r="M433">
        <v>2</v>
      </c>
      <c r="N433" t="s">
        <v>235</v>
      </c>
      <c r="O433" t="s">
        <v>151</v>
      </c>
      <c r="P433" t="s">
        <v>236</v>
      </c>
      <c r="Q433" t="s">
        <v>237</v>
      </c>
      <c r="R433" t="s">
        <v>160</v>
      </c>
      <c r="S433" t="s">
        <v>43</v>
      </c>
      <c r="T433" t="s">
        <v>55</v>
      </c>
      <c r="U433">
        <v>5</v>
      </c>
      <c r="V433" t="s">
        <v>108</v>
      </c>
      <c r="W433" t="s">
        <v>54</v>
      </c>
      <c r="X433" t="s">
        <v>130</v>
      </c>
      <c r="Y433">
        <v>2</v>
      </c>
      <c r="Z433">
        <v>3</v>
      </c>
      <c r="AA433">
        <v>44.1</v>
      </c>
      <c r="AB433">
        <v>-1</v>
      </c>
      <c r="AC433" t="s">
        <v>108</v>
      </c>
      <c r="AD433">
        <v>3</v>
      </c>
      <c r="AE433">
        <v>2</v>
      </c>
      <c r="AF433">
        <v>0</v>
      </c>
      <c r="AG433">
        <v>2.1880000000000002</v>
      </c>
      <c r="AH433">
        <v>0.85</v>
      </c>
      <c r="AI433">
        <v>-1</v>
      </c>
      <c r="AL433" t="str">
        <f t="shared" si="45"/>
        <v/>
      </c>
      <c r="AM433">
        <f>VLOOKUP(TRIM(N433),'[1]All - Durations'!$E$2:$H$109,4,FALSE)</f>
        <v>0.85899999999999999</v>
      </c>
      <c r="AN433" t="e">
        <f t="shared" si="46"/>
        <v>#VALUE!</v>
      </c>
      <c r="AO433" t="str">
        <f t="shared" si="47"/>
        <v/>
      </c>
    </row>
    <row r="434" spans="1:41" x14ac:dyDescent="0.25">
      <c r="A434">
        <v>259</v>
      </c>
      <c r="B434" t="s">
        <v>35</v>
      </c>
      <c r="C434">
        <v>3</v>
      </c>
      <c r="D434" t="s">
        <v>36</v>
      </c>
      <c r="E434">
        <v>4</v>
      </c>
      <c r="F434" t="s">
        <v>37</v>
      </c>
      <c r="G434">
        <v>7</v>
      </c>
      <c r="H434">
        <v>11</v>
      </c>
      <c r="I434">
        <v>1</v>
      </c>
      <c r="J434">
        <v>1</v>
      </c>
      <c r="K434">
        <v>4</v>
      </c>
      <c r="L434">
        <v>2</v>
      </c>
      <c r="M434">
        <v>1</v>
      </c>
      <c r="N434" t="s">
        <v>109</v>
      </c>
      <c r="O434" t="s">
        <v>39</v>
      </c>
      <c r="P434" t="s">
        <v>71</v>
      </c>
      <c r="Q434" t="s">
        <v>72</v>
      </c>
      <c r="R434" t="s">
        <v>91</v>
      </c>
      <c r="S434" t="s">
        <v>92</v>
      </c>
      <c r="T434" t="s">
        <v>94</v>
      </c>
      <c r="U434">
        <v>5</v>
      </c>
      <c r="V434" t="s">
        <v>54</v>
      </c>
      <c r="W434" t="s">
        <v>61</v>
      </c>
      <c r="X434" t="s">
        <v>161</v>
      </c>
      <c r="Y434">
        <v>2</v>
      </c>
      <c r="Z434">
        <v>4</v>
      </c>
      <c r="AA434">
        <v>44.1</v>
      </c>
      <c r="AB434">
        <v>-1</v>
      </c>
      <c r="AC434" t="s">
        <v>54</v>
      </c>
      <c r="AD434">
        <v>3</v>
      </c>
      <c r="AE434">
        <v>2</v>
      </c>
      <c r="AF434">
        <v>0</v>
      </c>
      <c r="AG434">
        <v>2.2639999999999998</v>
      </c>
      <c r="AH434">
        <v>1.2490000000000001</v>
      </c>
      <c r="AI434">
        <v>-1</v>
      </c>
      <c r="AL434" t="str">
        <f t="shared" si="45"/>
        <v/>
      </c>
      <c r="AM434">
        <f>VLOOKUP(TRIM(N434),'[1]All - Durations'!$E$2:$H$109,4,FALSE)</f>
        <v>0.872</v>
      </c>
      <c r="AN434" t="e">
        <f t="shared" si="46"/>
        <v>#VALUE!</v>
      </c>
      <c r="AO434" t="str">
        <f t="shared" si="47"/>
        <v/>
      </c>
    </row>
    <row r="435" spans="1:41" x14ac:dyDescent="0.25">
      <c r="A435">
        <v>259</v>
      </c>
      <c r="B435" t="s">
        <v>35</v>
      </c>
      <c r="C435">
        <v>3</v>
      </c>
      <c r="D435" t="s">
        <v>36</v>
      </c>
      <c r="E435">
        <v>4</v>
      </c>
      <c r="F435" t="s">
        <v>37</v>
      </c>
      <c r="G435">
        <v>7</v>
      </c>
      <c r="H435">
        <v>11</v>
      </c>
      <c r="I435">
        <v>1</v>
      </c>
      <c r="J435">
        <v>2</v>
      </c>
      <c r="K435">
        <v>9</v>
      </c>
      <c r="L435">
        <v>3</v>
      </c>
      <c r="M435">
        <v>1</v>
      </c>
      <c r="N435" t="s">
        <v>88</v>
      </c>
      <c r="O435" t="s">
        <v>39</v>
      </c>
      <c r="P435" t="s">
        <v>89</v>
      </c>
      <c r="Q435" t="s">
        <v>90</v>
      </c>
      <c r="R435" t="s">
        <v>91</v>
      </c>
      <c r="S435" t="s">
        <v>92</v>
      </c>
      <c r="T435" t="s">
        <v>93</v>
      </c>
      <c r="U435">
        <v>2</v>
      </c>
      <c r="V435" t="s">
        <v>102</v>
      </c>
      <c r="W435" t="s">
        <v>107</v>
      </c>
      <c r="X435" t="s">
        <v>96</v>
      </c>
      <c r="Y435">
        <v>1</v>
      </c>
      <c r="Z435">
        <v>4</v>
      </c>
      <c r="AA435">
        <v>44.1</v>
      </c>
      <c r="AB435">
        <v>-1</v>
      </c>
      <c r="AC435" t="s">
        <v>107</v>
      </c>
      <c r="AD435">
        <v>4</v>
      </c>
      <c r="AE435">
        <v>5</v>
      </c>
      <c r="AF435">
        <v>0</v>
      </c>
      <c r="AG435">
        <v>2.8359999999999999</v>
      </c>
      <c r="AH435">
        <v>1.9339999999999999</v>
      </c>
      <c r="AI435">
        <v>-1</v>
      </c>
      <c r="AL435" t="str">
        <f t="shared" si="45"/>
        <v/>
      </c>
      <c r="AM435">
        <f>VLOOKUP(TRIM(N435),'[1]All - Durations'!$E$2:$H$109,4,FALSE)</f>
        <v>0.89200000000000002</v>
      </c>
      <c r="AN435" t="e">
        <f t="shared" si="46"/>
        <v>#VALUE!</v>
      </c>
      <c r="AO435" t="str">
        <f t="shared" si="47"/>
        <v/>
      </c>
    </row>
    <row r="436" spans="1:41" x14ac:dyDescent="0.25">
      <c r="A436">
        <v>259</v>
      </c>
      <c r="B436" t="s">
        <v>35</v>
      </c>
      <c r="C436">
        <v>3</v>
      </c>
      <c r="D436" t="s">
        <v>36</v>
      </c>
      <c r="E436">
        <v>4</v>
      </c>
      <c r="F436" t="s">
        <v>37</v>
      </c>
      <c r="G436">
        <v>7</v>
      </c>
      <c r="H436">
        <v>11</v>
      </c>
      <c r="I436">
        <v>1</v>
      </c>
      <c r="J436">
        <v>3</v>
      </c>
      <c r="K436">
        <v>2</v>
      </c>
      <c r="L436">
        <v>48</v>
      </c>
      <c r="M436">
        <v>2</v>
      </c>
      <c r="N436" t="s">
        <v>38</v>
      </c>
      <c r="O436" t="s">
        <v>39</v>
      </c>
      <c r="P436" t="s">
        <v>40</v>
      </c>
      <c r="Q436" t="s">
        <v>41</v>
      </c>
      <c r="R436" t="s">
        <v>42</v>
      </c>
      <c r="S436" t="s">
        <v>43</v>
      </c>
      <c r="T436" t="s">
        <v>44</v>
      </c>
      <c r="U436">
        <v>5</v>
      </c>
      <c r="V436" t="s">
        <v>60</v>
      </c>
      <c r="W436" t="s">
        <v>86</v>
      </c>
      <c r="X436" t="s">
        <v>120</v>
      </c>
      <c r="Y436">
        <v>1</v>
      </c>
      <c r="Z436">
        <v>4</v>
      </c>
      <c r="AA436">
        <v>44.1</v>
      </c>
      <c r="AB436">
        <v>-1</v>
      </c>
      <c r="AC436" t="s">
        <v>120</v>
      </c>
      <c r="AD436">
        <v>4</v>
      </c>
      <c r="AE436">
        <v>1</v>
      </c>
      <c r="AF436">
        <v>0</v>
      </c>
      <c r="AG436">
        <v>3.157</v>
      </c>
      <c r="AH436">
        <v>0.78400000000000003</v>
      </c>
      <c r="AI436">
        <v>-1</v>
      </c>
      <c r="AL436" t="str">
        <f t="shared" si="45"/>
        <v/>
      </c>
      <c r="AM436">
        <f>VLOOKUP(TRIM(N436),'[1]All - Durations'!$E$2:$H$109,4,FALSE)</f>
        <v>0.87</v>
      </c>
      <c r="AN436" t="e">
        <f t="shared" si="46"/>
        <v>#VALUE!</v>
      </c>
      <c r="AO436" t="str">
        <f t="shared" si="47"/>
        <v/>
      </c>
    </row>
    <row r="437" spans="1:41" x14ac:dyDescent="0.25">
      <c r="A437">
        <v>259</v>
      </c>
      <c r="B437" t="s">
        <v>35</v>
      </c>
      <c r="C437">
        <v>3</v>
      </c>
      <c r="D437" t="s">
        <v>36</v>
      </c>
      <c r="E437">
        <v>4</v>
      </c>
      <c r="F437" t="s">
        <v>37</v>
      </c>
      <c r="G437">
        <v>7</v>
      </c>
      <c r="H437">
        <v>11</v>
      </c>
      <c r="I437">
        <v>1</v>
      </c>
      <c r="J437">
        <v>4</v>
      </c>
      <c r="K437">
        <v>8</v>
      </c>
      <c r="L437">
        <v>40</v>
      </c>
      <c r="M437">
        <v>2</v>
      </c>
      <c r="N437" t="s">
        <v>84</v>
      </c>
      <c r="O437" t="s">
        <v>39</v>
      </c>
      <c r="P437" t="s">
        <v>64</v>
      </c>
      <c r="Q437" t="s">
        <v>65</v>
      </c>
      <c r="R437" t="s">
        <v>42</v>
      </c>
      <c r="S437" t="s">
        <v>43</v>
      </c>
      <c r="T437" t="s">
        <v>67</v>
      </c>
      <c r="U437">
        <v>4</v>
      </c>
      <c r="V437" t="s">
        <v>66</v>
      </c>
      <c r="W437" t="s">
        <v>99</v>
      </c>
      <c r="X437" t="s">
        <v>137</v>
      </c>
      <c r="Y437">
        <v>1</v>
      </c>
      <c r="Z437">
        <v>4</v>
      </c>
      <c r="AA437">
        <v>44.1</v>
      </c>
      <c r="AB437">
        <v>-1</v>
      </c>
      <c r="AC437" t="s">
        <v>67</v>
      </c>
      <c r="AD437">
        <v>1</v>
      </c>
      <c r="AE437">
        <v>4</v>
      </c>
      <c r="AF437">
        <v>1</v>
      </c>
      <c r="AG437">
        <v>3.9609999999999999</v>
      </c>
      <c r="AH437">
        <v>0.5</v>
      </c>
      <c r="AI437">
        <v>-1</v>
      </c>
      <c r="AL437" t="str">
        <f t="shared" si="45"/>
        <v/>
      </c>
      <c r="AM437">
        <f>VLOOKUP(TRIM(N437),'[1]All - Durations'!$E$2:$H$109,4,FALSE)</f>
        <v>1.1020000000000001</v>
      </c>
      <c r="AN437" t="e">
        <f t="shared" si="46"/>
        <v>#VALUE!</v>
      </c>
      <c r="AO437" t="str">
        <f t="shared" si="47"/>
        <v/>
      </c>
    </row>
    <row r="438" spans="1:41" x14ac:dyDescent="0.25">
      <c r="A438">
        <v>259</v>
      </c>
      <c r="B438" t="s">
        <v>35</v>
      </c>
      <c r="C438">
        <v>3</v>
      </c>
      <c r="D438" t="s">
        <v>36</v>
      </c>
      <c r="E438">
        <v>4</v>
      </c>
      <c r="F438" t="s">
        <v>37</v>
      </c>
      <c r="G438">
        <v>7</v>
      </c>
      <c r="H438">
        <v>11</v>
      </c>
      <c r="I438">
        <v>1</v>
      </c>
      <c r="J438">
        <v>5</v>
      </c>
      <c r="K438">
        <v>3</v>
      </c>
      <c r="L438">
        <v>1</v>
      </c>
      <c r="M438">
        <v>1</v>
      </c>
      <c r="N438" t="s">
        <v>70</v>
      </c>
      <c r="O438" t="s">
        <v>39</v>
      </c>
      <c r="P438" t="s">
        <v>71</v>
      </c>
      <c r="Q438" t="s">
        <v>72</v>
      </c>
      <c r="R438" t="s">
        <v>58</v>
      </c>
      <c r="S438" t="s">
        <v>59</v>
      </c>
      <c r="T438" t="s">
        <v>73</v>
      </c>
      <c r="U438">
        <v>2</v>
      </c>
      <c r="V438" t="s">
        <v>94</v>
      </c>
      <c r="W438" t="s">
        <v>81</v>
      </c>
      <c r="X438" t="s">
        <v>166</v>
      </c>
      <c r="Y438">
        <v>1</v>
      </c>
      <c r="Z438">
        <v>4</v>
      </c>
      <c r="AA438">
        <v>44.1</v>
      </c>
      <c r="AB438">
        <v>-1</v>
      </c>
      <c r="AC438" t="s">
        <v>166</v>
      </c>
      <c r="AD438">
        <v>4</v>
      </c>
      <c r="AE438">
        <v>5</v>
      </c>
      <c r="AF438">
        <v>0</v>
      </c>
      <c r="AG438">
        <v>1.968</v>
      </c>
      <c r="AH438">
        <v>3.0339999999999998</v>
      </c>
      <c r="AI438">
        <v>-1</v>
      </c>
      <c r="AL438" t="str">
        <f t="shared" si="45"/>
        <v/>
      </c>
      <c r="AM438">
        <f>VLOOKUP(TRIM(N438),'[1]All - Durations'!$E$2:$H$109,4,FALSE)</f>
        <v>0.94799999999999995</v>
      </c>
      <c r="AN438" t="e">
        <f t="shared" si="46"/>
        <v>#VALUE!</v>
      </c>
      <c r="AO438" t="str">
        <f t="shared" si="47"/>
        <v/>
      </c>
    </row>
    <row r="439" spans="1:41" x14ac:dyDescent="0.25">
      <c r="A439">
        <v>259</v>
      </c>
      <c r="B439" t="s">
        <v>35</v>
      </c>
      <c r="C439">
        <v>3</v>
      </c>
      <c r="D439" t="s">
        <v>36</v>
      </c>
      <c r="E439">
        <v>4</v>
      </c>
      <c r="F439" t="s">
        <v>37</v>
      </c>
      <c r="G439">
        <v>7</v>
      </c>
      <c r="H439">
        <v>11</v>
      </c>
      <c r="I439">
        <v>1</v>
      </c>
      <c r="J439">
        <v>6</v>
      </c>
      <c r="K439">
        <v>6</v>
      </c>
      <c r="L439">
        <v>38</v>
      </c>
      <c r="M439">
        <v>2</v>
      </c>
      <c r="N439" t="s">
        <v>48</v>
      </c>
      <c r="O439" t="s">
        <v>39</v>
      </c>
      <c r="P439" t="s">
        <v>49</v>
      </c>
      <c r="Q439" t="s">
        <v>50</v>
      </c>
      <c r="R439" t="s">
        <v>51</v>
      </c>
      <c r="S439" t="s">
        <v>52</v>
      </c>
      <c r="T439" t="s">
        <v>53</v>
      </c>
      <c r="U439">
        <v>4</v>
      </c>
      <c r="V439" t="s">
        <v>172</v>
      </c>
      <c r="W439" t="s">
        <v>127</v>
      </c>
      <c r="X439" t="s">
        <v>146</v>
      </c>
      <c r="Y439">
        <v>2</v>
      </c>
      <c r="Z439">
        <v>4</v>
      </c>
      <c r="AA439">
        <v>44.1</v>
      </c>
      <c r="AB439">
        <v>-1</v>
      </c>
      <c r="AC439" t="s">
        <v>83</v>
      </c>
      <c r="AD439">
        <v>0</v>
      </c>
      <c r="AE439">
        <v>0</v>
      </c>
      <c r="AF439">
        <v>0</v>
      </c>
      <c r="AG439">
        <v>-1</v>
      </c>
      <c r="AH439">
        <v>3.0339999999999998</v>
      </c>
      <c r="AI439">
        <v>-1</v>
      </c>
      <c r="AL439" t="str">
        <f t="shared" si="45"/>
        <v/>
      </c>
      <c r="AM439">
        <f>VLOOKUP(TRIM(N439),'[1]All - Durations'!$E$2:$H$109,4,FALSE)</f>
        <v>0.92200000000000004</v>
      </c>
      <c r="AN439" t="e">
        <f t="shared" si="46"/>
        <v>#VALUE!</v>
      </c>
      <c r="AO439" t="str">
        <f t="shared" si="47"/>
        <v/>
      </c>
    </row>
    <row r="440" spans="1:41" x14ac:dyDescent="0.25">
      <c r="A440">
        <v>259</v>
      </c>
      <c r="B440" t="s">
        <v>35</v>
      </c>
      <c r="C440">
        <v>3</v>
      </c>
      <c r="D440" t="s">
        <v>36</v>
      </c>
      <c r="E440">
        <v>4</v>
      </c>
      <c r="F440" t="s">
        <v>37</v>
      </c>
      <c r="G440">
        <v>7</v>
      </c>
      <c r="H440">
        <v>11</v>
      </c>
      <c r="I440">
        <v>1</v>
      </c>
      <c r="J440">
        <v>7</v>
      </c>
      <c r="K440">
        <v>10</v>
      </c>
      <c r="L440">
        <v>4</v>
      </c>
      <c r="M440">
        <v>1</v>
      </c>
      <c r="N440" t="s">
        <v>101</v>
      </c>
      <c r="O440" t="s">
        <v>39</v>
      </c>
      <c r="P440" t="s">
        <v>89</v>
      </c>
      <c r="Q440" t="s">
        <v>90</v>
      </c>
      <c r="R440" t="s">
        <v>51</v>
      </c>
      <c r="S440" t="s">
        <v>52</v>
      </c>
      <c r="T440" t="s">
        <v>102</v>
      </c>
      <c r="U440">
        <v>1</v>
      </c>
      <c r="V440" t="s">
        <v>144</v>
      </c>
      <c r="W440" t="s">
        <v>68</v>
      </c>
      <c r="X440" t="s">
        <v>179</v>
      </c>
      <c r="Y440">
        <v>2</v>
      </c>
      <c r="Z440">
        <v>4</v>
      </c>
      <c r="AA440">
        <v>44.1</v>
      </c>
      <c r="AB440">
        <v>-1</v>
      </c>
      <c r="AC440" t="s">
        <v>179</v>
      </c>
      <c r="AD440">
        <v>4</v>
      </c>
      <c r="AE440">
        <v>4</v>
      </c>
      <c r="AF440">
        <v>0</v>
      </c>
      <c r="AG440">
        <v>1.097</v>
      </c>
      <c r="AH440">
        <v>3.0339999999999998</v>
      </c>
      <c r="AI440">
        <v>-1</v>
      </c>
      <c r="AL440" t="str">
        <f t="shared" si="45"/>
        <v/>
      </c>
      <c r="AM440">
        <f>VLOOKUP(TRIM(N440),'[1]All - Durations'!$E$2:$H$109,4,FALSE)</f>
        <v>0.93799999999999994</v>
      </c>
      <c r="AN440" t="e">
        <f t="shared" si="46"/>
        <v>#VALUE!</v>
      </c>
      <c r="AO440" t="str">
        <f t="shared" si="47"/>
        <v/>
      </c>
    </row>
    <row r="441" spans="1:41" x14ac:dyDescent="0.25">
      <c r="A441">
        <v>259</v>
      </c>
      <c r="B441" t="s">
        <v>35</v>
      </c>
      <c r="C441">
        <v>3</v>
      </c>
      <c r="D441" t="s">
        <v>36</v>
      </c>
      <c r="E441">
        <v>4</v>
      </c>
      <c r="F441" t="s">
        <v>37</v>
      </c>
      <c r="G441">
        <v>7</v>
      </c>
      <c r="H441">
        <v>11</v>
      </c>
      <c r="I441">
        <v>1</v>
      </c>
      <c r="J441">
        <v>8</v>
      </c>
      <c r="K441">
        <v>12</v>
      </c>
      <c r="L441">
        <v>44</v>
      </c>
      <c r="M441">
        <v>2</v>
      </c>
      <c r="N441" t="s">
        <v>76</v>
      </c>
      <c r="O441" t="s">
        <v>39</v>
      </c>
      <c r="P441" t="s">
        <v>77</v>
      </c>
      <c r="Q441" t="s">
        <v>78</v>
      </c>
      <c r="R441" t="s">
        <v>51</v>
      </c>
      <c r="S441" t="s">
        <v>52</v>
      </c>
      <c r="T441" t="s">
        <v>79</v>
      </c>
      <c r="U441">
        <v>2</v>
      </c>
      <c r="V441" t="s">
        <v>149</v>
      </c>
      <c r="W441" t="s">
        <v>121</v>
      </c>
      <c r="X441" t="s">
        <v>111</v>
      </c>
      <c r="Y441">
        <v>2</v>
      </c>
      <c r="Z441">
        <v>4</v>
      </c>
      <c r="AA441">
        <v>44.1</v>
      </c>
      <c r="AB441">
        <v>-1</v>
      </c>
      <c r="AC441" t="s">
        <v>79</v>
      </c>
      <c r="AD441">
        <v>1</v>
      </c>
      <c r="AE441">
        <v>2</v>
      </c>
      <c r="AF441">
        <v>1</v>
      </c>
      <c r="AG441">
        <v>2.492</v>
      </c>
      <c r="AH441">
        <v>1.117</v>
      </c>
      <c r="AI441">
        <v>-1</v>
      </c>
      <c r="AL441" t="str">
        <f t="shared" si="45"/>
        <v/>
      </c>
      <c r="AM441">
        <f>VLOOKUP(TRIM(N441),'[1]All - Durations'!$E$2:$H$109,4,FALSE)</f>
        <v>0.999</v>
      </c>
      <c r="AN441" t="e">
        <f t="shared" si="46"/>
        <v>#VALUE!</v>
      </c>
      <c r="AO441" t="str">
        <f t="shared" si="47"/>
        <v/>
      </c>
    </row>
    <row r="442" spans="1:41" x14ac:dyDescent="0.25">
      <c r="A442">
        <v>259</v>
      </c>
      <c r="B442" t="s">
        <v>35</v>
      </c>
      <c r="C442">
        <v>3</v>
      </c>
      <c r="D442" t="s">
        <v>36</v>
      </c>
      <c r="E442">
        <v>4</v>
      </c>
      <c r="F442" t="s">
        <v>37</v>
      </c>
      <c r="G442">
        <v>7</v>
      </c>
      <c r="H442">
        <v>11</v>
      </c>
      <c r="I442">
        <v>1</v>
      </c>
      <c r="J442">
        <v>9</v>
      </c>
      <c r="K442">
        <v>5</v>
      </c>
      <c r="L442">
        <v>37</v>
      </c>
      <c r="M442">
        <v>2</v>
      </c>
      <c r="N442" t="s">
        <v>97</v>
      </c>
      <c r="O442" t="s">
        <v>39</v>
      </c>
      <c r="P442" t="s">
        <v>49</v>
      </c>
      <c r="Q442" t="s">
        <v>50</v>
      </c>
      <c r="R442" t="s">
        <v>91</v>
      </c>
      <c r="S442" t="s">
        <v>92</v>
      </c>
      <c r="T442" t="s">
        <v>54</v>
      </c>
      <c r="U442">
        <v>1</v>
      </c>
      <c r="V442" t="s">
        <v>53</v>
      </c>
      <c r="W442" t="s">
        <v>162</v>
      </c>
      <c r="X442" t="s">
        <v>82</v>
      </c>
      <c r="Y442">
        <v>1</v>
      </c>
      <c r="Z442">
        <v>4</v>
      </c>
      <c r="AA442">
        <v>44.1</v>
      </c>
      <c r="AB442">
        <v>-1</v>
      </c>
      <c r="AC442" t="s">
        <v>82</v>
      </c>
      <c r="AD442">
        <v>4</v>
      </c>
      <c r="AE442">
        <v>5</v>
      </c>
      <c r="AF442">
        <v>0</v>
      </c>
      <c r="AG442">
        <v>2.4470000000000001</v>
      </c>
      <c r="AH442">
        <v>3.0339999999999998</v>
      </c>
      <c r="AI442">
        <v>-1</v>
      </c>
      <c r="AL442" t="str">
        <f t="shared" si="45"/>
        <v/>
      </c>
      <c r="AM442">
        <f>VLOOKUP(TRIM(N442),'[1]All - Durations'!$E$2:$H$109,4,FALSE)</f>
        <v>0.74</v>
      </c>
      <c r="AN442" t="e">
        <f t="shared" si="46"/>
        <v>#VALUE!</v>
      </c>
      <c r="AO442" t="str">
        <f t="shared" si="47"/>
        <v/>
      </c>
    </row>
    <row r="443" spans="1:41" x14ac:dyDescent="0.25">
      <c r="A443">
        <v>259</v>
      </c>
      <c r="B443" t="s">
        <v>35</v>
      </c>
      <c r="C443">
        <v>3</v>
      </c>
      <c r="D443" t="s">
        <v>36</v>
      </c>
      <c r="E443">
        <v>4</v>
      </c>
      <c r="F443" t="s">
        <v>37</v>
      </c>
      <c r="G443">
        <v>7</v>
      </c>
      <c r="H443">
        <v>11</v>
      </c>
      <c r="I443">
        <v>1</v>
      </c>
      <c r="J443">
        <v>10</v>
      </c>
      <c r="K443">
        <v>1</v>
      </c>
      <c r="L443">
        <v>47</v>
      </c>
      <c r="M443">
        <v>2</v>
      </c>
      <c r="N443" t="s">
        <v>57</v>
      </c>
      <c r="O443" t="s">
        <v>39</v>
      </c>
      <c r="P443" t="s">
        <v>40</v>
      </c>
      <c r="Q443" t="s">
        <v>41</v>
      </c>
      <c r="R443" t="s">
        <v>58</v>
      </c>
      <c r="S443" t="s">
        <v>59</v>
      </c>
      <c r="T443" t="s">
        <v>60</v>
      </c>
      <c r="U443">
        <v>1</v>
      </c>
      <c r="V443" t="s">
        <v>138</v>
      </c>
      <c r="W443" t="s">
        <v>55</v>
      </c>
      <c r="X443" t="s">
        <v>69</v>
      </c>
      <c r="Y443">
        <v>2</v>
      </c>
      <c r="Z443">
        <v>4</v>
      </c>
      <c r="AA443">
        <v>44.1</v>
      </c>
      <c r="AB443">
        <v>-1</v>
      </c>
      <c r="AC443" t="s">
        <v>138</v>
      </c>
      <c r="AD443">
        <v>3</v>
      </c>
      <c r="AE443">
        <v>4</v>
      </c>
      <c r="AF443">
        <v>0</v>
      </c>
      <c r="AG443">
        <v>3.117</v>
      </c>
      <c r="AH443">
        <v>3.0329999999999999</v>
      </c>
      <c r="AI443">
        <v>-1</v>
      </c>
      <c r="AL443" t="str">
        <f t="shared" si="45"/>
        <v/>
      </c>
      <c r="AM443">
        <f>VLOOKUP(TRIM(N443),'[1]All - Durations'!$E$2:$H$109,4,FALSE)</f>
        <v>0.93600000000000005</v>
      </c>
      <c r="AN443" t="e">
        <f t="shared" si="46"/>
        <v>#VALUE!</v>
      </c>
      <c r="AO443" t="str">
        <f t="shared" si="47"/>
        <v/>
      </c>
    </row>
    <row r="444" spans="1:41" x14ac:dyDescent="0.25">
      <c r="A444">
        <v>259</v>
      </c>
      <c r="B444" t="s">
        <v>35</v>
      </c>
      <c r="C444">
        <v>3</v>
      </c>
      <c r="D444" t="s">
        <v>36</v>
      </c>
      <c r="E444">
        <v>4</v>
      </c>
      <c r="F444" t="s">
        <v>37</v>
      </c>
      <c r="G444">
        <v>7</v>
      </c>
      <c r="H444">
        <v>11</v>
      </c>
      <c r="I444">
        <v>1</v>
      </c>
      <c r="J444">
        <v>11</v>
      </c>
      <c r="K444">
        <v>7</v>
      </c>
      <c r="L444">
        <v>39</v>
      </c>
      <c r="M444">
        <v>2</v>
      </c>
      <c r="N444" t="s">
        <v>63</v>
      </c>
      <c r="O444" t="s">
        <v>39</v>
      </c>
      <c r="P444" t="s">
        <v>64</v>
      </c>
      <c r="Q444" t="s">
        <v>65</v>
      </c>
      <c r="R444" t="s">
        <v>58</v>
      </c>
      <c r="S444" t="s">
        <v>59</v>
      </c>
      <c r="T444" t="s">
        <v>66</v>
      </c>
      <c r="U444">
        <v>4</v>
      </c>
      <c r="V444" t="s">
        <v>73</v>
      </c>
      <c r="W444" t="s">
        <v>209</v>
      </c>
      <c r="X444" t="s">
        <v>62</v>
      </c>
      <c r="Y444">
        <v>2</v>
      </c>
      <c r="Z444">
        <v>4</v>
      </c>
      <c r="AA444">
        <v>44.1</v>
      </c>
      <c r="AB444">
        <v>-1</v>
      </c>
      <c r="AC444" t="s">
        <v>66</v>
      </c>
      <c r="AD444">
        <v>1</v>
      </c>
      <c r="AE444">
        <v>4</v>
      </c>
      <c r="AF444">
        <v>1</v>
      </c>
      <c r="AG444">
        <v>1.4790000000000001</v>
      </c>
      <c r="AH444">
        <v>0.63400000000000001</v>
      </c>
      <c r="AI444">
        <v>-1</v>
      </c>
      <c r="AL444" t="str">
        <f t="shared" si="45"/>
        <v/>
      </c>
      <c r="AM444">
        <f>VLOOKUP(TRIM(N444),'[1]All - Durations'!$E$2:$H$109,4,FALSE)</f>
        <v>0.96399999999999997</v>
      </c>
      <c r="AN444" t="e">
        <f t="shared" si="46"/>
        <v>#VALUE!</v>
      </c>
      <c r="AO444" t="str">
        <f t="shared" si="47"/>
        <v/>
      </c>
    </row>
    <row r="445" spans="1:41" x14ac:dyDescent="0.25">
      <c r="A445">
        <v>259</v>
      </c>
      <c r="B445" t="s">
        <v>35</v>
      </c>
      <c r="C445">
        <v>3</v>
      </c>
      <c r="D445" t="s">
        <v>36</v>
      </c>
      <c r="E445">
        <v>4</v>
      </c>
      <c r="F445" t="s">
        <v>37</v>
      </c>
      <c r="G445">
        <v>7</v>
      </c>
      <c r="H445">
        <v>11</v>
      </c>
      <c r="I445">
        <v>1</v>
      </c>
      <c r="J445">
        <v>12</v>
      </c>
      <c r="K445">
        <v>11</v>
      </c>
      <c r="L445">
        <v>43</v>
      </c>
      <c r="M445">
        <v>2</v>
      </c>
      <c r="N445" t="s">
        <v>105</v>
      </c>
      <c r="O445" t="s">
        <v>39</v>
      </c>
      <c r="P445" t="s">
        <v>77</v>
      </c>
      <c r="Q445" t="s">
        <v>78</v>
      </c>
      <c r="R445" t="s">
        <v>91</v>
      </c>
      <c r="S445" t="s">
        <v>92</v>
      </c>
      <c r="T445" t="s">
        <v>80</v>
      </c>
      <c r="U445">
        <v>1</v>
      </c>
      <c r="V445" t="s">
        <v>79</v>
      </c>
      <c r="W445" t="s">
        <v>116</v>
      </c>
      <c r="X445" t="s">
        <v>108</v>
      </c>
      <c r="Y445">
        <v>1</v>
      </c>
      <c r="Z445">
        <v>4</v>
      </c>
      <c r="AA445">
        <v>44.1</v>
      </c>
      <c r="AB445">
        <v>-1</v>
      </c>
      <c r="AC445" t="s">
        <v>80</v>
      </c>
      <c r="AD445">
        <v>1</v>
      </c>
      <c r="AE445">
        <v>1</v>
      </c>
      <c r="AF445">
        <v>1</v>
      </c>
      <c r="AG445">
        <v>1.806</v>
      </c>
      <c r="AH445">
        <v>0.217</v>
      </c>
      <c r="AI445">
        <v>-1</v>
      </c>
      <c r="AL445" t="str">
        <f t="shared" si="45"/>
        <v/>
      </c>
      <c r="AM445">
        <f>VLOOKUP(TRIM(N445),'[1]All - Durations'!$E$2:$H$109,4,FALSE)</f>
        <v>1.002</v>
      </c>
      <c r="AN445" t="e">
        <f t="shared" si="46"/>
        <v>#VALUE!</v>
      </c>
      <c r="AO445" t="str">
        <f t="shared" si="47"/>
        <v/>
      </c>
    </row>
    <row r="446" spans="1:41" x14ac:dyDescent="0.25">
      <c r="A446">
        <v>259</v>
      </c>
      <c r="B446" t="s">
        <v>35</v>
      </c>
      <c r="C446">
        <v>3</v>
      </c>
      <c r="D446" t="s">
        <v>36</v>
      </c>
      <c r="E446">
        <v>4</v>
      </c>
      <c r="F446" t="s">
        <v>37</v>
      </c>
      <c r="G446">
        <v>7</v>
      </c>
      <c r="H446">
        <v>11</v>
      </c>
      <c r="I446">
        <v>1</v>
      </c>
      <c r="J446">
        <v>13</v>
      </c>
      <c r="K446">
        <v>22</v>
      </c>
      <c r="L446">
        <v>28</v>
      </c>
      <c r="M446">
        <v>1</v>
      </c>
      <c r="N446" t="s">
        <v>117</v>
      </c>
      <c r="O446" t="s">
        <v>113</v>
      </c>
      <c r="P446" t="s">
        <v>114</v>
      </c>
      <c r="Q446" t="s">
        <v>118</v>
      </c>
      <c r="R446" t="s">
        <v>114</v>
      </c>
      <c r="S446" t="s">
        <v>52</v>
      </c>
      <c r="T446" t="s">
        <v>119</v>
      </c>
      <c r="U446">
        <v>2</v>
      </c>
      <c r="V446" t="s">
        <v>214</v>
      </c>
      <c r="W446" t="s">
        <v>146</v>
      </c>
      <c r="X446" t="s">
        <v>147</v>
      </c>
      <c r="Y446">
        <v>2</v>
      </c>
      <c r="Z446">
        <v>4</v>
      </c>
      <c r="AA446">
        <v>44.1</v>
      </c>
      <c r="AB446">
        <v>-1</v>
      </c>
      <c r="AC446" t="s">
        <v>119</v>
      </c>
      <c r="AD446">
        <v>1</v>
      </c>
      <c r="AE446">
        <v>2</v>
      </c>
      <c r="AF446">
        <v>1</v>
      </c>
      <c r="AG446">
        <v>2.1440000000000001</v>
      </c>
      <c r="AH446">
        <v>0.28299999999999997</v>
      </c>
      <c r="AI446">
        <v>-1</v>
      </c>
      <c r="AL446" t="str">
        <f t="shared" si="45"/>
        <v/>
      </c>
      <c r="AM446">
        <f>VLOOKUP(TRIM(N446),'[1]All - Durations'!$E$2:$H$109,4,FALSE)</f>
        <v>0.97</v>
      </c>
      <c r="AN446" t="e">
        <f t="shared" si="46"/>
        <v>#VALUE!</v>
      </c>
      <c r="AO446" t="str">
        <f t="shared" si="47"/>
        <v/>
      </c>
    </row>
    <row r="447" spans="1:41" x14ac:dyDescent="0.25">
      <c r="A447">
        <v>259</v>
      </c>
      <c r="B447" t="s">
        <v>35</v>
      </c>
      <c r="C447">
        <v>3</v>
      </c>
      <c r="D447" t="s">
        <v>36</v>
      </c>
      <c r="E447">
        <v>4</v>
      </c>
      <c r="F447" t="s">
        <v>37</v>
      </c>
      <c r="G447">
        <v>7</v>
      </c>
      <c r="H447">
        <v>11</v>
      </c>
      <c r="I447">
        <v>1</v>
      </c>
      <c r="J447">
        <v>14</v>
      </c>
      <c r="K447">
        <v>13</v>
      </c>
      <c r="L447">
        <v>71</v>
      </c>
      <c r="M447">
        <v>2</v>
      </c>
      <c r="N447" t="s">
        <v>143</v>
      </c>
      <c r="O447" t="s">
        <v>113</v>
      </c>
      <c r="P447" t="s">
        <v>114</v>
      </c>
      <c r="Q447" t="s">
        <v>115</v>
      </c>
      <c r="R447" t="s">
        <v>114</v>
      </c>
      <c r="S447" t="s">
        <v>59</v>
      </c>
      <c r="T447" t="s">
        <v>46</v>
      </c>
      <c r="U447">
        <v>4</v>
      </c>
      <c r="V447" t="s">
        <v>87</v>
      </c>
      <c r="W447" t="s">
        <v>166</v>
      </c>
      <c r="X447" t="s">
        <v>98</v>
      </c>
      <c r="Y447">
        <v>2</v>
      </c>
      <c r="Z447">
        <v>4</v>
      </c>
      <c r="AA447">
        <v>44.1</v>
      </c>
      <c r="AB447">
        <v>-1</v>
      </c>
      <c r="AC447" t="s">
        <v>46</v>
      </c>
      <c r="AD447">
        <v>1</v>
      </c>
      <c r="AE447">
        <v>4</v>
      </c>
      <c r="AF447">
        <v>1</v>
      </c>
      <c r="AG447">
        <v>2.9750000000000001</v>
      </c>
      <c r="AH447">
        <v>0.48299999999999998</v>
      </c>
      <c r="AI447">
        <v>-1</v>
      </c>
      <c r="AL447" t="str">
        <f t="shared" si="45"/>
        <v/>
      </c>
      <c r="AM447">
        <f>VLOOKUP(TRIM(N447),'[1]All - Durations'!$E$2:$H$109,4,FALSE)</f>
        <v>0.82799999999999996</v>
      </c>
      <c r="AN447" t="e">
        <f t="shared" si="46"/>
        <v>#VALUE!</v>
      </c>
      <c r="AO447" t="str">
        <f t="shared" si="47"/>
        <v/>
      </c>
    </row>
    <row r="448" spans="1:41" x14ac:dyDescent="0.25">
      <c r="A448">
        <v>259</v>
      </c>
      <c r="B448" t="s">
        <v>35</v>
      </c>
      <c r="C448">
        <v>3</v>
      </c>
      <c r="D448" t="s">
        <v>36</v>
      </c>
      <c r="E448">
        <v>4</v>
      </c>
      <c r="F448" t="s">
        <v>37</v>
      </c>
      <c r="G448">
        <v>7</v>
      </c>
      <c r="H448">
        <v>11</v>
      </c>
      <c r="I448">
        <v>1</v>
      </c>
      <c r="J448">
        <v>15</v>
      </c>
      <c r="K448">
        <v>19</v>
      </c>
      <c r="L448">
        <v>63</v>
      </c>
      <c r="M448">
        <v>2</v>
      </c>
      <c r="N448" t="s">
        <v>140</v>
      </c>
      <c r="O448" t="s">
        <v>113</v>
      </c>
      <c r="P448" t="s">
        <v>114</v>
      </c>
      <c r="Q448" t="s">
        <v>134</v>
      </c>
      <c r="R448" t="s">
        <v>114</v>
      </c>
      <c r="S448" t="s">
        <v>59</v>
      </c>
      <c r="T448" t="s">
        <v>95</v>
      </c>
      <c r="U448">
        <v>2</v>
      </c>
      <c r="V448" t="s">
        <v>124</v>
      </c>
      <c r="W448" t="s">
        <v>47</v>
      </c>
      <c r="X448" t="s">
        <v>106</v>
      </c>
      <c r="Y448">
        <v>2</v>
      </c>
      <c r="Z448">
        <v>4</v>
      </c>
      <c r="AA448">
        <v>44.1</v>
      </c>
      <c r="AB448">
        <v>-1</v>
      </c>
      <c r="AC448" t="s">
        <v>95</v>
      </c>
      <c r="AD448">
        <v>1</v>
      </c>
      <c r="AE448">
        <v>2</v>
      </c>
      <c r="AF448">
        <v>1</v>
      </c>
      <c r="AG448">
        <v>2.17</v>
      </c>
      <c r="AH448">
        <v>0.75</v>
      </c>
      <c r="AI448">
        <v>-1</v>
      </c>
      <c r="AL448" t="str">
        <f t="shared" si="45"/>
        <v/>
      </c>
      <c r="AM448">
        <f>VLOOKUP(TRIM(N448),'[1]All - Durations'!$E$2:$H$109,4,FALSE)</f>
        <v>0.86099999999999999</v>
      </c>
      <c r="AN448" t="e">
        <f t="shared" si="46"/>
        <v>#VALUE!</v>
      </c>
      <c r="AO448" t="str">
        <f t="shared" si="47"/>
        <v/>
      </c>
    </row>
    <row r="449" spans="1:41" x14ac:dyDescent="0.25">
      <c r="A449">
        <v>259</v>
      </c>
      <c r="B449" t="s">
        <v>35</v>
      </c>
      <c r="C449">
        <v>3</v>
      </c>
      <c r="D449" t="s">
        <v>36</v>
      </c>
      <c r="E449">
        <v>4</v>
      </c>
      <c r="F449" t="s">
        <v>37</v>
      </c>
      <c r="G449">
        <v>7</v>
      </c>
      <c r="H449">
        <v>11</v>
      </c>
      <c r="I449">
        <v>1</v>
      </c>
      <c r="J449">
        <v>16</v>
      </c>
      <c r="K449">
        <v>17</v>
      </c>
      <c r="L449">
        <v>61</v>
      </c>
      <c r="M449">
        <v>2</v>
      </c>
      <c r="N449" t="s">
        <v>125</v>
      </c>
      <c r="O449" t="s">
        <v>113</v>
      </c>
      <c r="P449" t="s">
        <v>114</v>
      </c>
      <c r="Q449" t="s">
        <v>126</v>
      </c>
      <c r="R449" t="s">
        <v>114</v>
      </c>
      <c r="S449" t="s">
        <v>92</v>
      </c>
      <c r="T449" t="s">
        <v>127</v>
      </c>
      <c r="U449">
        <v>2</v>
      </c>
      <c r="V449" t="s">
        <v>179</v>
      </c>
      <c r="W449" t="s">
        <v>131</v>
      </c>
      <c r="X449" t="s">
        <v>55</v>
      </c>
      <c r="Y449">
        <v>2</v>
      </c>
      <c r="Z449">
        <v>4</v>
      </c>
      <c r="AA449">
        <v>44.1</v>
      </c>
      <c r="AB449">
        <v>-1</v>
      </c>
      <c r="AC449" t="s">
        <v>127</v>
      </c>
      <c r="AD449">
        <v>1</v>
      </c>
      <c r="AE449">
        <v>2</v>
      </c>
      <c r="AF449">
        <v>1</v>
      </c>
      <c r="AG449">
        <v>3.1059999999999999</v>
      </c>
      <c r="AH449">
        <v>0.16700000000000001</v>
      </c>
      <c r="AI449">
        <v>-1</v>
      </c>
      <c r="AL449" t="str">
        <f t="shared" si="45"/>
        <v/>
      </c>
      <c r="AM449">
        <f>VLOOKUP(TRIM(N449),'[1]All - Durations'!$E$2:$H$109,4,FALSE)</f>
        <v>0.94899999999999995</v>
      </c>
      <c r="AN449" t="e">
        <f t="shared" si="46"/>
        <v>#VALUE!</v>
      </c>
      <c r="AO449" t="str">
        <f t="shared" si="47"/>
        <v/>
      </c>
    </row>
    <row r="450" spans="1:41" x14ac:dyDescent="0.25">
      <c r="A450">
        <v>259</v>
      </c>
      <c r="B450" t="s">
        <v>35</v>
      </c>
      <c r="C450">
        <v>3</v>
      </c>
      <c r="D450" t="s">
        <v>36</v>
      </c>
      <c r="E450">
        <v>4</v>
      </c>
      <c r="F450" t="s">
        <v>37</v>
      </c>
      <c r="G450">
        <v>7</v>
      </c>
      <c r="H450">
        <v>11</v>
      </c>
      <c r="I450">
        <v>1</v>
      </c>
      <c r="J450">
        <v>17</v>
      </c>
      <c r="K450">
        <v>23</v>
      </c>
      <c r="L450">
        <v>67</v>
      </c>
      <c r="M450">
        <v>2</v>
      </c>
      <c r="N450" t="s">
        <v>145</v>
      </c>
      <c r="O450" t="s">
        <v>113</v>
      </c>
      <c r="P450" t="s">
        <v>114</v>
      </c>
      <c r="Q450" t="s">
        <v>136</v>
      </c>
      <c r="R450" t="s">
        <v>114</v>
      </c>
      <c r="S450" t="s">
        <v>92</v>
      </c>
      <c r="T450" t="s">
        <v>137</v>
      </c>
      <c r="U450">
        <v>2</v>
      </c>
      <c r="V450" t="s">
        <v>74</v>
      </c>
      <c r="W450" t="s">
        <v>44</v>
      </c>
      <c r="X450" t="s">
        <v>110</v>
      </c>
      <c r="Y450">
        <v>1</v>
      </c>
      <c r="Z450">
        <v>4</v>
      </c>
      <c r="AA450">
        <v>44.1</v>
      </c>
      <c r="AB450">
        <v>-1</v>
      </c>
      <c r="AC450" t="s">
        <v>74</v>
      </c>
      <c r="AD450">
        <v>2</v>
      </c>
      <c r="AE450">
        <v>1</v>
      </c>
      <c r="AF450">
        <v>0</v>
      </c>
      <c r="AG450">
        <v>3.2250000000000001</v>
      </c>
      <c r="AH450">
        <v>0.3</v>
      </c>
      <c r="AI450">
        <v>-1</v>
      </c>
      <c r="AL450" t="str">
        <f t="shared" si="45"/>
        <v/>
      </c>
      <c r="AM450">
        <f>VLOOKUP(TRIM(N450),'[1]All - Durations'!$E$2:$H$109,4,FALSE)</f>
        <v>0.96199999999999997</v>
      </c>
      <c r="AN450" t="e">
        <f t="shared" si="46"/>
        <v>#VALUE!</v>
      </c>
      <c r="AO450" t="str">
        <f t="shared" si="47"/>
        <v/>
      </c>
    </row>
    <row r="451" spans="1:41" x14ac:dyDescent="0.25">
      <c r="A451">
        <v>259</v>
      </c>
      <c r="B451" t="s">
        <v>35</v>
      </c>
      <c r="C451">
        <v>3</v>
      </c>
      <c r="D451" t="s">
        <v>36</v>
      </c>
      <c r="E451">
        <v>4</v>
      </c>
      <c r="F451" t="s">
        <v>37</v>
      </c>
      <c r="G451">
        <v>7</v>
      </c>
      <c r="H451">
        <v>11</v>
      </c>
      <c r="I451">
        <v>1</v>
      </c>
      <c r="J451">
        <v>18</v>
      </c>
      <c r="K451">
        <v>14</v>
      </c>
      <c r="L451">
        <v>72</v>
      </c>
      <c r="M451">
        <v>2</v>
      </c>
      <c r="N451" t="s">
        <v>112</v>
      </c>
      <c r="O451" t="s">
        <v>113</v>
      </c>
      <c r="P451" t="s">
        <v>114</v>
      </c>
      <c r="Q451" t="s">
        <v>115</v>
      </c>
      <c r="R451" t="s">
        <v>114</v>
      </c>
      <c r="S451" t="s">
        <v>43</v>
      </c>
      <c r="T451" t="s">
        <v>104</v>
      </c>
      <c r="U451">
        <v>1</v>
      </c>
      <c r="V451" t="s">
        <v>46</v>
      </c>
      <c r="W451" t="s">
        <v>75</v>
      </c>
      <c r="X451" t="s">
        <v>79</v>
      </c>
      <c r="Y451">
        <v>1</v>
      </c>
      <c r="Z451">
        <v>4</v>
      </c>
      <c r="AA451">
        <v>44.1</v>
      </c>
      <c r="AB451">
        <v>-1</v>
      </c>
      <c r="AC451" t="s">
        <v>75</v>
      </c>
      <c r="AD451">
        <v>4</v>
      </c>
      <c r="AE451">
        <v>5</v>
      </c>
      <c r="AF451">
        <v>0</v>
      </c>
      <c r="AG451">
        <v>3.2759999999999998</v>
      </c>
      <c r="AH451">
        <v>0.6</v>
      </c>
      <c r="AI451">
        <v>-1</v>
      </c>
      <c r="AL451" t="str">
        <f t="shared" ref="AL451:AL514" si="48">IF(ISNUMBER(AK451), AK451, IF(AND(AK451="",AJ451=""),"",IF(AK451="",AJ451,"")))</f>
        <v/>
      </c>
      <c r="AM451">
        <f>VLOOKUP(TRIM(N451),'[1]All - Durations'!$E$2:$H$109,4,FALSE)</f>
        <v>0.94499999999999995</v>
      </c>
      <c r="AN451" t="e">
        <f t="shared" ref="AN451:AN514" si="49">AL451-AM451</f>
        <v>#VALUE!</v>
      </c>
      <c r="AO451" t="str">
        <f t="shared" ref="AO451:AO514" si="50">IF(ISNUMBER(AN451), AN451, "")</f>
        <v/>
      </c>
    </row>
    <row r="452" spans="1:41" x14ac:dyDescent="0.25">
      <c r="A452">
        <v>259</v>
      </c>
      <c r="B452" t="s">
        <v>35</v>
      </c>
      <c r="C452">
        <v>3</v>
      </c>
      <c r="D452" t="s">
        <v>36</v>
      </c>
      <c r="E452">
        <v>4</v>
      </c>
      <c r="F452" t="s">
        <v>37</v>
      </c>
      <c r="G452">
        <v>7</v>
      </c>
      <c r="H452">
        <v>11</v>
      </c>
      <c r="I452">
        <v>1</v>
      </c>
      <c r="J452">
        <v>19</v>
      </c>
      <c r="K452">
        <v>24</v>
      </c>
      <c r="L452">
        <v>68</v>
      </c>
      <c r="M452">
        <v>2</v>
      </c>
      <c r="N452" t="s">
        <v>135</v>
      </c>
      <c r="O452" t="s">
        <v>113</v>
      </c>
      <c r="P452" t="s">
        <v>114</v>
      </c>
      <c r="Q452" t="s">
        <v>136</v>
      </c>
      <c r="R452" t="s">
        <v>114</v>
      </c>
      <c r="S452" t="s">
        <v>52</v>
      </c>
      <c r="T452" t="s">
        <v>74</v>
      </c>
      <c r="U452">
        <v>2</v>
      </c>
      <c r="V452" t="s">
        <v>128</v>
      </c>
      <c r="W452" t="s">
        <v>138</v>
      </c>
      <c r="X452" t="s">
        <v>86</v>
      </c>
      <c r="Y452">
        <v>2</v>
      </c>
      <c r="Z452">
        <v>4</v>
      </c>
      <c r="AA452">
        <v>44.1</v>
      </c>
      <c r="AB452">
        <v>-1</v>
      </c>
      <c r="AC452" t="s">
        <v>83</v>
      </c>
      <c r="AD452">
        <v>0</v>
      </c>
      <c r="AE452">
        <v>0</v>
      </c>
      <c r="AF452">
        <v>0</v>
      </c>
      <c r="AG452">
        <v>-1</v>
      </c>
      <c r="AH452">
        <v>0.41699999999999998</v>
      </c>
      <c r="AI452">
        <v>-1</v>
      </c>
      <c r="AL452" t="str">
        <f t="shared" si="48"/>
        <v/>
      </c>
      <c r="AM452">
        <f>VLOOKUP(TRIM(N452),'[1]All - Durations'!$E$2:$H$109,4,FALSE)</f>
        <v>1.0209999999999999</v>
      </c>
      <c r="AN452" t="e">
        <f t="shared" si="49"/>
        <v>#VALUE!</v>
      </c>
      <c r="AO452" t="str">
        <f t="shared" si="50"/>
        <v/>
      </c>
    </row>
    <row r="453" spans="1:41" x14ac:dyDescent="0.25">
      <c r="A453">
        <v>259</v>
      </c>
      <c r="B453" t="s">
        <v>35</v>
      </c>
      <c r="C453">
        <v>3</v>
      </c>
      <c r="D453" t="s">
        <v>36</v>
      </c>
      <c r="E453">
        <v>4</v>
      </c>
      <c r="F453" t="s">
        <v>37</v>
      </c>
      <c r="G453">
        <v>7</v>
      </c>
      <c r="H453">
        <v>11</v>
      </c>
      <c r="I453">
        <v>1</v>
      </c>
      <c r="J453">
        <v>20</v>
      </c>
      <c r="K453">
        <v>21</v>
      </c>
      <c r="L453">
        <v>27</v>
      </c>
      <c r="M453">
        <v>1</v>
      </c>
      <c r="N453" t="s">
        <v>129</v>
      </c>
      <c r="O453" t="s">
        <v>113</v>
      </c>
      <c r="P453" t="s">
        <v>114</v>
      </c>
      <c r="Q453" t="s">
        <v>118</v>
      </c>
      <c r="R453" t="s">
        <v>114</v>
      </c>
      <c r="S453" t="s">
        <v>92</v>
      </c>
      <c r="T453" t="s">
        <v>120</v>
      </c>
      <c r="U453">
        <v>4</v>
      </c>
      <c r="V453" t="s">
        <v>119</v>
      </c>
      <c r="W453" t="s">
        <v>204</v>
      </c>
      <c r="X453" t="s">
        <v>60</v>
      </c>
      <c r="Y453">
        <v>1</v>
      </c>
      <c r="Z453">
        <v>4</v>
      </c>
      <c r="AA453">
        <v>44.1</v>
      </c>
      <c r="AB453">
        <v>-1</v>
      </c>
      <c r="AC453" t="s">
        <v>120</v>
      </c>
      <c r="AD453">
        <v>1</v>
      </c>
      <c r="AE453">
        <v>4</v>
      </c>
      <c r="AF453">
        <v>1</v>
      </c>
      <c r="AG453">
        <v>3.3889999999999998</v>
      </c>
      <c r="AH453">
        <v>0.78300000000000003</v>
      </c>
      <c r="AI453">
        <v>-1</v>
      </c>
      <c r="AL453" t="str">
        <f t="shared" si="48"/>
        <v/>
      </c>
      <c r="AM453">
        <f>VLOOKUP(TRIM(N453),'[1]All - Durations'!$E$2:$H$109,4,FALSE)</f>
        <v>0.92900000000000005</v>
      </c>
      <c r="AN453" t="e">
        <f t="shared" si="49"/>
        <v>#VALUE!</v>
      </c>
      <c r="AO453" t="str">
        <f t="shared" si="50"/>
        <v/>
      </c>
    </row>
    <row r="454" spans="1:41" x14ac:dyDescent="0.25">
      <c r="A454">
        <v>259</v>
      </c>
      <c r="B454" t="s">
        <v>35</v>
      </c>
      <c r="C454">
        <v>3</v>
      </c>
      <c r="D454" t="s">
        <v>36</v>
      </c>
      <c r="E454">
        <v>4</v>
      </c>
      <c r="F454" t="s">
        <v>37</v>
      </c>
      <c r="G454">
        <v>7</v>
      </c>
      <c r="H454">
        <v>11</v>
      </c>
      <c r="I454">
        <v>1</v>
      </c>
      <c r="J454">
        <v>21</v>
      </c>
      <c r="K454">
        <v>16</v>
      </c>
      <c r="L454">
        <v>26</v>
      </c>
      <c r="M454">
        <v>1</v>
      </c>
      <c r="N454" t="s">
        <v>148</v>
      </c>
      <c r="O454" t="s">
        <v>113</v>
      </c>
      <c r="P454" t="s">
        <v>114</v>
      </c>
      <c r="Q454" t="s">
        <v>123</v>
      </c>
      <c r="R454" t="s">
        <v>114</v>
      </c>
      <c r="S454" t="s">
        <v>92</v>
      </c>
      <c r="T454" t="s">
        <v>130</v>
      </c>
      <c r="U454">
        <v>4</v>
      </c>
      <c r="V454" t="s">
        <v>137</v>
      </c>
      <c r="W454" t="s">
        <v>73</v>
      </c>
      <c r="X454" t="s">
        <v>211</v>
      </c>
      <c r="Y454">
        <v>2</v>
      </c>
      <c r="Z454">
        <v>4</v>
      </c>
      <c r="AA454">
        <v>44.1</v>
      </c>
      <c r="AB454">
        <v>-1</v>
      </c>
      <c r="AC454" t="s">
        <v>73</v>
      </c>
      <c r="AD454">
        <v>4</v>
      </c>
      <c r="AE454">
        <v>2</v>
      </c>
      <c r="AF454">
        <v>0</v>
      </c>
      <c r="AG454">
        <v>2.6110000000000002</v>
      </c>
      <c r="AH454">
        <v>0.35</v>
      </c>
      <c r="AI454">
        <v>-1</v>
      </c>
      <c r="AL454" t="str">
        <f t="shared" si="48"/>
        <v/>
      </c>
      <c r="AM454">
        <f>VLOOKUP(TRIM(N454),'[1]All - Durations'!$E$2:$H$109,4,FALSE)</f>
        <v>0.90400000000000003</v>
      </c>
      <c r="AN454" t="e">
        <f t="shared" si="49"/>
        <v>#VALUE!</v>
      </c>
      <c r="AO454" t="str">
        <f t="shared" si="50"/>
        <v/>
      </c>
    </row>
    <row r="455" spans="1:41" x14ac:dyDescent="0.25">
      <c r="A455">
        <v>259</v>
      </c>
      <c r="B455" t="s">
        <v>35</v>
      </c>
      <c r="C455">
        <v>3</v>
      </c>
      <c r="D455" t="s">
        <v>36</v>
      </c>
      <c r="E455">
        <v>4</v>
      </c>
      <c r="F455" t="s">
        <v>37</v>
      </c>
      <c r="G455">
        <v>7</v>
      </c>
      <c r="H455">
        <v>11</v>
      </c>
      <c r="I455">
        <v>1</v>
      </c>
      <c r="J455">
        <v>22</v>
      </c>
      <c r="K455">
        <v>20</v>
      </c>
      <c r="L455">
        <v>64</v>
      </c>
      <c r="M455">
        <v>2</v>
      </c>
      <c r="N455" t="s">
        <v>133</v>
      </c>
      <c r="O455" t="s">
        <v>113</v>
      </c>
      <c r="P455" t="s">
        <v>114</v>
      </c>
      <c r="Q455" t="s">
        <v>134</v>
      </c>
      <c r="R455" t="s">
        <v>114</v>
      </c>
      <c r="S455" t="s">
        <v>43</v>
      </c>
      <c r="T455" t="s">
        <v>100</v>
      </c>
      <c r="U455">
        <v>1</v>
      </c>
      <c r="V455" t="s">
        <v>95</v>
      </c>
      <c r="W455" t="s">
        <v>54</v>
      </c>
      <c r="X455" t="s">
        <v>68</v>
      </c>
      <c r="Y455">
        <v>1</v>
      </c>
      <c r="Z455">
        <v>4</v>
      </c>
      <c r="AA455">
        <v>44.1</v>
      </c>
      <c r="AB455">
        <v>-1</v>
      </c>
      <c r="AC455" t="s">
        <v>100</v>
      </c>
      <c r="AD455">
        <v>1</v>
      </c>
      <c r="AE455">
        <v>1</v>
      </c>
      <c r="AF455">
        <v>1</v>
      </c>
      <c r="AG455">
        <v>1.0569999999999999</v>
      </c>
      <c r="AH455">
        <v>0.317</v>
      </c>
      <c r="AI455">
        <v>-1</v>
      </c>
      <c r="AL455" t="str">
        <f t="shared" si="48"/>
        <v/>
      </c>
      <c r="AM455">
        <f>VLOOKUP(TRIM(N455),'[1]All - Durations'!$E$2:$H$109,4,FALSE)</f>
        <v>0.80200000000000005</v>
      </c>
      <c r="AN455" t="e">
        <f t="shared" si="49"/>
        <v>#VALUE!</v>
      </c>
      <c r="AO455" t="str">
        <f t="shared" si="50"/>
        <v/>
      </c>
    </row>
    <row r="456" spans="1:41" x14ac:dyDescent="0.25">
      <c r="A456">
        <v>259</v>
      </c>
      <c r="B456" t="s">
        <v>35</v>
      </c>
      <c r="C456">
        <v>3</v>
      </c>
      <c r="D456" t="s">
        <v>36</v>
      </c>
      <c r="E456">
        <v>4</v>
      </c>
      <c r="F456" t="s">
        <v>37</v>
      </c>
      <c r="G456">
        <v>7</v>
      </c>
      <c r="H456">
        <v>11</v>
      </c>
      <c r="I456">
        <v>1</v>
      </c>
      <c r="J456">
        <v>23</v>
      </c>
      <c r="K456">
        <v>18</v>
      </c>
      <c r="L456">
        <v>62</v>
      </c>
      <c r="M456">
        <v>2</v>
      </c>
      <c r="N456" t="s">
        <v>142</v>
      </c>
      <c r="O456" t="s">
        <v>113</v>
      </c>
      <c r="P456" t="s">
        <v>114</v>
      </c>
      <c r="Q456" t="s">
        <v>126</v>
      </c>
      <c r="R456" t="s">
        <v>114</v>
      </c>
      <c r="S456" t="s">
        <v>52</v>
      </c>
      <c r="T456" t="s">
        <v>128</v>
      </c>
      <c r="U456">
        <v>1</v>
      </c>
      <c r="V456" t="s">
        <v>127</v>
      </c>
      <c r="W456" t="s">
        <v>161</v>
      </c>
      <c r="X456" t="s">
        <v>85</v>
      </c>
      <c r="Y456">
        <v>1</v>
      </c>
      <c r="Z456">
        <v>4</v>
      </c>
      <c r="AA456">
        <v>44.1</v>
      </c>
      <c r="AB456">
        <v>-1</v>
      </c>
      <c r="AC456" t="s">
        <v>85</v>
      </c>
      <c r="AD456">
        <v>4</v>
      </c>
      <c r="AE456">
        <v>2</v>
      </c>
      <c r="AF456">
        <v>0</v>
      </c>
      <c r="AG456">
        <v>2.202</v>
      </c>
      <c r="AH456">
        <v>0.15</v>
      </c>
      <c r="AI456">
        <v>-1</v>
      </c>
      <c r="AL456" t="str">
        <f t="shared" si="48"/>
        <v/>
      </c>
      <c r="AM456">
        <f>VLOOKUP(TRIM(N456),'[1]All - Durations'!$E$2:$H$109,4,FALSE)</f>
        <v>1.1259999999999999</v>
      </c>
      <c r="AN456" t="e">
        <f t="shared" si="49"/>
        <v>#VALUE!</v>
      </c>
      <c r="AO456" t="str">
        <f t="shared" si="50"/>
        <v/>
      </c>
    </row>
    <row r="457" spans="1:41" x14ac:dyDescent="0.25">
      <c r="A457">
        <v>259</v>
      </c>
      <c r="B457" t="s">
        <v>35</v>
      </c>
      <c r="C457">
        <v>3</v>
      </c>
      <c r="D457" t="s">
        <v>36</v>
      </c>
      <c r="E457">
        <v>4</v>
      </c>
      <c r="F457" t="s">
        <v>37</v>
      </c>
      <c r="G457">
        <v>7</v>
      </c>
      <c r="H457">
        <v>11</v>
      </c>
      <c r="I457">
        <v>1</v>
      </c>
      <c r="J457">
        <v>24</v>
      </c>
      <c r="K457">
        <v>15</v>
      </c>
      <c r="L457">
        <v>25</v>
      </c>
      <c r="M457">
        <v>1</v>
      </c>
      <c r="N457" t="s">
        <v>122</v>
      </c>
      <c r="O457" t="s">
        <v>113</v>
      </c>
      <c r="P457" t="s">
        <v>114</v>
      </c>
      <c r="Q457" t="s">
        <v>123</v>
      </c>
      <c r="R457" t="s">
        <v>114</v>
      </c>
      <c r="S457" t="s">
        <v>59</v>
      </c>
      <c r="T457" t="s">
        <v>124</v>
      </c>
      <c r="U457">
        <v>2</v>
      </c>
      <c r="V457" t="s">
        <v>130</v>
      </c>
      <c r="W457" t="s">
        <v>67</v>
      </c>
      <c r="X457" t="s">
        <v>187</v>
      </c>
      <c r="Y457">
        <v>1</v>
      </c>
      <c r="Z457">
        <v>4</v>
      </c>
      <c r="AA457">
        <v>44.1</v>
      </c>
      <c r="AB457">
        <v>-1</v>
      </c>
      <c r="AC457" t="s">
        <v>130</v>
      </c>
      <c r="AD457">
        <v>2</v>
      </c>
      <c r="AE457">
        <v>1</v>
      </c>
      <c r="AF457">
        <v>0</v>
      </c>
      <c r="AG457">
        <v>2.7410000000000001</v>
      </c>
      <c r="AH457">
        <v>0.23300000000000001</v>
      </c>
      <c r="AI457">
        <v>-1</v>
      </c>
      <c r="AL457" t="str">
        <f t="shared" si="48"/>
        <v/>
      </c>
      <c r="AM457">
        <f>VLOOKUP(TRIM(N457),'[1]All - Durations'!$E$2:$H$109,4,FALSE)</f>
        <v>0.83899999999999997</v>
      </c>
      <c r="AN457" t="e">
        <f t="shared" si="49"/>
        <v>#VALUE!</v>
      </c>
      <c r="AO457" t="str">
        <f t="shared" si="50"/>
        <v/>
      </c>
    </row>
    <row r="458" spans="1:41" x14ac:dyDescent="0.25">
      <c r="A458">
        <v>259</v>
      </c>
      <c r="B458" t="s">
        <v>35</v>
      </c>
      <c r="C458">
        <v>3</v>
      </c>
      <c r="D458" t="s">
        <v>36</v>
      </c>
      <c r="E458">
        <v>4</v>
      </c>
      <c r="F458" t="s">
        <v>37</v>
      </c>
      <c r="G458">
        <v>7</v>
      </c>
      <c r="H458">
        <v>11</v>
      </c>
      <c r="I458">
        <v>1</v>
      </c>
      <c r="J458">
        <v>25</v>
      </c>
      <c r="K458">
        <v>33</v>
      </c>
      <c r="L458">
        <v>15</v>
      </c>
      <c r="M458">
        <v>1</v>
      </c>
      <c r="N458" t="s">
        <v>150</v>
      </c>
      <c r="O458" t="s">
        <v>151</v>
      </c>
      <c r="P458" t="s">
        <v>152</v>
      </c>
      <c r="Q458" t="s">
        <v>153</v>
      </c>
      <c r="R458" t="s">
        <v>154</v>
      </c>
      <c r="S458" t="s">
        <v>92</v>
      </c>
      <c r="T458" t="s">
        <v>155</v>
      </c>
      <c r="U458">
        <v>1</v>
      </c>
      <c r="V458" t="s">
        <v>99</v>
      </c>
      <c r="W458" t="s">
        <v>87</v>
      </c>
      <c r="X458" t="s">
        <v>147</v>
      </c>
      <c r="Y458">
        <v>1</v>
      </c>
      <c r="Z458">
        <v>4</v>
      </c>
      <c r="AA458">
        <v>44.1</v>
      </c>
      <c r="AB458">
        <v>-1</v>
      </c>
      <c r="AC458" t="s">
        <v>99</v>
      </c>
      <c r="AD458">
        <v>2</v>
      </c>
      <c r="AE458">
        <v>4</v>
      </c>
      <c r="AF458">
        <v>0</v>
      </c>
      <c r="AG458">
        <v>1.56</v>
      </c>
      <c r="AH458">
        <v>0.25</v>
      </c>
      <c r="AI458">
        <v>-1</v>
      </c>
      <c r="AL458" t="str">
        <f t="shared" si="48"/>
        <v/>
      </c>
      <c r="AM458">
        <f>VLOOKUP(TRIM(N458),'[1]All - Durations'!$E$2:$H$109,4,FALSE)</f>
        <v>0.94299999999999995</v>
      </c>
      <c r="AN458" t="e">
        <f t="shared" si="49"/>
        <v>#VALUE!</v>
      </c>
      <c r="AO458" t="str">
        <f t="shared" si="50"/>
        <v/>
      </c>
    </row>
    <row r="459" spans="1:41" x14ac:dyDescent="0.25">
      <c r="A459">
        <v>259</v>
      </c>
      <c r="B459" t="s">
        <v>35</v>
      </c>
      <c r="C459">
        <v>3</v>
      </c>
      <c r="D459" t="s">
        <v>36</v>
      </c>
      <c r="E459">
        <v>4</v>
      </c>
      <c r="F459" t="s">
        <v>37</v>
      </c>
      <c r="G459">
        <v>7</v>
      </c>
      <c r="H459">
        <v>11</v>
      </c>
      <c r="I459">
        <v>1</v>
      </c>
      <c r="J459">
        <v>26</v>
      </c>
      <c r="K459">
        <v>26</v>
      </c>
      <c r="L459">
        <v>60</v>
      </c>
      <c r="M459">
        <v>2</v>
      </c>
      <c r="N459" t="s">
        <v>157</v>
      </c>
      <c r="O459" t="s">
        <v>151</v>
      </c>
      <c r="P459" t="s">
        <v>158</v>
      </c>
      <c r="Q459" t="s">
        <v>159</v>
      </c>
      <c r="R459" t="s">
        <v>160</v>
      </c>
      <c r="S459" t="s">
        <v>43</v>
      </c>
      <c r="T459" t="s">
        <v>161</v>
      </c>
      <c r="U459">
        <v>5</v>
      </c>
      <c r="V459" t="s">
        <v>103</v>
      </c>
      <c r="W459" t="s">
        <v>149</v>
      </c>
      <c r="X459" t="s">
        <v>209</v>
      </c>
      <c r="Y459">
        <v>1</v>
      </c>
      <c r="Z459">
        <v>4</v>
      </c>
      <c r="AA459">
        <v>44.1</v>
      </c>
      <c r="AB459">
        <v>-1</v>
      </c>
      <c r="AC459" t="s">
        <v>149</v>
      </c>
      <c r="AD459">
        <v>4</v>
      </c>
      <c r="AE459">
        <v>2</v>
      </c>
      <c r="AF459">
        <v>0</v>
      </c>
      <c r="AG459">
        <v>1.823</v>
      </c>
      <c r="AH459">
        <v>0.33300000000000002</v>
      </c>
      <c r="AI459">
        <v>-1</v>
      </c>
      <c r="AL459" t="str">
        <f t="shared" si="48"/>
        <v/>
      </c>
      <c r="AM459">
        <f>VLOOKUP(TRIM(N459),'[1]All - Durations'!$E$2:$H$109,4,FALSE)</f>
        <v>1.0549999999999999</v>
      </c>
      <c r="AN459" t="e">
        <f t="shared" si="49"/>
        <v>#VALUE!</v>
      </c>
      <c r="AO459" t="str">
        <f t="shared" si="50"/>
        <v/>
      </c>
    </row>
    <row r="460" spans="1:41" x14ac:dyDescent="0.25">
      <c r="A460">
        <v>259</v>
      </c>
      <c r="B460" t="s">
        <v>35</v>
      </c>
      <c r="C460">
        <v>3</v>
      </c>
      <c r="D460" t="s">
        <v>36</v>
      </c>
      <c r="E460">
        <v>4</v>
      </c>
      <c r="F460" t="s">
        <v>37</v>
      </c>
      <c r="G460">
        <v>7</v>
      </c>
      <c r="H460">
        <v>11</v>
      </c>
      <c r="I460">
        <v>1</v>
      </c>
      <c r="J460">
        <v>27</v>
      </c>
      <c r="K460">
        <v>36</v>
      </c>
      <c r="L460">
        <v>56</v>
      </c>
      <c r="M460">
        <v>2</v>
      </c>
      <c r="N460" t="s">
        <v>175</v>
      </c>
      <c r="O460" t="s">
        <v>151</v>
      </c>
      <c r="P460" t="s">
        <v>164</v>
      </c>
      <c r="Q460" t="s">
        <v>165</v>
      </c>
      <c r="R460" t="s">
        <v>174</v>
      </c>
      <c r="S460" t="s">
        <v>52</v>
      </c>
      <c r="T460" t="s">
        <v>166</v>
      </c>
      <c r="U460">
        <v>1</v>
      </c>
      <c r="V460" t="s">
        <v>86</v>
      </c>
      <c r="W460" t="s">
        <v>44</v>
      </c>
      <c r="X460" t="s">
        <v>95</v>
      </c>
      <c r="Y460">
        <v>1</v>
      </c>
      <c r="Z460">
        <v>4</v>
      </c>
      <c r="AA460">
        <v>44.1</v>
      </c>
      <c r="AB460">
        <v>-1</v>
      </c>
      <c r="AC460" t="s">
        <v>86</v>
      </c>
      <c r="AD460">
        <v>2</v>
      </c>
      <c r="AE460">
        <v>5</v>
      </c>
      <c r="AF460">
        <v>0</v>
      </c>
      <c r="AG460">
        <v>1.9410000000000001</v>
      </c>
      <c r="AH460">
        <v>0.26700000000000002</v>
      </c>
      <c r="AI460">
        <v>-1</v>
      </c>
      <c r="AL460" t="str">
        <f t="shared" si="48"/>
        <v/>
      </c>
      <c r="AM460">
        <f>VLOOKUP(TRIM(N460),'[1]All - Durations'!$E$2:$H$109,4,FALSE)</f>
        <v>0.97099999999999997</v>
      </c>
      <c r="AN460" t="e">
        <f t="shared" si="49"/>
        <v>#VALUE!</v>
      </c>
      <c r="AO460" t="str">
        <f t="shared" si="50"/>
        <v/>
      </c>
    </row>
    <row r="461" spans="1:41" x14ac:dyDescent="0.25">
      <c r="A461">
        <v>259</v>
      </c>
      <c r="B461" t="s">
        <v>35</v>
      </c>
      <c r="C461">
        <v>3</v>
      </c>
      <c r="D461" t="s">
        <v>36</v>
      </c>
      <c r="E461">
        <v>4</v>
      </c>
      <c r="F461" t="s">
        <v>37</v>
      </c>
      <c r="G461">
        <v>7</v>
      </c>
      <c r="H461">
        <v>11</v>
      </c>
      <c r="I461">
        <v>1</v>
      </c>
      <c r="J461">
        <v>28</v>
      </c>
      <c r="K461">
        <v>30</v>
      </c>
      <c r="L461">
        <v>50</v>
      </c>
      <c r="M461">
        <v>2</v>
      </c>
      <c r="N461" t="s">
        <v>186</v>
      </c>
      <c r="O461" t="s">
        <v>151</v>
      </c>
      <c r="P461" t="s">
        <v>181</v>
      </c>
      <c r="Q461" t="s">
        <v>182</v>
      </c>
      <c r="R461" t="s">
        <v>174</v>
      </c>
      <c r="S461" t="s">
        <v>52</v>
      </c>
      <c r="T461" t="s">
        <v>187</v>
      </c>
      <c r="U461">
        <v>5</v>
      </c>
      <c r="V461" t="s">
        <v>47</v>
      </c>
      <c r="W461" t="s">
        <v>179</v>
      </c>
      <c r="X461" t="s">
        <v>94</v>
      </c>
      <c r="Y461">
        <v>2</v>
      </c>
      <c r="Z461">
        <v>4</v>
      </c>
      <c r="AA461">
        <v>44.1</v>
      </c>
      <c r="AB461">
        <v>-1</v>
      </c>
      <c r="AC461" t="s">
        <v>94</v>
      </c>
      <c r="AD461">
        <v>4</v>
      </c>
      <c r="AE461">
        <v>2</v>
      </c>
      <c r="AF461">
        <v>0</v>
      </c>
      <c r="AG461">
        <v>2.5230000000000001</v>
      </c>
      <c r="AH461">
        <v>0.26700000000000002</v>
      </c>
      <c r="AI461">
        <v>-1</v>
      </c>
      <c r="AL461" t="str">
        <f t="shared" si="48"/>
        <v/>
      </c>
      <c r="AM461">
        <f>VLOOKUP(TRIM(N461),'[1]All - Durations'!$E$2:$H$109,4,FALSE)</f>
        <v>0.89100000000000001</v>
      </c>
      <c r="AN461" t="e">
        <f t="shared" si="49"/>
        <v>#VALUE!</v>
      </c>
      <c r="AO461" t="str">
        <f t="shared" si="50"/>
        <v/>
      </c>
    </row>
    <row r="462" spans="1:41" x14ac:dyDescent="0.25">
      <c r="A462">
        <v>259</v>
      </c>
      <c r="B462" t="s">
        <v>35</v>
      </c>
      <c r="C462">
        <v>3</v>
      </c>
      <c r="D462" t="s">
        <v>36</v>
      </c>
      <c r="E462">
        <v>4</v>
      </c>
      <c r="F462" t="s">
        <v>37</v>
      </c>
      <c r="G462">
        <v>7</v>
      </c>
      <c r="H462">
        <v>11</v>
      </c>
      <c r="I462">
        <v>1</v>
      </c>
      <c r="J462">
        <v>29</v>
      </c>
      <c r="K462">
        <v>35</v>
      </c>
      <c r="L462">
        <v>55</v>
      </c>
      <c r="M462">
        <v>2</v>
      </c>
      <c r="N462" t="s">
        <v>163</v>
      </c>
      <c r="O462" t="s">
        <v>151</v>
      </c>
      <c r="P462" t="s">
        <v>164</v>
      </c>
      <c r="Q462" t="s">
        <v>165</v>
      </c>
      <c r="R462" t="s">
        <v>154</v>
      </c>
      <c r="S462" t="s">
        <v>92</v>
      </c>
      <c r="T462" t="s">
        <v>86</v>
      </c>
      <c r="U462">
        <v>4</v>
      </c>
      <c r="V462" t="s">
        <v>155</v>
      </c>
      <c r="W462" t="s">
        <v>73</v>
      </c>
      <c r="X462" t="s">
        <v>81</v>
      </c>
      <c r="Y462">
        <v>2</v>
      </c>
      <c r="Z462">
        <v>4</v>
      </c>
      <c r="AA462">
        <v>44.1</v>
      </c>
      <c r="AB462">
        <v>-1</v>
      </c>
      <c r="AC462" t="s">
        <v>86</v>
      </c>
      <c r="AD462">
        <v>1</v>
      </c>
      <c r="AE462">
        <v>4</v>
      </c>
      <c r="AF462">
        <v>1</v>
      </c>
      <c r="AG462">
        <v>1.508</v>
      </c>
      <c r="AH462">
        <v>0.28299999999999997</v>
      </c>
      <c r="AI462">
        <v>-1</v>
      </c>
      <c r="AL462" t="str">
        <f t="shared" si="48"/>
        <v/>
      </c>
      <c r="AM462">
        <f>VLOOKUP(TRIM(N462),'[1]All - Durations'!$E$2:$H$109,4,FALSE)</f>
        <v>0.877</v>
      </c>
      <c r="AN462" t="e">
        <f t="shared" si="49"/>
        <v>#VALUE!</v>
      </c>
      <c r="AO462" t="str">
        <f t="shared" si="50"/>
        <v/>
      </c>
    </row>
    <row r="463" spans="1:41" x14ac:dyDescent="0.25">
      <c r="A463">
        <v>259</v>
      </c>
      <c r="B463" t="s">
        <v>35</v>
      </c>
      <c r="C463">
        <v>3</v>
      </c>
      <c r="D463" t="s">
        <v>36</v>
      </c>
      <c r="E463">
        <v>4</v>
      </c>
      <c r="F463" t="s">
        <v>37</v>
      </c>
      <c r="G463">
        <v>7</v>
      </c>
      <c r="H463">
        <v>11</v>
      </c>
      <c r="I463">
        <v>1</v>
      </c>
      <c r="J463">
        <v>30</v>
      </c>
      <c r="K463">
        <v>25</v>
      </c>
      <c r="L463">
        <v>59</v>
      </c>
      <c r="M463">
        <v>2</v>
      </c>
      <c r="N463" t="s">
        <v>171</v>
      </c>
      <c r="O463" t="s">
        <v>151</v>
      </c>
      <c r="P463" t="s">
        <v>158</v>
      </c>
      <c r="Q463" t="s">
        <v>159</v>
      </c>
      <c r="R463" t="s">
        <v>170</v>
      </c>
      <c r="S463" t="s">
        <v>59</v>
      </c>
      <c r="T463" t="s">
        <v>103</v>
      </c>
      <c r="U463">
        <v>5</v>
      </c>
      <c r="V463" t="s">
        <v>146</v>
      </c>
      <c r="W463" t="s">
        <v>172</v>
      </c>
      <c r="X463" t="s">
        <v>74</v>
      </c>
      <c r="Y463">
        <v>2</v>
      </c>
      <c r="Z463">
        <v>4</v>
      </c>
      <c r="AA463">
        <v>44.1</v>
      </c>
      <c r="AB463">
        <v>-1</v>
      </c>
      <c r="AC463" t="s">
        <v>103</v>
      </c>
      <c r="AD463">
        <v>1</v>
      </c>
      <c r="AE463">
        <v>5</v>
      </c>
      <c r="AF463">
        <v>1</v>
      </c>
      <c r="AG463">
        <v>0.71199999999999997</v>
      </c>
      <c r="AH463">
        <v>0.3</v>
      </c>
      <c r="AI463">
        <v>-1</v>
      </c>
      <c r="AL463" t="str">
        <f t="shared" si="48"/>
        <v/>
      </c>
      <c r="AM463">
        <f>VLOOKUP(TRIM(N463),'[1]All - Durations'!$E$2:$H$109,4,FALSE)</f>
        <v>0.92300000000000004</v>
      </c>
      <c r="AN463" t="e">
        <f t="shared" si="49"/>
        <v>#VALUE!</v>
      </c>
      <c r="AO463" t="str">
        <f t="shared" si="50"/>
        <v/>
      </c>
    </row>
    <row r="464" spans="1:41" x14ac:dyDescent="0.25">
      <c r="A464">
        <v>259</v>
      </c>
      <c r="B464" t="s">
        <v>35</v>
      </c>
      <c r="C464">
        <v>3</v>
      </c>
      <c r="D464" t="s">
        <v>36</v>
      </c>
      <c r="E464">
        <v>4</v>
      </c>
      <c r="F464" t="s">
        <v>37</v>
      </c>
      <c r="G464">
        <v>7</v>
      </c>
      <c r="H464">
        <v>11</v>
      </c>
      <c r="I464">
        <v>1</v>
      </c>
      <c r="J464">
        <v>31</v>
      </c>
      <c r="K464">
        <v>32</v>
      </c>
      <c r="L464">
        <v>52</v>
      </c>
      <c r="M464">
        <v>2</v>
      </c>
      <c r="N464" t="s">
        <v>188</v>
      </c>
      <c r="O464" t="s">
        <v>151</v>
      </c>
      <c r="P464" t="s">
        <v>177</v>
      </c>
      <c r="Q464" t="s">
        <v>178</v>
      </c>
      <c r="R464" t="s">
        <v>160</v>
      </c>
      <c r="S464" t="s">
        <v>43</v>
      </c>
      <c r="T464" t="s">
        <v>108</v>
      </c>
      <c r="U464">
        <v>5</v>
      </c>
      <c r="V464" t="s">
        <v>139</v>
      </c>
      <c r="W464" t="s">
        <v>137</v>
      </c>
      <c r="X464" t="s">
        <v>53</v>
      </c>
      <c r="Y464">
        <v>1</v>
      </c>
      <c r="Z464">
        <v>4</v>
      </c>
      <c r="AA464">
        <v>44.1</v>
      </c>
      <c r="AB464">
        <v>-1</v>
      </c>
      <c r="AC464" t="s">
        <v>139</v>
      </c>
      <c r="AD464">
        <v>2</v>
      </c>
      <c r="AE464">
        <v>2</v>
      </c>
      <c r="AF464">
        <v>0</v>
      </c>
      <c r="AG464">
        <v>3.15</v>
      </c>
      <c r="AH464">
        <v>0.217</v>
      </c>
      <c r="AI464">
        <v>-1</v>
      </c>
      <c r="AL464" t="str">
        <f t="shared" si="48"/>
        <v/>
      </c>
      <c r="AM464">
        <f>VLOOKUP(TRIM(N464),'[1]All - Durations'!$E$2:$H$109,4,FALSE)</f>
        <v>0.90400000000000003</v>
      </c>
      <c r="AN464" t="e">
        <f t="shared" si="49"/>
        <v>#VALUE!</v>
      </c>
      <c r="AO464" t="str">
        <f t="shared" si="50"/>
        <v/>
      </c>
    </row>
    <row r="465" spans="1:41" x14ac:dyDescent="0.25">
      <c r="A465">
        <v>259</v>
      </c>
      <c r="B465" t="s">
        <v>35</v>
      </c>
      <c r="C465">
        <v>3</v>
      </c>
      <c r="D465" t="s">
        <v>36</v>
      </c>
      <c r="E465">
        <v>4</v>
      </c>
      <c r="F465" t="s">
        <v>37</v>
      </c>
      <c r="G465">
        <v>7</v>
      </c>
      <c r="H465">
        <v>11</v>
      </c>
      <c r="I465">
        <v>1</v>
      </c>
      <c r="J465">
        <v>32</v>
      </c>
      <c r="K465">
        <v>27</v>
      </c>
      <c r="L465">
        <v>13</v>
      </c>
      <c r="M465">
        <v>1</v>
      </c>
      <c r="N465" t="s">
        <v>167</v>
      </c>
      <c r="O465" t="s">
        <v>151</v>
      </c>
      <c r="P465" t="s">
        <v>168</v>
      </c>
      <c r="Q465" t="s">
        <v>169</v>
      </c>
      <c r="R465" t="s">
        <v>170</v>
      </c>
      <c r="S465" t="s">
        <v>59</v>
      </c>
      <c r="T465" t="s">
        <v>96</v>
      </c>
      <c r="U465">
        <v>4</v>
      </c>
      <c r="V465" t="s">
        <v>141</v>
      </c>
      <c r="W465" t="s">
        <v>128</v>
      </c>
      <c r="X465" t="s">
        <v>85</v>
      </c>
      <c r="Y465">
        <v>1</v>
      </c>
      <c r="Z465">
        <v>4</v>
      </c>
      <c r="AA465">
        <v>44.1</v>
      </c>
      <c r="AB465">
        <v>-1</v>
      </c>
      <c r="AC465" t="s">
        <v>141</v>
      </c>
      <c r="AD465">
        <v>2</v>
      </c>
      <c r="AE465">
        <v>1</v>
      </c>
      <c r="AF465">
        <v>0</v>
      </c>
      <c r="AG465">
        <v>1.7989999999999999</v>
      </c>
      <c r="AH465">
        <v>0.23300000000000001</v>
      </c>
      <c r="AI465">
        <v>-1</v>
      </c>
      <c r="AL465" t="str">
        <f t="shared" si="48"/>
        <v/>
      </c>
      <c r="AM465">
        <f>VLOOKUP(TRIM(N465),'[1]All - Durations'!$E$2:$H$109,4,FALSE)</f>
        <v>0.97399999999999998</v>
      </c>
      <c r="AN465" t="e">
        <f t="shared" si="49"/>
        <v>#VALUE!</v>
      </c>
      <c r="AO465" t="str">
        <f t="shared" si="50"/>
        <v/>
      </c>
    </row>
    <row r="466" spans="1:41" x14ac:dyDescent="0.25">
      <c r="A466">
        <v>259</v>
      </c>
      <c r="B466" t="s">
        <v>35</v>
      </c>
      <c r="C466">
        <v>3</v>
      </c>
      <c r="D466" t="s">
        <v>36</v>
      </c>
      <c r="E466">
        <v>4</v>
      </c>
      <c r="F466" t="s">
        <v>37</v>
      </c>
      <c r="G466">
        <v>7</v>
      </c>
      <c r="H466">
        <v>11</v>
      </c>
      <c r="I466">
        <v>1</v>
      </c>
      <c r="J466">
        <v>33</v>
      </c>
      <c r="K466">
        <v>29</v>
      </c>
      <c r="L466">
        <v>49</v>
      </c>
      <c r="M466">
        <v>2</v>
      </c>
      <c r="N466" t="s">
        <v>180</v>
      </c>
      <c r="O466" t="s">
        <v>151</v>
      </c>
      <c r="P466" t="s">
        <v>181</v>
      </c>
      <c r="Q466" t="s">
        <v>182</v>
      </c>
      <c r="R466" t="s">
        <v>154</v>
      </c>
      <c r="S466" t="s">
        <v>92</v>
      </c>
      <c r="T466" t="s">
        <v>183</v>
      </c>
      <c r="U466">
        <v>4</v>
      </c>
      <c r="V466" t="s">
        <v>187</v>
      </c>
      <c r="W466" t="s">
        <v>100</v>
      </c>
      <c r="X466" t="s">
        <v>45</v>
      </c>
      <c r="Y466">
        <v>1</v>
      </c>
      <c r="Z466">
        <v>4</v>
      </c>
      <c r="AA466">
        <v>44.1</v>
      </c>
      <c r="AB466">
        <v>-1</v>
      </c>
      <c r="AC466" t="s">
        <v>187</v>
      </c>
      <c r="AD466">
        <v>2</v>
      </c>
      <c r="AE466">
        <v>2</v>
      </c>
      <c r="AF466">
        <v>0</v>
      </c>
      <c r="AG466">
        <v>1.8340000000000001</v>
      </c>
      <c r="AH466">
        <v>0.217</v>
      </c>
      <c r="AI466">
        <v>-1</v>
      </c>
      <c r="AL466" t="str">
        <f t="shared" si="48"/>
        <v/>
      </c>
      <c r="AM466">
        <f>VLOOKUP(TRIM(N466),'[1]All - Durations'!$E$2:$H$109,4,FALSE)</f>
        <v>0.81799999999999995</v>
      </c>
      <c r="AN466" t="e">
        <f t="shared" si="49"/>
        <v>#VALUE!</v>
      </c>
      <c r="AO466" t="str">
        <f t="shared" si="50"/>
        <v/>
      </c>
    </row>
    <row r="467" spans="1:41" x14ac:dyDescent="0.25">
      <c r="A467">
        <v>259</v>
      </c>
      <c r="B467" t="s">
        <v>35</v>
      </c>
      <c r="C467">
        <v>3</v>
      </c>
      <c r="D467" t="s">
        <v>36</v>
      </c>
      <c r="E467">
        <v>4</v>
      </c>
      <c r="F467" t="s">
        <v>37</v>
      </c>
      <c r="G467">
        <v>7</v>
      </c>
      <c r="H467">
        <v>11</v>
      </c>
      <c r="I467">
        <v>1</v>
      </c>
      <c r="J467">
        <v>34</v>
      </c>
      <c r="K467">
        <v>34</v>
      </c>
      <c r="L467">
        <v>16</v>
      </c>
      <c r="M467">
        <v>1</v>
      </c>
      <c r="N467" t="s">
        <v>173</v>
      </c>
      <c r="O467" t="s">
        <v>151</v>
      </c>
      <c r="P467" t="s">
        <v>152</v>
      </c>
      <c r="Q467" t="s">
        <v>153</v>
      </c>
      <c r="R467" t="s">
        <v>174</v>
      </c>
      <c r="S467" t="s">
        <v>52</v>
      </c>
      <c r="T467" t="s">
        <v>99</v>
      </c>
      <c r="U467">
        <v>2</v>
      </c>
      <c r="V467" t="s">
        <v>75</v>
      </c>
      <c r="W467" t="s">
        <v>56</v>
      </c>
      <c r="X467" t="s">
        <v>98</v>
      </c>
      <c r="Y467">
        <v>2</v>
      </c>
      <c r="Z467">
        <v>4</v>
      </c>
      <c r="AA467">
        <v>44.1</v>
      </c>
      <c r="AB467">
        <v>-1</v>
      </c>
      <c r="AC467" t="s">
        <v>56</v>
      </c>
      <c r="AD467">
        <v>4</v>
      </c>
      <c r="AE467">
        <v>4</v>
      </c>
      <c r="AF467">
        <v>0</v>
      </c>
      <c r="AG467">
        <v>1.996</v>
      </c>
      <c r="AH467">
        <v>0.183</v>
      </c>
      <c r="AI467">
        <v>-1</v>
      </c>
      <c r="AL467" t="str">
        <f t="shared" si="48"/>
        <v/>
      </c>
      <c r="AM467">
        <f>VLOOKUP(TRIM(N467),'[1]All - Durations'!$E$2:$H$109,4,FALSE)</f>
        <v>0.996</v>
      </c>
      <c r="AN467" t="e">
        <f t="shared" si="49"/>
        <v>#VALUE!</v>
      </c>
      <c r="AO467" t="str">
        <f t="shared" si="50"/>
        <v/>
      </c>
    </row>
    <row r="468" spans="1:41" x14ac:dyDescent="0.25">
      <c r="A468">
        <v>259</v>
      </c>
      <c r="B468" t="s">
        <v>35</v>
      </c>
      <c r="C468">
        <v>3</v>
      </c>
      <c r="D468" t="s">
        <v>36</v>
      </c>
      <c r="E468">
        <v>4</v>
      </c>
      <c r="F468" t="s">
        <v>37</v>
      </c>
      <c r="G468">
        <v>7</v>
      </c>
      <c r="H468">
        <v>11</v>
      </c>
      <c r="I468">
        <v>1</v>
      </c>
      <c r="J468">
        <v>35</v>
      </c>
      <c r="K468">
        <v>31</v>
      </c>
      <c r="L468">
        <v>51</v>
      </c>
      <c r="M468">
        <v>2</v>
      </c>
      <c r="N468" t="s">
        <v>176</v>
      </c>
      <c r="O468" t="s">
        <v>151</v>
      </c>
      <c r="P468" t="s">
        <v>177</v>
      </c>
      <c r="Q468" t="s">
        <v>178</v>
      </c>
      <c r="R468" t="s">
        <v>170</v>
      </c>
      <c r="S468" t="s">
        <v>59</v>
      </c>
      <c r="T468" t="s">
        <v>139</v>
      </c>
      <c r="U468">
        <v>5</v>
      </c>
      <c r="V468" t="s">
        <v>204</v>
      </c>
      <c r="W468" t="s">
        <v>80</v>
      </c>
      <c r="X468" t="s">
        <v>127</v>
      </c>
      <c r="Y468">
        <v>2</v>
      </c>
      <c r="Z468">
        <v>4</v>
      </c>
      <c r="AA468">
        <v>44.1</v>
      </c>
      <c r="AB468">
        <v>-1</v>
      </c>
      <c r="AC468" t="s">
        <v>139</v>
      </c>
      <c r="AD468">
        <v>1</v>
      </c>
      <c r="AE468">
        <v>5</v>
      </c>
      <c r="AF468">
        <v>1</v>
      </c>
      <c r="AG468">
        <v>0.61499999999999999</v>
      </c>
      <c r="AH468">
        <v>0.15</v>
      </c>
      <c r="AI468">
        <v>-1</v>
      </c>
      <c r="AL468" t="str">
        <f t="shared" si="48"/>
        <v/>
      </c>
      <c r="AM468">
        <f>VLOOKUP(TRIM(N468),'[1]All - Durations'!$E$2:$H$109,4,FALSE)</f>
        <v>0.879</v>
      </c>
      <c r="AN468" t="e">
        <f t="shared" si="49"/>
        <v>#VALUE!</v>
      </c>
      <c r="AO468" t="str">
        <f t="shared" si="50"/>
        <v/>
      </c>
    </row>
    <row r="469" spans="1:41" x14ac:dyDescent="0.25">
      <c r="A469">
        <v>259</v>
      </c>
      <c r="B469" t="s">
        <v>35</v>
      </c>
      <c r="C469">
        <v>3</v>
      </c>
      <c r="D469" t="s">
        <v>36</v>
      </c>
      <c r="E469">
        <v>4</v>
      </c>
      <c r="F469" t="s">
        <v>37</v>
      </c>
      <c r="G469">
        <v>7</v>
      </c>
      <c r="H469">
        <v>11</v>
      </c>
      <c r="I469">
        <v>1</v>
      </c>
      <c r="J469">
        <v>36</v>
      </c>
      <c r="K469">
        <v>28</v>
      </c>
      <c r="L469">
        <v>14</v>
      </c>
      <c r="M469">
        <v>1</v>
      </c>
      <c r="N469" t="s">
        <v>184</v>
      </c>
      <c r="O469" t="s">
        <v>151</v>
      </c>
      <c r="P469" t="s">
        <v>168</v>
      </c>
      <c r="Q469" t="s">
        <v>169</v>
      </c>
      <c r="R469" t="s">
        <v>154</v>
      </c>
      <c r="S469" t="s">
        <v>92</v>
      </c>
      <c r="T469" t="s">
        <v>141</v>
      </c>
      <c r="U469">
        <v>5</v>
      </c>
      <c r="V469" t="s">
        <v>62</v>
      </c>
      <c r="W469" t="s">
        <v>111</v>
      </c>
      <c r="X469" t="s">
        <v>102</v>
      </c>
      <c r="Y469">
        <v>2</v>
      </c>
      <c r="Z469">
        <v>4</v>
      </c>
      <c r="AA469">
        <v>44.1</v>
      </c>
      <c r="AB469">
        <v>-1</v>
      </c>
      <c r="AC469" t="s">
        <v>102</v>
      </c>
      <c r="AD469">
        <v>4</v>
      </c>
      <c r="AE469">
        <v>2</v>
      </c>
      <c r="AF469">
        <v>0</v>
      </c>
      <c r="AG469">
        <v>2.5209999999999999</v>
      </c>
      <c r="AH469">
        <v>0.217</v>
      </c>
      <c r="AI469">
        <v>-1</v>
      </c>
      <c r="AL469" t="str">
        <f t="shared" si="48"/>
        <v/>
      </c>
      <c r="AM469">
        <f>VLOOKUP(TRIM(N469),'[1]All - Durations'!$E$2:$H$109,4,FALSE)</f>
        <v>0.91</v>
      </c>
      <c r="AN469" t="e">
        <f t="shared" si="49"/>
        <v>#VALUE!</v>
      </c>
      <c r="AO469" t="str">
        <f t="shared" si="50"/>
        <v/>
      </c>
    </row>
    <row r="470" spans="1:41" x14ac:dyDescent="0.25">
      <c r="A470">
        <v>259</v>
      </c>
      <c r="B470" t="s">
        <v>35</v>
      </c>
      <c r="C470">
        <v>3</v>
      </c>
      <c r="D470" t="s">
        <v>36</v>
      </c>
      <c r="E470">
        <v>4</v>
      </c>
      <c r="F470" t="s">
        <v>37</v>
      </c>
      <c r="G470">
        <v>7</v>
      </c>
      <c r="H470">
        <v>11</v>
      </c>
      <c r="I470">
        <v>1</v>
      </c>
      <c r="J470">
        <v>37</v>
      </c>
      <c r="K470">
        <v>48</v>
      </c>
      <c r="L470">
        <v>10</v>
      </c>
      <c r="M470">
        <v>1</v>
      </c>
      <c r="N470" t="s">
        <v>201</v>
      </c>
      <c r="O470" t="s">
        <v>39</v>
      </c>
      <c r="P470" t="s">
        <v>202</v>
      </c>
      <c r="Q470" t="s">
        <v>203</v>
      </c>
      <c r="R470" t="s">
        <v>51</v>
      </c>
      <c r="S470" t="s">
        <v>52</v>
      </c>
      <c r="T470" t="s">
        <v>172</v>
      </c>
      <c r="U470">
        <v>2</v>
      </c>
      <c r="V470" t="s">
        <v>147</v>
      </c>
      <c r="W470" t="s">
        <v>110</v>
      </c>
      <c r="X470" t="s">
        <v>100</v>
      </c>
      <c r="Y470">
        <v>1</v>
      </c>
      <c r="Z470">
        <v>4</v>
      </c>
      <c r="AA470">
        <v>44.1</v>
      </c>
      <c r="AB470">
        <v>-1</v>
      </c>
      <c r="AC470" t="s">
        <v>147</v>
      </c>
      <c r="AD470">
        <v>2</v>
      </c>
      <c r="AE470">
        <v>4</v>
      </c>
      <c r="AF470">
        <v>0</v>
      </c>
      <c r="AG470">
        <v>1.714</v>
      </c>
      <c r="AH470">
        <v>0.2</v>
      </c>
      <c r="AI470">
        <v>-1</v>
      </c>
      <c r="AL470" t="str">
        <f t="shared" si="48"/>
        <v/>
      </c>
      <c r="AM470">
        <f>VLOOKUP(TRIM(N470),'[1]All - Durations'!$E$2:$H$109,4,FALSE)</f>
        <v>0.997</v>
      </c>
      <c r="AN470" t="e">
        <f t="shared" si="49"/>
        <v>#VALUE!</v>
      </c>
      <c r="AO470" t="str">
        <f t="shared" si="50"/>
        <v/>
      </c>
    </row>
    <row r="471" spans="1:41" x14ac:dyDescent="0.25">
      <c r="A471">
        <v>259</v>
      </c>
      <c r="B471" t="s">
        <v>35</v>
      </c>
      <c r="C471">
        <v>3</v>
      </c>
      <c r="D471" t="s">
        <v>36</v>
      </c>
      <c r="E471">
        <v>4</v>
      </c>
      <c r="F471" t="s">
        <v>37</v>
      </c>
      <c r="G471">
        <v>7</v>
      </c>
      <c r="H471">
        <v>11</v>
      </c>
      <c r="I471">
        <v>1</v>
      </c>
      <c r="J471">
        <v>38</v>
      </c>
      <c r="K471">
        <v>39</v>
      </c>
      <c r="L471">
        <v>7</v>
      </c>
      <c r="M471">
        <v>1</v>
      </c>
      <c r="N471" t="s">
        <v>205</v>
      </c>
      <c r="O471" t="s">
        <v>39</v>
      </c>
      <c r="P471" t="s">
        <v>196</v>
      </c>
      <c r="Q471" t="s">
        <v>197</v>
      </c>
      <c r="R471" t="s">
        <v>58</v>
      </c>
      <c r="S471" t="s">
        <v>59</v>
      </c>
      <c r="T471" t="s">
        <v>156</v>
      </c>
      <c r="U471">
        <v>5</v>
      </c>
      <c r="V471" t="s">
        <v>85</v>
      </c>
      <c r="W471" t="s">
        <v>187</v>
      </c>
      <c r="X471" t="s">
        <v>214</v>
      </c>
      <c r="Y471">
        <v>1</v>
      </c>
      <c r="Z471">
        <v>4</v>
      </c>
      <c r="AA471">
        <v>44.1</v>
      </c>
      <c r="AB471">
        <v>-1</v>
      </c>
      <c r="AC471" t="s">
        <v>214</v>
      </c>
      <c r="AD471">
        <v>4</v>
      </c>
      <c r="AE471">
        <v>1</v>
      </c>
      <c r="AF471">
        <v>0</v>
      </c>
      <c r="AG471">
        <v>2.5870000000000002</v>
      </c>
      <c r="AH471">
        <v>0.28299999999999997</v>
      </c>
      <c r="AI471">
        <v>-1</v>
      </c>
      <c r="AL471" t="str">
        <f t="shared" si="48"/>
        <v/>
      </c>
      <c r="AM471">
        <f>VLOOKUP(TRIM(N471),'[1]All - Durations'!$E$2:$H$109,4,FALSE)</f>
        <v>0.94499999999999995</v>
      </c>
      <c r="AN471" t="e">
        <f t="shared" si="49"/>
        <v>#VALUE!</v>
      </c>
      <c r="AO471" t="str">
        <f t="shared" si="50"/>
        <v/>
      </c>
    </row>
    <row r="472" spans="1:41" x14ac:dyDescent="0.25">
      <c r="A472">
        <v>259</v>
      </c>
      <c r="B472" t="s">
        <v>35</v>
      </c>
      <c r="C472">
        <v>3</v>
      </c>
      <c r="D472" t="s">
        <v>36</v>
      </c>
      <c r="E472">
        <v>4</v>
      </c>
      <c r="F472" t="s">
        <v>37</v>
      </c>
      <c r="G472">
        <v>7</v>
      </c>
      <c r="H472">
        <v>11</v>
      </c>
      <c r="I472">
        <v>1</v>
      </c>
      <c r="J472">
        <v>39</v>
      </c>
      <c r="K472">
        <v>46</v>
      </c>
      <c r="L472">
        <v>46</v>
      </c>
      <c r="M472">
        <v>2</v>
      </c>
      <c r="N472" t="s">
        <v>189</v>
      </c>
      <c r="O472" t="s">
        <v>39</v>
      </c>
      <c r="P472" t="s">
        <v>190</v>
      </c>
      <c r="Q472" t="s">
        <v>191</v>
      </c>
      <c r="R472" t="s">
        <v>42</v>
      </c>
      <c r="S472" t="s">
        <v>43</v>
      </c>
      <c r="T472" t="s">
        <v>45</v>
      </c>
      <c r="U472">
        <v>4</v>
      </c>
      <c r="V472" t="s">
        <v>67</v>
      </c>
      <c r="W472" t="s">
        <v>119</v>
      </c>
      <c r="X472" t="s">
        <v>204</v>
      </c>
      <c r="Y472">
        <v>2</v>
      </c>
      <c r="Z472">
        <v>4</v>
      </c>
      <c r="AA472">
        <v>44.1</v>
      </c>
      <c r="AB472">
        <v>-1</v>
      </c>
      <c r="AC472" t="s">
        <v>204</v>
      </c>
      <c r="AD472">
        <v>4</v>
      </c>
      <c r="AE472">
        <v>2</v>
      </c>
      <c r="AF472">
        <v>0</v>
      </c>
      <c r="AG472">
        <v>3.056</v>
      </c>
      <c r="AH472">
        <v>0.55000000000000004</v>
      </c>
      <c r="AI472">
        <v>-1</v>
      </c>
      <c r="AL472" t="str">
        <f t="shared" si="48"/>
        <v/>
      </c>
      <c r="AM472">
        <f>VLOOKUP(TRIM(N472),'[1]All - Durations'!$E$2:$H$109,4,FALSE)</f>
        <v>1.091</v>
      </c>
      <c r="AN472" t="e">
        <f t="shared" si="49"/>
        <v>#VALUE!</v>
      </c>
      <c r="AO472" t="str">
        <f t="shared" si="50"/>
        <v/>
      </c>
    </row>
    <row r="473" spans="1:41" x14ac:dyDescent="0.25">
      <c r="A473">
        <v>259</v>
      </c>
      <c r="B473" t="s">
        <v>35</v>
      </c>
      <c r="C473">
        <v>3</v>
      </c>
      <c r="D473" t="s">
        <v>36</v>
      </c>
      <c r="E473">
        <v>4</v>
      </c>
      <c r="F473" t="s">
        <v>37</v>
      </c>
      <c r="G473">
        <v>7</v>
      </c>
      <c r="H473">
        <v>11</v>
      </c>
      <c r="I473">
        <v>1</v>
      </c>
      <c r="J473">
        <v>40</v>
      </c>
      <c r="K473">
        <v>47</v>
      </c>
      <c r="L473">
        <v>9</v>
      </c>
      <c r="M473">
        <v>1</v>
      </c>
      <c r="N473" t="s">
        <v>212</v>
      </c>
      <c r="O473" t="s">
        <v>39</v>
      </c>
      <c r="P473" t="s">
        <v>202</v>
      </c>
      <c r="Q473" t="s">
        <v>203</v>
      </c>
      <c r="R473" t="s">
        <v>58</v>
      </c>
      <c r="S473" t="s">
        <v>59</v>
      </c>
      <c r="T473" t="s">
        <v>147</v>
      </c>
      <c r="U473">
        <v>5</v>
      </c>
      <c r="V473" t="s">
        <v>156</v>
      </c>
      <c r="W473" t="s">
        <v>74</v>
      </c>
      <c r="X473" t="s">
        <v>75</v>
      </c>
      <c r="Y473">
        <v>2</v>
      </c>
      <c r="Z473">
        <v>4</v>
      </c>
      <c r="AA473">
        <v>44.1</v>
      </c>
      <c r="AB473">
        <v>-1</v>
      </c>
      <c r="AC473" t="s">
        <v>147</v>
      </c>
      <c r="AD473">
        <v>1</v>
      </c>
      <c r="AE473">
        <v>5</v>
      </c>
      <c r="AF473">
        <v>1</v>
      </c>
      <c r="AG473">
        <v>1.1659999999999999</v>
      </c>
      <c r="AH473">
        <v>0.25</v>
      </c>
      <c r="AI473">
        <v>-1</v>
      </c>
      <c r="AL473" t="str">
        <f t="shared" si="48"/>
        <v/>
      </c>
      <c r="AM473">
        <f>VLOOKUP(TRIM(N473),'[1]All - Durations'!$E$2:$H$109,4,FALSE)</f>
        <v>0.93500000000000005</v>
      </c>
      <c r="AN473" t="e">
        <f t="shared" si="49"/>
        <v>#VALUE!</v>
      </c>
      <c r="AO473" t="str">
        <f t="shared" si="50"/>
        <v/>
      </c>
    </row>
    <row r="474" spans="1:41" x14ac:dyDescent="0.25">
      <c r="A474">
        <v>259</v>
      </c>
      <c r="B474" t="s">
        <v>35</v>
      </c>
      <c r="C474">
        <v>3</v>
      </c>
      <c r="D474" t="s">
        <v>36</v>
      </c>
      <c r="E474">
        <v>4</v>
      </c>
      <c r="F474" t="s">
        <v>37</v>
      </c>
      <c r="G474">
        <v>7</v>
      </c>
      <c r="H474">
        <v>11</v>
      </c>
      <c r="I474">
        <v>1</v>
      </c>
      <c r="J474">
        <v>41</v>
      </c>
      <c r="K474">
        <v>44</v>
      </c>
      <c r="L474">
        <v>6</v>
      </c>
      <c r="M474">
        <v>1</v>
      </c>
      <c r="N474" t="s">
        <v>215</v>
      </c>
      <c r="O474" t="s">
        <v>39</v>
      </c>
      <c r="P474" t="s">
        <v>193</v>
      </c>
      <c r="Q474" t="s">
        <v>194</v>
      </c>
      <c r="R474" t="s">
        <v>42</v>
      </c>
      <c r="S474" t="s">
        <v>43</v>
      </c>
      <c r="T474" t="s">
        <v>185</v>
      </c>
      <c r="U474">
        <v>2</v>
      </c>
      <c r="V474" t="s">
        <v>131</v>
      </c>
      <c r="W474" t="s">
        <v>141</v>
      </c>
      <c r="X474" t="s">
        <v>128</v>
      </c>
      <c r="Y474">
        <v>2</v>
      </c>
      <c r="Z474">
        <v>4</v>
      </c>
      <c r="AA474">
        <v>44.1</v>
      </c>
      <c r="AB474">
        <v>-1</v>
      </c>
      <c r="AC474" t="s">
        <v>185</v>
      </c>
      <c r="AD474">
        <v>1</v>
      </c>
      <c r="AE474">
        <v>2</v>
      </c>
      <c r="AF474">
        <v>1</v>
      </c>
      <c r="AG474">
        <v>2.6040000000000001</v>
      </c>
      <c r="AH474">
        <v>0.36699999999999999</v>
      </c>
      <c r="AI474">
        <v>-1</v>
      </c>
      <c r="AL474" t="str">
        <f t="shared" si="48"/>
        <v/>
      </c>
      <c r="AM474">
        <f>VLOOKUP(TRIM(N474),'[1]All - Durations'!$E$2:$H$109,4,FALSE)</f>
        <v>0.88200000000000001</v>
      </c>
      <c r="AN474" t="e">
        <f t="shared" si="49"/>
        <v>#VALUE!</v>
      </c>
      <c r="AO474" t="str">
        <f t="shared" si="50"/>
        <v/>
      </c>
    </row>
    <row r="475" spans="1:41" x14ac:dyDescent="0.25">
      <c r="A475">
        <v>259</v>
      </c>
      <c r="B475" t="s">
        <v>35</v>
      </c>
      <c r="C475">
        <v>3</v>
      </c>
      <c r="D475" t="s">
        <v>36</v>
      </c>
      <c r="E475">
        <v>4</v>
      </c>
      <c r="F475" t="s">
        <v>37</v>
      </c>
      <c r="G475">
        <v>7</v>
      </c>
      <c r="H475">
        <v>11</v>
      </c>
      <c r="I475">
        <v>1</v>
      </c>
      <c r="J475">
        <v>42</v>
      </c>
      <c r="K475">
        <v>41</v>
      </c>
      <c r="L475">
        <v>41</v>
      </c>
      <c r="M475">
        <v>2</v>
      </c>
      <c r="N475" t="s">
        <v>198</v>
      </c>
      <c r="O475" t="s">
        <v>39</v>
      </c>
      <c r="P475" t="s">
        <v>199</v>
      </c>
      <c r="Q475" t="s">
        <v>200</v>
      </c>
      <c r="R475" t="s">
        <v>58</v>
      </c>
      <c r="S475" t="s">
        <v>59</v>
      </c>
      <c r="T475" t="s">
        <v>138</v>
      </c>
      <c r="U475">
        <v>5</v>
      </c>
      <c r="V475" t="s">
        <v>98</v>
      </c>
      <c r="W475" t="s">
        <v>132</v>
      </c>
      <c r="X475" t="s">
        <v>104</v>
      </c>
      <c r="Y475">
        <v>1</v>
      </c>
      <c r="Z475">
        <v>4</v>
      </c>
      <c r="AA475">
        <v>44.1</v>
      </c>
      <c r="AB475">
        <v>-1</v>
      </c>
      <c r="AC475" t="s">
        <v>138</v>
      </c>
      <c r="AD475">
        <v>1</v>
      </c>
      <c r="AE475">
        <v>5</v>
      </c>
      <c r="AF475">
        <v>1</v>
      </c>
      <c r="AG475">
        <v>2.2360000000000002</v>
      </c>
      <c r="AH475">
        <v>0.25</v>
      </c>
      <c r="AI475">
        <v>-1</v>
      </c>
      <c r="AL475" t="str">
        <f t="shared" si="48"/>
        <v/>
      </c>
      <c r="AM475">
        <f>VLOOKUP(TRIM(N475),'[1]All - Durations'!$E$2:$H$109,4,FALSE)</f>
        <v>0.97199999999999998</v>
      </c>
      <c r="AN475" t="e">
        <f t="shared" si="49"/>
        <v>#VALUE!</v>
      </c>
      <c r="AO475" t="str">
        <f t="shared" si="50"/>
        <v/>
      </c>
    </row>
    <row r="476" spans="1:41" x14ac:dyDescent="0.25">
      <c r="A476">
        <v>259</v>
      </c>
      <c r="B476" t="s">
        <v>35</v>
      </c>
      <c r="C476">
        <v>3</v>
      </c>
      <c r="D476" t="s">
        <v>36</v>
      </c>
      <c r="E476">
        <v>4</v>
      </c>
      <c r="F476" t="s">
        <v>37</v>
      </c>
      <c r="G476">
        <v>7</v>
      </c>
      <c r="H476">
        <v>11</v>
      </c>
      <c r="I476">
        <v>1</v>
      </c>
      <c r="J476">
        <v>43</v>
      </c>
      <c r="K476">
        <v>45</v>
      </c>
      <c r="L476">
        <v>45</v>
      </c>
      <c r="M476">
        <v>2</v>
      </c>
      <c r="N476" t="s">
        <v>210</v>
      </c>
      <c r="O476" t="s">
        <v>39</v>
      </c>
      <c r="P476" t="s">
        <v>190</v>
      </c>
      <c r="Q476" t="s">
        <v>191</v>
      </c>
      <c r="R476" t="s">
        <v>51</v>
      </c>
      <c r="S476" t="s">
        <v>52</v>
      </c>
      <c r="T476" t="s">
        <v>149</v>
      </c>
      <c r="U476">
        <v>2</v>
      </c>
      <c r="V476" t="s">
        <v>45</v>
      </c>
      <c r="W476" t="s">
        <v>130</v>
      </c>
      <c r="X476" t="s">
        <v>183</v>
      </c>
      <c r="Y476">
        <v>1</v>
      </c>
      <c r="Z476">
        <v>4</v>
      </c>
      <c r="AA476">
        <v>44.1</v>
      </c>
      <c r="AB476">
        <v>-1</v>
      </c>
      <c r="AC476" t="s">
        <v>183</v>
      </c>
      <c r="AD476">
        <v>4</v>
      </c>
      <c r="AE476">
        <v>1</v>
      </c>
      <c r="AF476">
        <v>0</v>
      </c>
      <c r="AG476">
        <v>2.4700000000000002</v>
      </c>
      <c r="AH476">
        <v>0.38300000000000001</v>
      </c>
      <c r="AI476">
        <v>-1</v>
      </c>
      <c r="AL476" t="str">
        <f t="shared" si="48"/>
        <v/>
      </c>
      <c r="AM476">
        <f>VLOOKUP(TRIM(N476),'[1]All - Durations'!$E$2:$H$109,4,FALSE)</f>
        <v>1.004</v>
      </c>
      <c r="AN476" t="e">
        <f t="shared" si="49"/>
        <v>#VALUE!</v>
      </c>
      <c r="AO476" t="str">
        <f t="shared" si="50"/>
        <v/>
      </c>
    </row>
    <row r="477" spans="1:41" x14ac:dyDescent="0.25">
      <c r="A477">
        <v>259</v>
      </c>
      <c r="B477" t="s">
        <v>35</v>
      </c>
      <c r="C477">
        <v>3</v>
      </c>
      <c r="D477" t="s">
        <v>36</v>
      </c>
      <c r="E477">
        <v>4</v>
      </c>
      <c r="F477" t="s">
        <v>37</v>
      </c>
      <c r="G477">
        <v>7</v>
      </c>
      <c r="H477">
        <v>11</v>
      </c>
      <c r="I477">
        <v>1</v>
      </c>
      <c r="J477">
        <v>44</v>
      </c>
      <c r="K477">
        <v>37</v>
      </c>
      <c r="L477">
        <v>11</v>
      </c>
      <c r="M477">
        <v>1</v>
      </c>
      <c r="N477" t="s">
        <v>213</v>
      </c>
      <c r="O477" t="s">
        <v>39</v>
      </c>
      <c r="P477" t="s">
        <v>207</v>
      </c>
      <c r="Q477" t="s">
        <v>208</v>
      </c>
      <c r="R477" t="s">
        <v>91</v>
      </c>
      <c r="S477" t="s">
        <v>92</v>
      </c>
      <c r="T477" t="s">
        <v>106</v>
      </c>
      <c r="U477">
        <v>2</v>
      </c>
      <c r="V477" t="s">
        <v>93</v>
      </c>
      <c r="W477" t="s">
        <v>103</v>
      </c>
      <c r="X477" t="s">
        <v>87</v>
      </c>
      <c r="Y477">
        <v>2</v>
      </c>
      <c r="Z477">
        <v>4</v>
      </c>
      <c r="AA477">
        <v>44.1</v>
      </c>
      <c r="AB477">
        <v>-1</v>
      </c>
      <c r="AC477" t="s">
        <v>106</v>
      </c>
      <c r="AD477">
        <v>1</v>
      </c>
      <c r="AE477">
        <v>2</v>
      </c>
      <c r="AF477">
        <v>1</v>
      </c>
      <c r="AG477">
        <v>0.92500000000000004</v>
      </c>
      <c r="AH477">
        <v>0.25</v>
      </c>
      <c r="AI477">
        <v>-1</v>
      </c>
      <c r="AL477" t="str">
        <f t="shared" si="48"/>
        <v/>
      </c>
      <c r="AM477">
        <f>VLOOKUP(TRIM(N477),'[1]All - Durations'!$E$2:$H$109,4,FALSE)</f>
        <v>0.86599999999999999</v>
      </c>
      <c r="AN477" t="e">
        <f t="shared" si="49"/>
        <v>#VALUE!</v>
      </c>
      <c r="AO477" t="str">
        <f t="shared" si="50"/>
        <v/>
      </c>
    </row>
    <row r="478" spans="1:41" x14ac:dyDescent="0.25">
      <c r="A478">
        <v>259</v>
      </c>
      <c r="B478" t="s">
        <v>35</v>
      </c>
      <c r="C478">
        <v>3</v>
      </c>
      <c r="D478" t="s">
        <v>36</v>
      </c>
      <c r="E478">
        <v>4</v>
      </c>
      <c r="F478" t="s">
        <v>37</v>
      </c>
      <c r="G478">
        <v>7</v>
      </c>
      <c r="H478">
        <v>11</v>
      </c>
      <c r="I478">
        <v>1</v>
      </c>
      <c r="J478">
        <v>45</v>
      </c>
      <c r="K478">
        <v>40</v>
      </c>
      <c r="L478">
        <v>8</v>
      </c>
      <c r="M478">
        <v>1</v>
      </c>
      <c r="N478" t="s">
        <v>195</v>
      </c>
      <c r="O478" t="s">
        <v>39</v>
      </c>
      <c r="P478" t="s">
        <v>196</v>
      </c>
      <c r="Q478" t="s">
        <v>197</v>
      </c>
      <c r="R478" t="s">
        <v>42</v>
      </c>
      <c r="S478" t="s">
        <v>43</v>
      </c>
      <c r="T478" t="s">
        <v>85</v>
      </c>
      <c r="U478">
        <v>4</v>
      </c>
      <c r="V478" t="s">
        <v>44</v>
      </c>
      <c r="W478" t="s">
        <v>139</v>
      </c>
      <c r="X478" t="s">
        <v>56</v>
      </c>
      <c r="Y478">
        <v>2</v>
      </c>
      <c r="Z478">
        <v>4</v>
      </c>
      <c r="AA478">
        <v>44.1</v>
      </c>
      <c r="AB478">
        <v>-1</v>
      </c>
      <c r="AC478" t="s">
        <v>85</v>
      </c>
      <c r="AD478">
        <v>1</v>
      </c>
      <c r="AE478">
        <v>4</v>
      </c>
      <c r="AF478">
        <v>1</v>
      </c>
      <c r="AG478">
        <v>1.58</v>
      </c>
      <c r="AH478">
        <v>0.25</v>
      </c>
      <c r="AI478">
        <v>-1</v>
      </c>
      <c r="AL478" t="str">
        <f t="shared" si="48"/>
        <v/>
      </c>
      <c r="AM478">
        <f>VLOOKUP(TRIM(N478),'[1]All - Durations'!$E$2:$H$109,4,FALSE)</f>
        <v>0.92600000000000005</v>
      </c>
      <c r="AN478" t="e">
        <f t="shared" si="49"/>
        <v>#VALUE!</v>
      </c>
      <c r="AO478" t="str">
        <f t="shared" si="50"/>
        <v/>
      </c>
    </row>
    <row r="479" spans="1:41" x14ac:dyDescent="0.25">
      <c r="A479">
        <v>259</v>
      </c>
      <c r="B479" t="s">
        <v>35</v>
      </c>
      <c r="C479">
        <v>3</v>
      </c>
      <c r="D479" t="s">
        <v>36</v>
      </c>
      <c r="E479">
        <v>4</v>
      </c>
      <c r="F479" t="s">
        <v>37</v>
      </c>
      <c r="G479">
        <v>7</v>
      </c>
      <c r="H479">
        <v>11</v>
      </c>
      <c r="I479">
        <v>1</v>
      </c>
      <c r="J479">
        <v>46</v>
      </c>
      <c r="K479">
        <v>43</v>
      </c>
      <c r="L479">
        <v>5</v>
      </c>
      <c r="M479">
        <v>1</v>
      </c>
      <c r="N479" t="s">
        <v>192</v>
      </c>
      <c r="O479" t="s">
        <v>39</v>
      </c>
      <c r="P479" t="s">
        <v>193</v>
      </c>
      <c r="Q479" t="s">
        <v>194</v>
      </c>
      <c r="R479" t="s">
        <v>51</v>
      </c>
      <c r="S479" t="s">
        <v>52</v>
      </c>
      <c r="T479" t="s">
        <v>144</v>
      </c>
      <c r="U479">
        <v>4</v>
      </c>
      <c r="V479" t="s">
        <v>185</v>
      </c>
      <c r="W479" t="s">
        <v>46</v>
      </c>
      <c r="X479" t="s">
        <v>155</v>
      </c>
      <c r="Y479">
        <v>1</v>
      </c>
      <c r="Z479">
        <v>4</v>
      </c>
      <c r="AA479">
        <v>44.1</v>
      </c>
      <c r="AB479">
        <v>-1</v>
      </c>
      <c r="AC479" t="s">
        <v>144</v>
      </c>
      <c r="AD479">
        <v>1</v>
      </c>
      <c r="AE479">
        <v>4</v>
      </c>
      <c r="AF479">
        <v>1</v>
      </c>
      <c r="AG479">
        <v>2.1070000000000002</v>
      </c>
      <c r="AH479">
        <v>0.25</v>
      </c>
      <c r="AI479">
        <v>-1</v>
      </c>
      <c r="AL479" t="str">
        <f t="shared" si="48"/>
        <v/>
      </c>
      <c r="AM479">
        <f>VLOOKUP(TRIM(N479),'[1]All - Durations'!$E$2:$H$109,4,FALSE)</f>
        <v>1.0669999999999999</v>
      </c>
      <c r="AN479" t="e">
        <f t="shared" si="49"/>
        <v>#VALUE!</v>
      </c>
      <c r="AO479" t="str">
        <f t="shared" si="50"/>
        <v/>
      </c>
    </row>
    <row r="480" spans="1:41" x14ac:dyDescent="0.25">
      <c r="A480">
        <v>259</v>
      </c>
      <c r="B480" t="s">
        <v>35</v>
      </c>
      <c r="C480">
        <v>3</v>
      </c>
      <c r="D480" t="s">
        <v>36</v>
      </c>
      <c r="E480">
        <v>4</v>
      </c>
      <c r="F480" t="s">
        <v>37</v>
      </c>
      <c r="G480">
        <v>7</v>
      </c>
      <c r="H480">
        <v>11</v>
      </c>
      <c r="I480">
        <v>1</v>
      </c>
      <c r="J480">
        <v>47</v>
      </c>
      <c r="K480">
        <v>42</v>
      </c>
      <c r="L480">
        <v>42</v>
      </c>
      <c r="M480">
        <v>2</v>
      </c>
      <c r="N480" t="s">
        <v>216</v>
      </c>
      <c r="O480" t="s">
        <v>39</v>
      </c>
      <c r="P480" t="s">
        <v>199</v>
      </c>
      <c r="Q480" t="s">
        <v>200</v>
      </c>
      <c r="R480" t="s">
        <v>91</v>
      </c>
      <c r="S480" t="s">
        <v>92</v>
      </c>
      <c r="T480" t="s">
        <v>98</v>
      </c>
      <c r="U480">
        <v>1</v>
      </c>
      <c r="V480" t="s">
        <v>80</v>
      </c>
      <c r="W480" t="s">
        <v>95</v>
      </c>
      <c r="X480" t="s">
        <v>47</v>
      </c>
      <c r="Y480">
        <v>2</v>
      </c>
      <c r="Z480">
        <v>4</v>
      </c>
      <c r="AA480">
        <v>44.1</v>
      </c>
      <c r="AB480">
        <v>-1</v>
      </c>
      <c r="AC480" t="s">
        <v>98</v>
      </c>
      <c r="AD480">
        <v>1</v>
      </c>
      <c r="AE480">
        <v>1</v>
      </c>
      <c r="AF480">
        <v>1</v>
      </c>
      <c r="AG480">
        <v>1.2410000000000001</v>
      </c>
      <c r="AH480">
        <v>0.38300000000000001</v>
      </c>
      <c r="AI480">
        <v>-1</v>
      </c>
      <c r="AL480" t="str">
        <f t="shared" si="48"/>
        <v/>
      </c>
      <c r="AM480">
        <f>VLOOKUP(TRIM(N480),'[1]All - Durations'!$E$2:$H$109,4,FALSE)</f>
        <v>0.85899999999999999</v>
      </c>
      <c r="AN480" t="e">
        <f t="shared" si="49"/>
        <v>#VALUE!</v>
      </c>
      <c r="AO480" t="str">
        <f t="shared" si="50"/>
        <v/>
      </c>
    </row>
    <row r="481" spans="1:41" x14ac:dyDescent="0.25">
      <c r="A481">
        <v>259</v>
      </c>
      <c r="B481" t="s">
        <v>35</v>
      </c>
      <c r="C481">
        <v>3</v>
      </c>
      <c r="D481" t="s">
        <v>36</v>
      </c>
      <c r="E481">
        <v>4</v>
      </c>
      <c r="F481" t="s">
        <v>37</v>
      </c>
      <c r="G481">
        <v>7</v>
      </c>
      <c r="H481">
        <v>11</v>
      </c>
      <c r="I481">
        <v>1</v>
      </c>
      <c r="J481">
        <v>48</v>
      </c>
      <c r="K481">
        <v>38</v>
      </c>
      <c r="L481">
        <v>12</v>
      </c>
      <c r="M481">
        <v>1</v>
      </c>
      <c r="N481" t="s">
        <v>206</v>
      </c>
      <c r="O481" t="s">
        <v>39</v>
      </c>
      <c r="P481" t="s">
        <v>207</v>
      </c>
      <c r="Q481" t="s">
        <v>208</v>
      </c>
      <c r="R481" t="s">
        <v>42</v>
      </c>
      <c r="S481" t="s">
        <v>43</v>
      </c>
      <c r="T481" t="s">
        <v>131</v>
      </c>
      <c r="U481">
        <v>2</v>
      </c>
      <c r="V481" t="s">
        <v>106</v>
      </c>
      <c r="W481" t="s">
        <v>211</v>
      </c>
      <c r="X481" t="s">
        <v>124</v>
      </c>
      <c r="Y481">
        <v>1</v>
      </c>
      <c r="Z481">
        <v>4</v>
      </c>
      <c r="AA481">
        <v>44.1</v>
      </c>
      <c r="AB481">
        <v>-1</v>
      </c>
      <c r="AC481" t="s">
        <v>106</v>
      </c>
      <c r="AD481">
        <v>2</v>
      </c>
      <c r="AE481">
        <v>5</v>
      </c>
      <c r="AF481">
        <v>0</v>
      </c>
      <c r="AG481">
        <v>3.5950000000000002</v>
      </c>
      <c r="AH481">
        <v>0.78400000000000003</v>
      </c>
      <c r="AI481">
        <v>-1</v>
      </c>
      <c r="AL481" t="str">
        <f t="shared" si="48"/>
        <v/>
      </c>
      <c r="AM481">
        <f>VLOOKUP(TRIM(N481),'[1]All - Durations'!$E$2:$H$109,4,FALSE)</f>
        <v>0.82699999999999996</v>
      </c>
      <c r="AN481" t="e">
        <f t="shared" si="49"/>
        <v>#VALUE!</v>
      </c>
      <c r="AO481" t="str">
        <f t="shared" si="50"/>
        <v/>
      </c>
    </row>
    <row r="482" spans="1:41" x14ac:dyDescent="0.25">
      <c r="A482">
        <v>259</v>
      </c>
      <c r="B482" t="s">
        <v>35</v>
      </c>
      <c r="C482">
        <v>3</v>
      </c>
      <c r="D482" t="s">
        <v>36</v>
      </c>
      <c r="E482">
        <v>4</v>
      </c>
      <c r="F482" t="s">
        <v>37</v>
      </c>
      <c r="G482">
        <v>7</v>
      </c>
      <c r="H482">
        <v>11</v>
      </c>
      <c r="I482">
        <v>1</v>
      </c>
      <c r="J482">
        <v>49</v>
      </c>
      <c r="K482">
        <v>54</v>
      </c>
      <c r="L482">
        <v>66</v>
      </c>
      <c r="M482">
        <v>2</v>
      </c>
      <c r="N482" t="s">
        <v>229</v>
      </c>
      <c r="O482" t="s">
        <v>113</v>
      </c>
      <c r="P482" t="s">
        <v>114</v>
      </c>
      <c r="Q482" t="s">
        <v>226</v>
      </c>
      <c r="R482" t="s">
        <v>114</v>
      </c>
      <c r="S482" t="s">
        <v>92</v>
      </c>
      <c r="T482" t="s">
        <v>209</v>
      </c>
      <c r="U482">
        <v>2</v>
      </c>
      <c r="V482" t="s">
        <v>120</v>
      </c>
      <c r="W482" t="s">
        <v>172</v>
      </c>
      <c r="X482" t="s">
        <v>139</v>
      </c>
      <c r="Y482">
        <v>2</v>
      </c>
      <c r="Z482">
        <v>4</v>
      </c>
      <c r="AA482">
        <v>44.1</v>
      </c>
      <c r="AB482">
        <v>-1</v>
      </c>
      <c r="AC482" t="s">
        <v>120</v>
      </c>
      <c r="AD482">
        <v>3</v>
      </c>
      <c r="AE482">
        <v>4</v>
      </c>
      <c r="AF482">
        <v>0</v>
      </c>
      <c r="AG482">
        <v>2.3119999999999998</v>
      </c>
      <c r="AH482">
        <v>0.6</v>
      </c>
      <c r="AI482">
        <v>-1</v>
      </c>
      <c r="AL482" t="str">
        <f t="shared" si="48"/>
        <v/>
      </c>
      <c r="AM482">
        <f>VLOOKUP(TRIM(N482),'[1]All - Durations'!$E$2:$H$109,4,FALSE)</f>
        <v>0.88600000000000001</v>
      </c>
      <c r="AN482" t="e">
        <f t="shared" si="49"/>
        <v>#VALUE!</v>
      </c>
      <c r="AO482" t="str">
        <f t="shared" si="50"/>
        <v/>
      </c>
    </row>
    <row r="483" spans="1:41" x14ac:dyDescent="0.25">
      <c r="A483">
        <v>259</v>
      </c>
      <c r="B483" t="s">
        <v>35</v>
      </c>
      <c r="C483">
        <v>3</v>
      </c>
      <c r="D483" t="s">
        <v>36</v>
      </c>
      <c r="E483">
        <v>4</v>
      </c>
      <c r="F483" t="s">
        <v>37</v>
      </c>
      <c r="G483">
        <v>7</v>
      </c>
      <c r="H483">
        <v>11</v>
      </c>
      <c r="I483">
        <v>1</v>
      </c>
      <c r="J483">
        <v>50</v>
      </c>
      <c r="K483">
        <v>55</v>
      </c>
      <c r="L483">
        <v>29</v>
      </c>
      <c r="M483">
        <v>1</v>
      </c>
      <c r="N483" t="s">
        <v>217</v>
      </c>
      <c r="O483" t="s">
        <v>113</v>
      </c>
      <c r="P483" t="s">
        <v>114</v>
      </c>
      <c r="Q483" t="s">
        <v>218</v>
      </c>
      <c r="R483" t="s">
        <v>114</v>
      </c>
      <c r="S483" t="s">
        <v>52</v>
      </c>
      <c r="T483" t="s">
        <v>214</v>
      </c>
      <c r="U483">
        <v>1</v>
      </c>
      <c r="V483" t="s">
        <v>107</v>
      </c>
      <c r="W483" t="s">
        <v>62</v>
      </c>
      <c r="X483" t="s">
        <v>66</v>
      </c>
      <c r="Y483">
        <v>1</v>
      </c>
      <c r="Z483">
        <v>4</v>
      </c>
      <c r="AA483">
        <v>44.1</v>
      </c>
      <c r="AB483">
        <v>-1</v>
      </c>
      <c r="AC483" t="s">
        <v>62</v>
      </c>
      <c r="AD483">
        <v>4</v>
      </c>
      <c r="AE483">
        <v>2</v>
      </c>
      <c r="AF483">
        <v>0</v>
      </c>
      <c r="AG483">
        <v>1.909</v>
      </c>
      <c r="AH483">
        <v>0.23300000000000001</v>
      </c>
      <c r="AI483">
        <v>-1</v>
      </c>
      <c r="AL483" t="str">
        <f t="shared" si="48"/>
        <v/>
      </c>
      <c r="AM483">
        <f>VLOOKUP(TRIM(N483),'[1]All - Durations'!$E$2:$H$109,4,FALSE)</f>
        <v>0.76300000000000001</v>
      </c>
      <c r="AN483" t="e">
        <f t="shared" si="49"/>
        <v>#VALUE!</v>
      </c>
      <c r="AO483" t="str">
        <f t="shared" si="50"/>
        <v/>
      </c>
    </row>
    <row r="484" spans="1:41" x14ac:dyDescent="0.25">
      <c r="A484">
        <v>259</v>
      </c>
      <c r="B484" t="s">
        <v>35</v>
      </c>
      <c r="C484">
        <v>3</v>
      </c>
      <c r="D484" t="s">
        <v>36</v>
      </c>
      <c r="E484">
        <v>4</v>
      </c>
      <c r="F484" t="s">
        <v>37</v>
      </c>
      <c r="G484">
        <v>7</v>
      </c>
      <c r="H484">
        <v>11</v>
      </c>
      <c r="I484">
        <v>1</v>
      </c>
      <c r="J484">
        <v>51</v>
      </c>
      <c r="K484">
        <v>59</v>
      </c>
      <c r="L484">
        <v>33</v>
      </c>
      <c r="M484">
        <v>1</v>
      </c>
      <c r="N484" t="s">
        <v>223</v>
      </c>
      <c r="O484" t="s">
        <v>113</v>
      </c>
      <c r="P484" t="s">
        <v>114</v>
      </c>
      <c r="Q484" t="s">
        <v>224</v>
      </c>
      <c r="R484" t="s">
        <v>114</v>
      </c>
      <c r="S484" t="s">
        <v>59</v>
      </c>
      <c r="T484" t="s">
        <v>56</v>
      </c>
      <c r="U484">
        <v>4</v>
      </c>
      <c r="V484" t="s">
        <v>61</v>
      </c>
      <c r="W484" t="s">
        <v>82</v>
      </c>
      <c r="X484" t="s">
        <v>185</v>
      </c>
      <c r="Y484">
        <v>1</v>
      </c>
      <c r="Z484">
        <v>4</v>
      </c>
      <c r="AA484">
        <v>44.1</v>
      </c>
      <c r="AB484">
        <v>-1</v>
      </c>
      <c r="AC484" t="s">
        <v>61</v>
      </c>
      <c r="AD484">
        <v>2</v>
      </c>
      <c r="AE484">
        <v>5</v>
      </c>
      <c r="AF484">
        <v>0</v>
      </c>
      <c r="AG484">
        <v>2.9529999999999998</v>
      </c>
      <c r="AH484">
        <v>0.26700000000000002</v>
      </c>
      <c r="AI484">
        <v>-1</v>
      </c>
      <c r="AL484" t="str">
        <f t="shared" si="48"/>
        <v/>
      </c>
      <c r="AM484">
        <f>VLOOKUP(TRIM(N484),'[1]All - Durations'!$E$2:$H$109,4,FALSE)</f>
        <v>1.0089999999999999</v>
      </c>
      <c r="AN484" t="e">
        <f t="shared" si="49"/>
        <v>#VALUE!</v>
      </c>
      <c r="AO484" t="str">
        <f t="shared" si="50"/>
        <v/>
      </c>
    </row>
    <row r="485" spans="1:41" x14ac:dyDescent="0.25">
      <c r="A485">
        <v>259</v>
      </c>
      <c r="B485" t="s">
        <v>35</v>
      </c>
      <c r="C485">
        <v>3</v>
      </c>
      <c r="D485" t="s">
        <v>36</v>
      </c>
      <c r="E485">
        <v>4</v>
      </c>
      <c r="F485" t="s">
        <v>37</v>
      </c>
      <c r="G485">
        <v>7</v>
      </c>
      <c r="H485">
        <v>11</v>
      </c>
      <c r="I485">
        <v>1</v>
      </c>
      <c r="J485">
        <v>52</v>
      </c>
      <c r="K485">
        <v>50</v>
      </c>
      <c r="L485">
        <v>36</v>
      </c>
      <c r="M485">
        <v>1</v>
      </c>
      <c r="N485" t="s">
        <v>227</v>
      </c>
      <c r="O485" t="s">
        <v>113</v>
      </c>
      <c r="P485" t="s">
        <v>114</v>
      </c>
      <c r="Q485" t="s">
        <v>220</v>
      </c>
      <c r="R485" t="s">
        <v>114</v>
      </c>
      <c r="S485" t="s">
        <v>43</v>
      </c>
      <c r="T485" t="s">
        <v>116</v>
      </c>
      <c r="U485">
        <v>4</v>
      </c>
      <c r="V485" t="s">
        <v>100</v>
      </c>
      <c r="W485" t="s">
        <v>183</v>
      </c>
      <c r="X485" t="s">
        <v>94</v>
      </c>
      <c r="Y485">
        <v>2</v>
      </c>
      <c r="Z485">
        <v>4</v>
      </c>
      <c r="AA485">
        <v>44.1</v>
      </c>
      <c r="AB485">
        <v>-1</v>
      </c>
      <c r="AC485" t="s">
        <v>94</v>
      </c>
      <c r="AD485">
        <v>4</v>
      </c>
      <c r="AE485">
        <v>1</v>
      </c>
      <c r="AF485">
        <v>0</v>
      </c>
      <c r="AG485">
        <v>3.4340000000000002</v>
      </c>
      <c r="AH485">
        <v>0.26700000000000002</v>
      </c>
      <c r="AI485">
        <v>-1</v>
      </c>
      <c r="AL485" t="str">
        <f t="shared" si="48"/>
        <v/>
      </c>
      <c r="AM485">
        <f>VLOOKUP(TRIM(N485),'[1]All - Durations'!$E$2:$H$109,4,FALSE)</f>
        <v>0.95299999999999996</v>
      </c>
      <c r="AN485" t="e">
        <f t="shared" si="49"/>
        <v>#VALUE!</v>
      </c>
      <c r="AO485" t="str">
        <f t="shared" si="50"/>
        <v/>
      </c>
    </row>
    <row r="486" spans="1:41" x14ac:dyDescent="0.25">
      <c r="A486">
        <v>259</v>
      </c>
      <c r="B486" t="s">
        <v>35</v>
      </c>
      <c r="C486">
        <v>3</v>
      </c>
      <c r="D486" t="s">
        <v>36</v>
      </c>
      <c r="E486">
        <v>4</v>
      </c>
      <c r="F486" t="s">
        <v>37</v>
      </c>
      <c r="G486">
        <v>7</v>
      </c>
      <c r="H486">
        <v>11</v>
      </c>
      <c r="I486">
        <v>1</v>
      </c>
      <c r="J486">
        <v>53</v>
      </c>
      <c r="K486">
        <v>60</v>
      </c>
      <c r="L486">
        <v>34</v>
      </c>
      <c r="M486">
        <v>1</v>
      </c>
      <c r="N486" t="s">
        <v>228</v>
      </c>
      <c r="O486" t="s">
        <v>113</v>
      </c>
      <c r="P486" t="s">
        <v>114</v>
      </c>
      <c r="Q486" t="s">
        <v>224</v>
      </c>
      <c r="R486" t="s">
        <v>114</v>
      </c>
      <c r="S486" t="s">
        <v>52</v>
      </c>
      <c r="T486" t="s">
        <v>61</v>
      </c>
      <c r="U486">
        <v>2</v>
      </c>
      <c r="V486" t="s">
        <v>69</v>
      </c>
      <c r="W486" t="s">
        <v>108</v>
      </c>
      <c r="X486" t="s">
        <v>45</v>
      </c>
      <c r="Y486">
        <v>2</v>
      </c>
      <c r="Z486">
        <v>4</v>
      </c>
      <c r="AA486">
        <v>44.1</v>
      </c>
      <c r="AB486">
        <v>-1</v>
      </c>
      <c r="AC486" t="s">
        <v>61</v>
      </c>
      <c r="AD486">
        <v>1</v>
      </c>
      <c r="AE486">
        <v>2</v>
      </c>
      <c r="AF486">
        <v>1</v>
      </c>
      <c r="AG486">
        <v>0.89300000000000002</v>
      </c>
      <c r="AH486">
        <v>0.35</v>
      </c>
      <c r="AI486">
        <v>-1</v>
      </c>
      <c r="AL486" t="str">
        <f t="shared" si="48"/>
        <v/>
      </c>
      <c r="AM486">
        <f>VLOOKUP(TRIM(N486),'[1]All - Durations'!$E$2:$H$109,4,FALSE)</f>
        <v>0.93300000000000005</v>
      </c>
      <c r="AN486" t="e">
        <f t="shared" si="49"/>
        <v>#VALUE!</v>
      </c>
      <c r="AO486" t="str">
        <f t="shared" si="50"/>
        <v/>
      </c>
    </row>
    <row r="487" spans="1:41" x14ac:dyDescent="0.25">
      <c r="A487">
        <v>259</v>
      </c>
      <c r="B487" t="s">
        <v>35</v>
      </c>
      <c r="C487">
        <v>3</v>
      </c>
      <c r="D487" t="s">
        <v>36</v>
      </c>
      <c r="E487">
        <v>4</v>
      </c>
      <c r="F487" t="s">
        <v>37</v>
      </c>
      <c r="G487">
        <v>7</v>
      </c>
      <c r="H487">
        <v>11</v>
      </c>
      <c r="I487">
        <v>1</v>
      </c>
      <c r="J487">
        <v>54</v>
      </c>
      <c r="K487">
        <v>52</v>
      </c>
      <c r="L487">
        <v>32</v>
      </c>
      <c r="M487">
        <v>1</v>
      </c>
      <c r="N487" t="s">
        <v>234</v>
      </c>
      <c r="O487" t="s">
        <v>113</v>
      </c>
      <c r="P487" t="s">
        <v>114</v>
      </c>
      <c r="Q487" t="s">
        <v>231</v>
      </c>
      <c r="R487" t="s">
        <v>114</v>
      </c>
      <c r="S487" t="s">
        <v>43</v>
      </c>
      <c r="T487" t="s">
        <v>111</v>
      </c>
      <c r="U487">
        <v>4</v>
      </c>
      <c r="V487" t="s">
        <v>162</v>
      </c>
      <c r="W487" t="s">
        <v>80</v>
      </c>
      <c r="X487" t="s">
        <v>132</v>
      </c>
      <c r="Y487">
        <v>1</v>
      </c>
      <c r="Z487">
        <v>4</v>
      </c>
      <c r="AA487">
        <v>44.1</v>
      </c>
      <c r="AB487">
        <v>-1</v>
      </c>
      <c r="AC487" t="s">
        <v>80</v>
      </c>
      <c r="AD487">
        <v>4</v>
      </c>
      <c r="AE487">
        <v>2</v>
      </c>
      <c r="AF487">
        <v>0</v>
      </c>
      <c r="AG487">
        <v>1.7090000000000001</v>
      </c>
      <c r="AH487">
        <v>0.217</v>
      </c>
      <c r="AI487">
        <v>-1</v>
      </c>
      <c r="AL487" t="str">
        <f t="shared" si="48"/>
        <v/>
      </c>
      <c r="AM487">
        <f>VLOOKUP(TRIM(N487),'[1]All - Durations'!$E$2:$H$109,4,FALSE)</f>
        <v>0.9</v>
      </c>
      <c r="AN487" t="e">
        <f t="shared" si="49"/>
        <v>#VALUE!</v>
      </c>
      <c r="AO487" t="str">
        <f t="shared" si="50"/>
        <v/>
      </c>
    </row>
    <row r="488" spans="1:41" x14ac:dyDescent="0.25">
      <c r="A488">
        <v>259</v>
      </c>
      <c r="B488" t="s">
        <v>35</v>
      </c>
      <c r="C488">
        <v>3</v>
      </c>
      <c r="D488" t="s">
        <v>36</v>
      </c>
      <c r="E488">
        <v>4</v>
      </c>
      <c r="F488" t="s">
        <v>37</v>
      </c>
      <c r="G488">
        <v>7</v>
      </c>
      <c r="H488">
        <v>11</v>
      </c>
      <c r="I488">
        <v>1</v>
      </c>
      <c r="J488">
        <v>55</v>
      </c>
      <c r="K488">
        <v>58</v>
      </c>
      <c r="L488">
        <v>70</v>
      </c>
      <c r="M488">
        <v>2</v>
      </c>
      <c r="N488" t="s">
        <v>232</v>
      </c>
      <c r="O488" t="s">
        <v>113</v>
      </c>
      <c r="P488" t="s">
        <v>114</v>
      </c>
      <c r="Q488" t="s">
        <v>222</v>
      </c>
      <c r="R488" t="s">
        <v>114</v>
      </c>
      <c r="S488" t="s">
        <v>43</v>
      </c>
      <c r="T488" t="s">
        <v>81</v>
      </c>
      <c r="U488">
        <v>1</v>
      </c>
      <c r="V488" t="s">
        <v>104</v>
      </c>
      <c r="W488" t="s">
        <v>156</v>
      </c>
      <c r="X488" t="s">
        <v>141</v>
      </c>
      <c r="Y488">
        <v>2</v>
      </c>
      <c r="Z488">
        <v>4</v>
      </c>
      <c r="AA488">
        <v>44.1</v>
      </c>
      <c r="AB488">
        <v>-1</v>
      </c>
      <c r="AC488" t="s">
        <v>156</v>
      </c>
      <c r="AD488">
        <v>4</v>
      </c>
      <c r="AE488">
        <v>2</v>
      </c>
      <c r="AF488">
        <v>0</v>
      </c>
      <c r="AG488">
        <v>2.472</v>
      </c>
      <c r="AH488">
        <v>0.25</v>
      </c>
      <c r="AI488">
        <v>-1</v>
      </c>
      <c r="AL488" t="str">
        <f t="shared" si="48"/>
        <v/>
      </c>
      <c r="AM488">
        <f>VLOOKUP(TRIM(N488),'[1]All - Durations'!$E$2:$H$109,4,FALSE)</f>
        <v>1.0269999999999999</v>
      </c>
      <c r="AN488" t="e">
        <f t="shared" si="49"/>
        <v>#VALUE!</v>
      </c>
      <c r="AO488" t="str">
        <f t="shared" si="50"/>
        <v/>
      </c>
    </row>
    <row r="489" spans="1:41" x14ac:dyDescent="0.25">
      <c r="A489">
        <v>259</v>
      </c>
      <c r="B489" t="s">
        <v>35</v>
      </c>
      <c r="C489">
        <v>3</v>
      </c>
      <c r="D489" t="s">
        <v>36</v>
      </c>
      <c r="E489">
        <v>4</v>
      </c>
      <c r="F489" t="s">
        <v>37</v>
      </c>
      <c r="G489">
        <v>7</v>
      </c>
      <c r="H489">
        <v>11</v>
      </c>
      <c r="I489">
        <v>1</v>
      </c>
      <c r="J489">
        <v>56</v>
      </c>
      <c r="K489">
        <v>49</v>
      </c>
      <c r="L489">
        <v>35</v>
      </c>
      <c r="M489">
        <v>1</v>
      </c>
      <c r="N489" t="s">
        <v>219</v>
      </c>
      <c r="O489" t="s">
        <v>113</v>
      </c>
      <c r="P489" t="s">
        <v>114</v>
      </c>
      <c r="Q489" t="s">
        <v>220</v>
      </c>
      <c r="R489" t="s">
        <v>114</v>
      </c>
      <c r="S489" t="s">
        <v>92</v>
      </c>
      <c r="T489" t="s">
        <v>179</v>
      </c>
      <c r="U489">
        <v>4</v>
      </c>
      <c r="V489" t="s">
        <v>116</v>
      </c>
      <c r="W489" t="s">
        <v>96</v>
      </c>
      <c r="X489" t="s">
        <v>102</v>
      </c>
      <c r="Y489">
        <v>1</v>
      </c>
      <c r="Z489">
        <v>4</v>
      </c>
      <c r="AA489">
        <v>44.1</v>
      </c>
      <c r="AB489">
        <v>-1</v>
      </c>
      <c r="AC489" t="s">
        <v>179</v>
      </c>
      <c r="AD489">
        <v>1</v>
      </c>
      <c r="AE489">
        <v>4</v>
      </c>
      <c r="AF489">
        <v>1</v>
      </c>
      <c r="AG489">
        <v>0.89500000000000002</v>
      </c>
      <c r="AH489">
        <v>0.217</v>
      </c>
      <c r="AI489">
        <v>-1</v>
      </c>
      <c r="AL489" t="str">
        <f t="shared" si="48"/>
        <v/>
      </c>
      <c r="AM489">
        <f>VLOOKUP(TRIM(N489),'[1]All - Durations'!$E$2:$H$109,4,FALSE)</f>
        <v>0.99299999999999999</v>
      </c>
      <c r="AN489" t="e">
        <f t="shared" si="49"/>
        <v>#VALUE!</v>
      </c>
      <c r="AO489" t="str">
        <f t="shared" si="50"/>
        <v/>
      </c>
    </row>
    <row r="490" spans="1:41" x14ac:dyDescent="0.25">
      <c r="A490">
        <v>259</v>
      </c>
      <c r="B490" t="s">
        <v>35</v>
      </c>
      <c r="C490">
        <v>3</v>
      </c>
      <c r="D490" t="s">
        <v>36</v>
      </c>
      <c r="E490">
        <v>4</v>
      </c>
      <c r="F490" t="s">
        <v>37</v>
      </c>
      <c r="G490">
        <v>7</v>
      </c>
      <c r="H490">
        <v>11</v>
      </c>
      <c r="I490">
        <v>1</v>
      </c>
      <c r="J490">
        <v>57</v>
      </c>
      <c r="K490">
        <v>51</v>
      </c>
      <c r="L490">
        <v>31</v>
      </c>
      <c r="M490">
        <v>1</v>
      </c>
      <c r="N490" t="s">
        <v>230</v>
      </c>
      <c r="O490" t="s">
        <v>113</v>
      </c>
      <c r="P490" t="s">
        <v>114</v>
      </c>
      <c r="Q490" t="s">
        <v>231</v>
      </c>
      <c r="R490" t="s">
        <v>114</v>
      </c>
      <c r="S490" t="s">
        <v>59</v>
      </c>
      <c r="T490" t="s">
        <v>162</v>
      </c>
      <c r="U490">
        <v>2</v>
      </c>
      <c r="V490" t="s">
        <v>56</v>
      </c>
      <c r="W490" t="s">
        <v>149</v>
      </c>
      <c r="X490" t="s">
        <v>99</v>
      </c>
      <c r="Y490">
        <v>2</v>
      </c>
      <c r="Z490">
        <v>4</v>
      </c>
      <c r="AA490">
        <v>44.1</v>
      </c>
      <c r="AB490">
        <v>-1</v>
      </c>
      <c r="AC490" t="s">
        <v>162</v>
      </c>
      <c r="AD490">
        <v>1</v>
      </c>
      <c r="AE490">
        <v>2</v>
      </c>
      <c r="AF490">
        <v>1</v>
      </c>
      <c r="AG490">
        <v>2.0350000000000001</v>
      </c>
      <c r="AH490">
        <v>0.26700000000000002</v>
      </c>
      <c r="AI490">
        <v>-1</v>
      </c>
      <c r="AL490" t="str">
        <f t="shared" si="48"/>
        <v/>
      </c>
      <c r="AM490">
        <f>VLOOKUP(TRIM(N490),'[1]All - Durations'!$E$2:$H$109,4,FALSE)</f>
        <v>0.92100000000000004</v>
      </c>
      <c r="AN490" t="e">
        <f t="shared" si="49"/>
        <v>#VALUE!</v>
      </c>
      <c r="AO490" t="str">
        <f t="shared" si="50"/>
        <v/>
      </c>
    </row>
    <row r="491" spans="1:41" x14ac:dyDescent="0.25">
      <c r="A491">
        <v>259</v>
      </c>
      <c r="B491" t="s">
        <v>35</v>
      </c>
      <c r="C491">
        <v>3</v>
      </c>
      <c r="D491" t="s">
        <v>36</v>
      </c>
      <c r="E491">
        <v>4</v>
      </c>
      <c r="F491" t="s">
        <v>37</v>
      </c>
      <c r="G491">
        <v>7</v>
      </c>
      <c r="H491">
        <v>11</v>
      </c>
      <c r="I491">
        <v>1</v>
      </c>
      <c r="J491">
        <v>58</v>
      </c>
      <c r="K491">
        <v>56</v>
      </c>
      <c r="L491">
        <v>30</v>
      </c>
      <c r="M491">
        <v>1</v>
      </c>
      <c r="N491" t="s">
        <v>233</v>
      </c>
      <c r="O491" t="s">
        <v>113</v>
      </c>
      <c r="P491" t="s">
        <v>114</v>
      </c>
      <c r="Q491" t="s">
        <v>218</v>
      </c>
      <c r="R491" t="s">
        <v>114</v>
      </c>
      <c r="S491" t="s">
        <v>43</v>
      </c>
      <c r="T491" t="s">
        <v>107</v>
      </c>
      <c r="U491">
        <v>1</v>
      </c>
      <c r="V491" t="s">
        <v>111</v>
      </c>
      <c r="W491" t="s">
        <v>155</v>
      </c>
      <c r="X491" t="s">
        <v>53</v>
      </c>
      <c r="Y491">
        <v>2</v>
      </c>
      <c r="Z491">
        <v>4</v>
      </c>
      <c r="AA491">
        <v>44.1</v>
      </c>
      <c r="AB491">
        <v>-1</v>
      </c>
      <c r="AC491" t="s">
        <v>155</v>
      </c>
      <c r="AD491">
        <v>4</v>
      </c>
      <c r="AE491">
        <v>5</v>
      </c>
      <c r="AF491">
        <v>0</v>
      </c>
      <c r="AG491">
        <v>2.9729999999999999</v>
      </c>
      <c r="AH491">
        <v>0.2</v>
      </c>
      <c r="AI491">
        <v>-1</v>
      </c>
      <c r="AL491" t="str">
        <f t="shared" si="48"/>
        <v/>
      </c>
      <c r="AM491">
        <f>VLOOKUP(TRIM(N491),'[1]All - Durations'!$E$2:$H$109,4,FALSE)</f>
        <v>0.85599999999999998</v>
      </c>
      <c r="AN491" t="e">
        <f t="shared" si="49"/>
        <v>#VALUE!</v>
      </c>
      <c r="AO491" t="str">
        <f t="shared" si="50"/>
        <v/>
      </c>
    </row>
    <row r="492" spans="1:41" x14ac:dyDescent="0.25">
      <c r="A492">
        <v>259</v>
      </c>
      <c r="B492" t="s">
        <v>35</v>
      </c>
      <c r="C492">
        <v>3</v>
      </c>
      <c r="D492" t="s">
        <v>36</v>
      </c>
      <c r="E492">
        <v>4</v>
      </c>
      <c r="F492" t="s">
        <v>37</v>
      </c>
      <c r="G492">
        <v>7</v>
      </c>
      <c r="H492">
        <v>11</v>
      </c>
      <c r="I492">
        <v>1</v>
      </c>
      <c r="J492">
        <v>59</v>
      </c>
      <c r="K492">
        <v>53</v>
      </c>
      <c r="L492">
        <v>65</v>
      </c>
      <c r="M492">
        <v>2</v>
      </c>
      <c r="N492" t="s">
        <v>225</v>
      </c>
      <c r="O492" t="s">
        <v>113</v>
      </c>
      <c r="P492" t="s">
        <v>114</v>
      </c>
      <c r="Q492" t="s">
        <v>226</v>
      </c>
      <c r="R492" t="s">
        <v>114</v>
      </c>
      <c r="S492" t="s">
        <v>59</v>
      </c>
      <c r="T492" t="s">
        <v>87</v>
      </c>
      <c r="U492">
        <v>1</v>
      </c>
      <c r="V492" t="s">
        <v>209</v>
      </c>
      <c r="W492" t="s">
        <v>144</v>
      </c>
      <c r="X492" t="s">
        <v>121</v>
      </c>
      <c r="Y492">
        <v>1</v>
      </c>
      <c r="Z492">
        <v>4</v>
      </c>
      <c r="AA492">
        <v>44.1</v>
      </c>
      <c r="AB492">
        <v>-1</v>
      </c>
      <c r="AC492" t="s">
        <v>144</v>
      </c>
      <c r="AD492">
        <v>4</v>
      </c>
      <c r="AE492">
        <v>4</v>
      </c>
      <c r="AF492">
        <v>0</v>
      </c>
      <c r="AG492">
        <v>3.3919999999999999</v>
      </c>
      <c r="AH492">
        <v>0.23300000000000001</v>
      </c>
      <c r="AI492">
        <v>-1</v>
      </c>
      <c r="AL492" t="str">
        <f t="shared" si="48"/>
        <v/>
      </c>
      <c r="AM492">
        <f>VLOOKUP(TRIM(N492),'[1]All - Durations'!$E$2:$H$109,4,FALSE)</f>
        <v>0.97099999999999997</v>
      </c>
      <c r="AN492" t="e">
        <f t="shared" si="49"/>
        <v>#VALUE!</v>
      </c>
      <c r="AO492" t="str">
        <f t="shared" si="50"/>
        <v/>
      </c>
    </row>
    <row r="493" spans="1:41" x14ac:dyDescent="0.25">
      <c r="A493">
        <v>259</v>
      </c>
      <c r="B493" t="s">
        <v>35</v>
      </c>
      <c r="C493">
        <v>3</v>
      </c>
      <c r="D493" t="s">
        <v>36</v>
      </c>
      <c r="E493">
        <v>4</v>
      </c>
      <c r="F493" t="s">
        <v>37</v>
      </c>
      <c r="G493">
        <v>7</v>
      </c>
      <c r="H493">
        <v>11</v>
      </c>
      <c r="I493">
        <v>1</v>
      </c>
      <c r="J493">
        <v>60</v>
      </c>
      <c r="K493">
        <v>57</v>
      </c>
      <c r="L493">
        <v>69</v>
      </c>
      <c r="M493">
        <v>2</v>
      </c>
      <c r="N493" t="s">
        <v>221</v>
      </c>
      <c r="O493" t="s">
        <v>113</v>
      </c>
      <c r="P493" t="s">
        <v>114</v>
      </c>
      <c r="Q493" t="s">
        <v>222</v>
      </c>
      <c r="R493" t="s">
        <v>114</v>
      </c>
      <c r="S493" t="s">
        <v>52</v>
      </c>
      <c r="T493" t="s">
        <v>69</v>
      </c>
      <c r="U493">
        <v>4</v>
      </c>
      <c r="V493" t="s">
        <v>81</v>
      </c>
      <c r="W493" t="s">
        <v>93</v>
      </c>
      <c r="X493" t="s">
        <v>103</v>
      </c>
      <c r="Y493">
        <v>1</v>
      </c>
      <c r="Z493">
        <v>4</v>
      </c>
      <c r="AA493">
        <v>44.1</v>
      </c>
      <c r="AB493">
        <v>-1</v>
      </c>
      <c r="AC493" t="s">
        <v>69</v>
      </c>
      <c r="AD493">
        <v>1</v>
      </c>
      <c r="AE493">
        <v>4</v>
      </c>
      <c r="AF493">
        <v>1</v>
      </c>
      <c r="AG493">
        <v>0.505</v>
      </c>
      <c r="AH493">
        <v>0.41699999999999998</v>
      </c>
      <c r="AI493">
        <v>-1</v>
      </c>
      <c r="AL493" t="str">
        <f t="shared" si="48"/>
        <v/>
      </c>
      <c r="AM493">
        <f>VLOOKUP(TRIM(N493),'[1]All - Durations'!$E$2:$H$109,4,FALSE)</f>
        <v>0.79100000000000004</v>
      </c>
      <c r="AN493" t="e">
        <f t="shared" si="49"/>
        <v>#VALUE!</v>
      </c>
      <c r="AO493" t="str">
        <f t="shared" si="50"/>
        <v/>
      </c>
    </row>
    <row r="494" spans="1:41" x14ac:dyDescent="0.25">
      <c r="A494">
        <v>259</v>
      </c>
      <c r="B494" t="s">
        <v>35</v>
      </c>
      <c r="C494">
        <v>3</v>
      </c>
      <c r="D494" t="s">
        <v>36</v>
      </c>
      <c r="E494">
        <v>4</v>
      </c>
      <c r="F494" t="s">
        <v>37</v>
      </c>
      <c r="G494">
        <v>7</v>
      </c>
      <c r="H494">
        <v>11</v>
      </c>
      <c r="I494">
        <v>1</v>
      </c>
      <c r="J494">
        <v>61</v>
      </c>
      <c r="K494">
        <v>63</v>
      </c>
      <c r="L494">
        <v>19</v>
      </c>
      <c r="M494">
        <v>1</v>
      </c>
      <c r="N494" t="s">
        <v>253</v>
      </c>
      <c r="O494" t="s">
        <v>151</v>
      </c>
      <c r="P494" t="s">
        <v>239</v>
      </c>
      <c r="Q494" t="s">
        <v>240</v>
      </c>
      <c r="R494" t="s">
        <v>170</v>
      </c>
      <c r="S494" t="s">
        <v>59</v>
      </c>
      <c r="T494" t="s">
        <v>211</v>
      </c>
      <c r="U494">
        <v>4</v>
      </c>
      <c r="V494" t="s">
        <v>96</v>
      </c>
      <c r="W494" t="s">
        <v>144</v>
      </c>
      <c r="X494" t="s">
        <v>119</v>
      </c>
      <c r="Y494">
        <v>2</v>
      </c>
      <c r="Z494">
        <v>4</v>
      </c>
      <c r="AA494">
        <v>44.1</v>
      </c>
      <c r="AB494">
        <v>-1</v>
      </c>
      <c r="AC494" t="s">
        <v>211</v>
      </c>
      <c r="AD494">
        <v>1</v>
      </c>
      <c r="AE494">
        <v>4</v>
      </c>
      <c r="AF494">
        <v>1</v>
      </c>
      <c r="AG494">
        <v>1.6919999999999999</v>
      </c>
      <c r="AH494">
        <v>0.183</v>
      </c>
      <c r="AI494">
        <v>-1</v>
      </c>
      <c r="AL494" t="str">
        <f t="shared" si="48"/>
        <v/>
      </c>
      <c r="AM494">
        <f>VLOOKUP(TRIM(N494),'[1]All - Durations'!$E$2:$H$109,4,FALSE)</f>
        <v>0.92100000000000004</v>
      </c>
      <c r="AN494" t="e">
        <f t="shared" si="49"/>
        <v>#VALUE!</v>
      </c>
      <c r="AO494" t="str">
        <f t="shared" si="50"/>
        <v/>
      </c>
    </row>
    <row r="495" spans="1:41" x14ac:dyDescent="0.25">
      <c r="A495">
        <v>259</v>
      </c>
      <c r="B495" t="s">
        <v>35</v>
      </c>
      <c r="C495">
        <v>3</v>
      </c>
      <c r="D495" t="s">
        <v>36</v>
      </c>
      <c r="E495">
        <v>4</v>
      </c>
      <c r="F495" t="s">
        <v>37</v>
      </c>
      <c r="G495">
        <v>7</v>
      </c>
      <c r="H495">
        <v>11</v>
      </c>
      <c r="I495">
        <v>1</v>
      </c>
      <c r="J495">
        <v>62</v>
      </c>
      <c r="K495">
        <v>72</v>
      </c>
      <c r="L495">
        <v>22</v>
      </c>
      <c r="M495">
        <v>1</v>
      </c>
      <c r="N495" t="s">
        <v>241</v>
      </c>
      <c r="O495" t="s">
        <v>151</v>
      </c>
      <c r="P495" t="s">
        <v>242</v>
      </c>
      <c r="Q495" t="s">
        <v>243</v>
      </c>
      <c r="R495" t="s">
        <v>174</v>
      </c>
      <c r="S495" t="s">
        <v>52</v>
      </c>
      <c r="T495" t="s">
        <v>132</v>
      </c>
      <c r="U495">
        <v>5</v>
      </c>
      <c r="V495" t="s">
        <v>166</v>
      </c>
      <c r="W495" t="s">
        <v>131</v>
      </c>
      <c r="X495" t="s">
        <v>107</v>
      </c>
      <c r="Y495">
        <v>2</v>
      </c>
      <c r="Z495">
        <v>4</v>
      </c>
      <c r="AA495">
        <v>44.1</v>
      </c>
      <c r="AB495">
        <v>-1</v>
      </c>
      <c r="AC495" t="s">
        <v>166</v>
      </c>
      <c r="AD495">
        <v>3</v>
      </c>
      <c r="AE495">
        <v>2</v>
      </c>
      <c r="AF495">
        <v>0</v>
      </c>
      <c r="AG495">
        <v>2.2810000000000001</v>
      </c>
      <c r="AH495">
        <v>0.433</v>
      </c>
      <c r="AI495">
        <v>-1</v>
      </c>
      <c r="AL495" t="str">
        <f t="shared" si="48"/>
        <v/>
      </c>
      <c r="AM495">
        <f>VLOOKUP(TRIM(N495),'[1]All - Durations'!$E$2:$H$109,4,FALSE)</f>
        <v>0.97099999999999997</v>
      </c>
      <c r="AN495" t="e">
        <f t="shared" si="49"/>
        <v>#VALUE!</v>
      </c>
      <c r="AO495" t="str">
        <f t="shared" si="50"/>
        <v/>
      </c>
    </row>
    <row r="496" spans="1:41" x14ac:dyDescent="0.25">
      <c r="A496">
        <v>259</v>
      </c>
      <c r="B496" t="s">
        <v>35</v>
      </c>
      <c r="C496">
        <v>3</v>
      </c>
      <c r="D496" t="s">
        <v>36</v>
      </c>
      <c r="E496">
        <v>4</v>
      </c>
      <c r="F496" t="s">
        <v>37</v>
      </c>
      <c r="G496">
        <v>7</v>
      </c>
      <c r="H496">
        <v>11</v>
      </c>
      <c r="I496">
        <v>1</v>
      </c>
      <c r="J496">
        <v>63</v>
      </c>
      <c r="K496">
        <v>67</v>
      </c>
      <c r="L496">
        <v>17</v>
      </c>
      <c r="M496">
        <v>1</v>
      </c>
      <c r="N496" t="s">
        <v>254</v>
      </c>
      <c r="O496" t="s">
        <v>151</v>
      </c>
      <c r="P496" t="s">
        <v>255</v>
      </c>
      <c r="Q496" t="s">
        <v>256</v>
      </c>
      <c r="R496" t="s">
        <v>174</v>
      </c>
      <c r="S496" t="s">
        <v>52</v>
      </c>
      <c r="T496" t="s">
        <v>47</v>
      </c>
      <c r="U496">
        <v>2</v>
      </c>
      <c r="V496" t="s">
        <v>110</v>
      </c>
      <c r="W496" t="s">
        <v>124</v>
      </c>
      <c r="X496" t="s">
        <v>106</v>
      </c>
      <c r="Y496">
        <v>1</v>
      </c>
      <c r="Z496">
        <v>4</v>
      </c>
      <c r="AA496">
        <v>44.1</v>
      </c>
      <c r="AB496">
        <v>-1</v>
      </c>
      <c r="AC496" t="s">
        <v>47</v>
      </c>
      <c r="AD496">
        <v>1</v>
      </c>
      <c r="AE496">
        <v>2</v>
      </c>
      <c r="AF496">
        <v>1</v>
      </c>
      <c r="AG496">
        <v>1.0860000000000001</v>
      </c>
      <c r="AH496">
        <v>0.217</v>
      </c>
      <c r="AI496">
        <v>-1</v>
      </c>
      <c r="AL496" t="str">
        <f t="shared" si="48"/>
        <v/>
      </c>
      <c r="AM496">
        <f>VLOOKUP(TRIM(N496),'[1]All - Durations'!$E$2:$H$109,4,FALSE)</f>
        <v>0.97499999999999998</v>
      </c>
      <c r="AN496" t="e">
        <f t="shared" si="49"/>
        <v>#VALUE!</v>
      </c>
      <c r="AO496" t="str">
        <f t="shared" si="50"/>
        <v/>
      </c>
    </row>
    <row r="497" spans="1:41" x14ac:dyDescent="0.25">
      <c r="A497">
        <v>259</v>
      </c>
      <c r="B497" t="s">
        <v>35</v>
      </c>
      <c r="C497">
        <v>3</v>
      </c>
      <c r="D497" t="s">
        <v>36</v>
      </c>
      <c r="E497">
        <v>4</v>
      </c>
      <c r="F497" t="s">
        <v>37</v>
      </c>
      <c r="G497">
        <v>7</v>
      </c>
      <c r="H497">
        <v>11</v>
      </c>
      <c r="I497">
        <v>1</v>
      </c>
      <c r="J497">
        <v>64</v>
      </c>
      <c r="K497">
        <v>62</v>
      </c>
      <c r="L497">
        <v>24</v>
      </c>
      <c r="M497">
        <v>1</v>
      </c>
      <c r="N497" t="s">
        <v>251</v>
      </c>
      <c r="O497" t="s">
        <v>151</v>
      </c>
      <c r="P497" t="s">
        <v>245</v>
      </c>
      <c r="Q497" t="s">
        <v>246</v>
      </c>
      <c r="R497" t="s">
        <v>160</v>
      </c>
      <c r="S497" t="s">
        <v>43</v>
      </c>
      <c r="T497" t="s">
        <v>121</v>
      </c>
      <c r="U497">
        <v>2</v>
      </c>
      <c r="V497" t="s">
        <v>161</v>
      </c>
      <c r="W497" t="s">
        <v>214</v>
      </c>
      <c r="X497" t="s">
        <v>60</v>
      </c>
      <c r="Y497">
        <v>2</v>
      </c>
      <c r="Z497">
        <v>4</v>
      </c>
      <c r="AA497">
        <v>44.1</v>
      </c>
      <c r="AB497">
        <v>-1</v>
      </c>
      <c r="AC497" t="s">
        <v>214</v>
      </c>
      <c r="AD497">
        <v>4</v>
      </c>
      <c r="AE497">
        <v>5</v>
      </c>
      <c r="AF497">
        <v>0</v>
      </c>
      <c r="AG497">
        <v>3.157</v>
      </c>
      <c r="AH497">
        <v>0.26700000000000002</v>
      </c>
      <c r="AI497">
        <v>-1</v>
      </c>
      <c r="AL497" t="str">
        <f t="shared" si="48"/>
        <v/>
      </c>
      <c r="AM497">
        <f>VLOOKUP(TRIM(N497),'[1]All - Durations'!$E$2:$H$109,4,FALSE)</f>
        <v>0.81699999999999995</v>
      </c>
      <c r="AN497" t="e">
        <f t="shared" si="49"/>
        <v>#VALUE!</v>
      </c>
      <c r="AO497" t="str">
        <f t="shared" si="50"/>
        <v/>
      </c>
    </row>
    <row r="498" spans="1:41" x14ac:dyDescent="0.25">
      <c r="A498">
        <v>259</v>
      </c>
      <c r="B498" t="s">
        <v>35</v>
      </c>
      <c r="C498">
        <v>3</v>
      </c>
      <c r="D498" t="s">
        <v>36</v>
      </c>
      <c r="E498">
        <v>4</v>
      </c>
      <c r="F498" t="s">
        <v>37</v>
      </c>
      <c r="G498">
        <v>7</v>
      </c>
      <c r="H498">
        <v>11</v>
      </c>
      <c r="I498">
        <v>1</v>
      </c>
      <c r="J498">
        <v>65</v>
      </c>
      <c r="K498">
        <v>66</v>
      </c>
      <c r="L498">
        <v>54</v>
      </c>
      <c r="M498">
        <v>2</v>
      </c>
      <c r="N498" t="s">
        <v>248</v>
      </c>
      <c r="O498" t="s">
        <v>151</v>
      </c>
      <c r="P498" t="s">
        <v>249</v>
      </c>
      <c r="Q498" t="s">
        <v>250</v>
      </c>
      <c r="R498" t="s">
        <v>154</v>
      </c>
      <c r="S498" t="s">
        <v>92</v>
      </c>
      <c r="T498" t="s">
        <v>68</v>
      </c>
      <c r="U498">
        <v>4</v>
      </c>
      <c r="V498" t="s">
        <v>183</v>
      </c>
      <c r="W498" t="s">
        <v>67</v>
      </c>
      <c r="X498" t="s">
        <v>116</v>
      </c>
      <c r="Y498">
        <v>2</v>
      </c>
      <c r="Z498">
        <v>4</v>
      </c>
      <c r="AA498">
        <v>44.1</v>
      </c>
      <c r="AB498">
        <v>-1</v>
      </c>
      <c r="AC498" t="s">
        <v>116</v>
      </c>
      <c r="AD498">
        <v>4</v>
      </c>
      <c r="AE498">
        <v>2</v>
      </c>
      <c r="AF498">
        <v>0</v>
      </c>
      <c r="AG498">
        <v>1.988</v>
      </c>
      <c r="AH498">
        <v>0.28299999999999997</v>
      </c>
      <c r="AI498">
        <v>-1</v>
      </c>
      <c r="AL498" t="str">
        <f t="shared" si="48"/>
        <v/>
      </c>
      <c r="AM498">
        <f>VLOOKUP(TRIM(N498),'[1]All - Durations'!$E$2:$H$109,4,FALSE)</f>
        <v>0.94199999999999995</v>
      </c>
      <c r="AN498" t="e">
        <f t="shared" si="49"/>
        <v>#VALUE!</v>
      </c>
      <c r="AO498" t="str">
        <f t="shared" si="50"/>
        <v/>
      </c>
    </row>
    <row r="499" spans="1:41" x14ac:dyDescent="0.25">
      <c r="A499">
        <v>259</v>
      </c>
      <c r="B499" t="s">
        <v>35</v>
      </c>
      <c r="C499">
        <v>3</v>
      </c>
      <c r="D499" t="s">
        <v>36</v>
      </c>
      <c r="E499">
        <v>4</v>
      </c>
      <c r="F499" t="s">
        <v>37</v>
      </c>
      <c r="G499">
        <v>7</v>
      </c>
      <c r="H499">
        <v>11</v>
      </c>
      <c r="I499">
        <v>1</v>
      </c>
      <c r="J499">
        <v>66</v>
      </c>
      <c r="K499">
        <v>71</v>
      </c>
      <c r="L499">
        <v>21</v>
      </c>
      <c r="M499">
        <v>1</v>
      </c>
      <c r="N499" t="s">
        <v>252</v>
      </c>
      <c r="O499" t="s">
        <v>151</v>
      </c>
      <c r="P499" t="s">
        <v>242</v>
      </c>
      <c r="Q499" t="s">
        <v>243</v>
      </c>
      <c r="R499" t="s">
        <v>170</v>
      </c>
      <c r="S499" t="s">
        <v>59</v>
      </c>
      <c r="T499" t="s">
        <v>146</v>
      </c>
      <c r="U499">
        <v>5</v>
      </c>
      <c r="V499" t="s">
        <v>132</v>
      </c>
      <c r="W499" t="s">
        <v>104</v>
      </c>
      <c r="X499" t="s">
        <v>185</v>
      </c>
      <c r="Y499">
        <v>1</v>
      </c>
      <c r="Z499">
        <v>4</v>
      </c>
      <c r="AA499">
        <v>44.1</v>
      </c>
      <c r="AB499">
        <v>-1</v>
      </c>
      <c r="AC499" t="s">
        <v>132</v>
      </c>
      <c r="AD499">
        <v>2</v>
      </c>
      <c r="AE499">
        <v>1</v>
      </c>
      <c r="AF499">
        <v>0</v>
      </c>
      <c r="AG499">
        <v>1.6339999999999999</v>
      </c>
      <c r="AH499">
        <v>0.33300000000000002</v>
      </c>
      <c r="AI499">
        <v>-1</v>
      </c>
      <c r="AL499" t="str">
        <f t="shared" si="48"/>
        <v/>
      </c>
      <c r="AM499">
        <f>VLOOKUP(TRIM(N499),'[1]All - Durations'!$E$2:$H$109,4,FALSE)</f>
        <v>1.026</v>
      </c>
      <c r="AN499" t="e">
        <f t="shared" si="49"/>
        <v>#VALUE!</v>
      </c>
      <c r="AO499" t="str">
        <f t="shared" si="50"/>
        <v/>
      </c>
    </row>
    <row r="500" spans="1:41" x14ac:dyDescent="0.25">
      <c r="A500">
        <v>259</v>
      </c>
      <c r="B500" t="s">
        <v>35</v>
      </c>
      <c r="C500">
        <v>3</v>
      </c>
      <c r="D500" t="s">
        <v>36</v>
      </c>
      <c r="E500">
        <v>4</v>
      </c>
      <c r="F500" t="s">
        <v>37</v>
      </c>
      <c r="G500">
        <v>7</v>
      </c>
      <c r="H500">
        <v>11</v>
      </c>
      <c r="I500">
        <v>1</v>
      </c>
      <c r="J500">
        <v>67</v>
      </c>
      <c r="K500">
        <v>64</v>
      </c>
      <c r="L500">
        <v>20</v>
      </c>
      <c r="M500">
        <v>1</v>
      </c>
      <c r="N500" t="s">
        <v>238</v>
      </c>
      <c r="O500" t="s">
        <v>151</v>
      </c>
      <c r="P500" t="s">
        <v>239</v>
      </c>
      <c r="Q500" t="s">
        <v>240</v>
      </c>
      <c r="R500" t="s">
        <v>160</v>
      </c>
      <c r="S500" t="s">
        <v>43</v>
      </c>
      <c r="T500" t="s">
        <v>82</v>
      </c>
      <c r="U500">
        <v>4</v>
      </c>
      <c r="V500" t="s">
        <v>211</v>
      </c>
      <c r="W500" t="s">
        <v>54</v>
      </c>
      <c r="X500" t="s">
        <v>130</v>
      </c>
      <c r="Y500">
        <v>1</v>
      </c>
      <c r="Z500">
        <v>4</v>
      </c>
      <c r="AA500">
        <v>44.1</v>
      </c>
      <c r="AB500">
        <v>-1</v>
      </c>
      <c r="AC500" t="s">
        <v>82</v>
      </c>
      <c r="AD500">
        <v>1</v>
      </c>
      <c r="AE500">
        <v>4</v>
      </c>
      <c r="AF500">
        <v>1</v>
      </c>
      <c r="AG500">
        <v>1.7589999999999999</v>
      </c>
      <c r="AH500">
        <v>0.15</v>
      </c>
      <c r="AI500">
        <v>-1</v>
      </c>
      <c r="AL500" t="str">
        <f t="shared" si="48"/>
        <v/>
      </c>
      <c r="AM500">
        <f>VLOOKUP(TRIM(N500),'[1]All - Durations'!$E$2:$H$109,4,FALSE)</f>
        <v>0.9</v>
      </c>
      <c r="AN500" t="e">
        <f t="shared" si="49"/>
        <v>#VALUE!</v>
      </c>
      <c r="AO500" t="str">
        <f t="shared" si="50"/>
        <v/>
      </c>
    </row>
    <row r="501" spans="1:41" x14ac:dyDescent="0.25">
      <c r="A501">
        <v>259</v>
      </c>
      <c r="B501" t="s">
        <v>35</v>
      </c>
      <c r="C501">
        <v>3</v>
      </c>
      <c r="D501" t="s">
        <v>36</v>
      </c>
      <c r="E501">
        <v>4</v>
      </c>
      <c r="F501" t="s">
        <v>37</v>
      </c>
      <c r="G501">
        <v>7</v>
      </c>
      <c r="H501">
        <v>11</v>
      </c>
      <c r="I501">
        <v>1</v>
      </c>
      <c r="J501">
        <v>68</v>
      </c>
      <c r="K501">
        <v>70</v>
      </c>
      <c r="L501">
        <v>58</v>
      </c>
      <c r="M501">
        <v>2</v>
      </c>
      <c r="N501" t="s">
        <v>235</v>
      </c>
      <c r="O501" t="s">
        <v>151</v>
      </c>
      <c r="P501" t="s">
        <v>236</v>
      </c>
      <c r="Q501" t="s">
        <v>237</v>
      </c>
      <c r="R501" t="s">
        <v>160</v>
      </c>
      <c r="S501" t="s">
        <v>43</v>
      </c>
      <c r="T501" t="s">
        <v>55</v>
      </c>
      <c r="U501">
        <v>4</v>
      </c>
      <c r="V501" t="s">
        <v>108</v>
      </c>
      <c r="W501" t="s">
        <v>120</v>
      </c>
      <c r="X501" t="s">
        <v>66</v>
      </c>
      <c r="Y501">
        <v>2</v>
      </c>
      <c r="Z501">
        <v>4</v>
      </c>
      <c r="AA501">
        <v>44.1</v>
      </c>
      <c r="AB501">
        <v>-1</v>
      </c>
      <c r="AC501" t="s">
        <v>55</v>
      </c>
      <c r="AD501">
        <v>1</v>
      </c>
      <c r="AE501">
        <v>4</v>
      </c>
      <c r="AF501">
        <v>1</v>
      </c>
      <c r="AG501">
        <v>2.7629999999999999</v>
      </c>
      <c r="AH501">
        <v>0.2</v>
      </c>
      <c r="AI501">
        <v>-1</v>
      </c>
      <c r="AL501" t="str">
        <f t="shared" si="48"/>
        <v/>
      </c>
      <c r="AM501">
        <f>VLOOKUP(TRIM(N501),'[1]All - Durations'!$E$2:$H$109,4,FALSE)</f>
        <v>0.85899999999999999</v>
      </c>
      <c r="AN501" t="e">
        <f t="shared" si="49"/>
        <v>#VALUE!</v>
      </c>
      <c r="AO501" t="str">
        <f t="shared" si="50"/>
        <v/>
      </c>
    </row>
    <row r="502" spans="1:41" x14ac:dyDescent="0.25">
      <c r="A502">
        <v>259</v>
      </c>
      <c r="B502" t="s">
        <v>35</v>
      </c>
      <c r="C502">
        <v>3</v>
      </c>
      <c r="D502" t="s">
        <v>36</v>
      </c>
      <c r="E502">
        <v>4</v>
      </c>
      <c r="F502" t="s">
        <v>37</v>
      </c>
      <c r="G502">
        <v>7</v>
      </c>
      <c r="H502">
        <v>11</v>
      </c>
      <c r="I502">
        <v>1</v>
      </c>
      <c r="J502">
        <v>69</v>
      </c>
      <c r="K502">
        <v>65</v>
      </c>
      <c r="L502">
        <v>53</v>
      </c>
      <c r="M502">
        <v>2</v>
      </c>
      <c r="N502" t="s">
        <v>257</v>
      </c>
      <c r="O502" t="s">
        <v>151</v>
      </c>
      <c r="P502" t="s">
        <v>249</v>
      </c>
      <c r="Q502" t="s">
        <v>250</v>
      </c>
      <c r="R502" t="s">
        <v>170</v>
      </c>
      <c r="S502" t="s">
        <v>59</v>
      </c>
      <c r="T502" t="s">
        <v>204</v>
      </c>
      <c r="U502">
        <v>1</v>
      </c>
      <c r="V502" t="s">
        <v>68</v>
      </c>
      <c r="W502" t="s">
        <v>69</v>
      </c>
      <c r="X502" t="s">
        <v>79</v>
      </c>
      <c r="Y502">
        <v>1</v>
      </c>
      <c r="Z502">
        <v>4</v>
      </c>
      <c r="AA502">
        <v>44.1</v>
      </c>
      <c r="AB502">
        <v>-1</v>
      </c>
      <c r="AC502" t="s">
        <v>68</v>
      </c>
      <c r="AD502">
        <v>2</v>
      </c>
      <c r="AE502">
        <v>5</v>
      </c>
      <c r="AF502">
        <v>0</v>
      </c>
      <c r="AG502">
        <v>1.7649999999999999</v>
      </c>
      <c r="AH502">
        <v>0.217</v>
      </c>
      <c r="AI502">
        <v>-1</v>
      </c>
      <c r="AL502" t="str">
        <f t="shared" si="48"/>
        <v/>
      </c>
      <c r="AM502">
        <f>VLOOKUP(TRIM(N502),'[1]All - Durations'!$E$2:$H$109,4,FALSE)</f>
        <v>0.98299999999999998</v>
      </c>
      <c r="AN502" t="e">
        <f t="shared" si="49"/>
        <v>#VALUE!</v>
      </c>
      <c r="AO502" t="str">
        <f t="shared" si="50"/>
        <v/>
      </c>
    </row>
    <row r="503" spans="1:41" x14ac:dyDescent="0.25">
      <c r="A503">
        <v>259</v>
      </c>
      <c r="B503" t="s">
        <v>35</v>
      </c>
      <c r="C503">
        <v>3</v>
      </c>
      <c r="D503" t="s">
        <v>36</v>
      </c>
      <c r="E503">
        <v>4</v>
      </c>
      <c r="F503" t="s">
        <v>37</v>
      </c>
      <c r="G503">
        <v>7</v>
      </c>
      <c r="H503">
        <v>11</v>
      </c>
      <c r="I503">
        <v>1</v>
      </c>
      <c r="J503">
        <v>70</v>
      </c>
      <c r="K503">
        <v>61</v>
      </c>
      <c r="L503">
        <v>23</v>
      </c>
      <c r="M503">
        <v>1</v>
      </c>
      <c r="N503" t="s">
        <v>244</v>
      </c>
      <c r="O503" t="s">
        <v>151</v>
      </c>
      <c r="P503" t="s">
        <v>245</v>
      </c>
      <c r="Q503" t="s">
        <v>246</v>
      </c>
      <c r="R503" t="s">
        <v>154</v>
      </c>
      <c r="S503" t="s">
        <v>92</v>
      </c>
      <c r="T503" t="s">
        <v>62</v>
      </c>
      <c r="U503">
        <v>4</v>
      </c>
      <c r="V503" t="s">
        <v>121</v>
      </c>
      <c r="W503" t="s">
        <v>156</v>
      </c>
      <c r="X503" t="s">
        <v>46</v>
      </c>
      <c r="Y503">
        <v>1</v>
      </c>
      <c r="Z503">
        <v>4</v>
      </c>
      <c r="AA503">
        <v>44.1</v>
      </c>
      <c r="AB503">
        <v>-1</v>
      </c>
      <c r="AC503" t="s">
        <v>62</v>
      </c>
      <c r="AD503">
        <v>1</v>
      </c>
      <c r="AE503">
        <v>4</v>
      </c>
      <c r="AF503">
        <v>1</v>
      </c>
      <c r="AG503">
        <v>2.9489999999999998</v>
      </c>
      <c r="AH503">
        <v>0.51700000000000002</v>
      </c>
      <c r="AI503">
        <v>-1</v>
      </c>
      <c r="AL503" t="str">
        <f t="shared" si="48"/>
        <v/>
      </c>
      <c r="AM503">
        <f>VLOOKUP(TRIM(N503),'[1]All - Durations'!$E$2:$H$109,4,FALSE)</f>
        <v>0.88300000000000001</v>
      </c>
      <c r="AN503" t="e">
        <f t="shared" si="49"/>
        <v>#VALUE!</v>
      </c>
      <c r="AO503" t="str">
        <f t="shared" si="50"/>
        <v/>
      </c>
    </row>
    <row r="504" spans="1:41" x14ac:dyDescent="0.25">
      <c r="A504">
        <v>259</v>
      </c>
      <c r="B504" t="s">
        <v>35</v>
      </c>
      <c r="C504">
        <v>3</v>
      </c>
      <c r="D504" t="s">
        <v>36</v>
      </c>
      <c r="E504">
        <v>4</v>
      </c>
      <c r="F504" t="s">
        <v>37</v>
      </c>
      <c r="G504">
        <v>7</v>
      </c>
      <c r="H504">
        <v>11</v>
      </c>
      <c r="I504">
        <v>1</v>
      </c>
      <c r="J504">
        <v>71</v>
      </c>
      <c r="K504">
        <v>68</v>
      </c>
      <c r="L504">
        <v>18</v>
      </c>
      <c r="M504">
        <v>1</v>
      </c>
      <c r="N504" t="s">
        <v>258</v>
      </c>
      <c r="O504" t="s">
        <v>151</v>
      </c>
      <c r="P504" t="s">
        <v>255</v>
      </c>
      <c r="Q504" t="s">
        <v>256</v>
      </c>
      <c r="R504" t="s">
        <v>160</v>
      </c>
      <c r="S504" t="s">
        <v>43</v>
      </c>
      <c r="T504" t="s">
        <v>110</v>
      </c>
      <c r="U504">
        <v>5</v>
      </c>
      <c r="V504" t="s">
        <v>82</v>
      </c>
      <c r="W504" t="s">
        <v>138</v>
      </c>
      <c r="X504" t="s">
        <v>61</v>
      </c>
      <c r="Y504">
        <v>2</v>
      </c>
      <c r="Z504">
        <v>4</v>
      </c>
      <c r="AA504">
        <v>44.1</v>
      </c>
      <c r="AB504">
        <v>-1</v>
      </c>
      <c r="AC504" t="s">
        <v>110</v>
      </c>
      <c r="AD504">
        <v>1</v>
      </c>
      <c r="AE504">
        <v>5</v>
      </c>
      <c r="AF504">
        <v>1</v>
      </c>
      <c r="AG504">
        <v>1.18</v>
      </c>
      <c r="AH504">
        <v>0.317</v>
      </c>
      <c r="AI504">
        <v>-1</v>
      </c>
      <c r="AL504" t="str">
        <f t="shared" si="48"/>
        <v/>
      </c>
      <c r="AM504">
        <f>VLOOKUP(TRIM(N504),'[1]All - Durations'!$E$2:$H$109,4,FALSE)</f>
        <v>0.86299999999999999</v>
      </c>
      <c r="AN504" t="e">
        <f t="shared" si="49"/>
        <v>#VALUE!</v>
      </c>
      <c r="AO504" t="str">
        <f t="shared" si="50"/>
        <v/>
      </c>
    </row>
    <row r="505" spans="1:41" x14ac:dyDescent="0.25">
      <c r="A505">
        <v>259</v>
      </c>
      <c r="B505" t="s">
        <v>35</v>
      </c>
      <c r="C505">
        <v>3</v>
      </c>
      <c r="D505" t="s">
        <v>36</v>
      </c>
      <c r="E505">
        <v>4</v>
      </c>
      <c r="F505" t="s">
        <v>37</v>
      </c>
      <c r="G505">
        <v>7</v>
      </c>
      <c r="H505">
        <v>11</v>
      </c>
      <c r="I505">
        <v>1</v>
      </c>
      <c r="J505">
        <v>72</v>
      </c>
      <c r="K505">
        <v>69</v>
      </c>
      <c r="L505">
        <v>57</v>
      </c>
      <c r="M505">
        <v>2</v>
      </c>
      <c r="N505" t="s">
        <v>247</v>
      </c>
      <c r="O505" t="s">
        <v>151</v>
      </c>
      <c r="P505" t="s">
        <v>236</v>
      </c>
      <c r="Q505" t="s">
        <v>237</v>
      </c>
      <c r="R505" t="s">
        <v>174</v>
      </c>
      <c r="S505" t="s">
        <v>52</v>
      </c>
      <c r="T505" t="s">
        <v>75</v>
      </c>
      <c r="U505">
        <v>1</v>
      </c>
      <c r="V505" t="s">
        <v>55</v>
      </c>
      <c r="W505" t="s">
        <v>93</v>
      </c>
      <c r="X505" t="s">
        <v>162</v>
      </c>
      <c r="Y505">
        <v>1</v>
      </c>
      <c r="Z505">
        <v>4</v>
      </c>
      <c r="AA505">
        <v>44.1</v>
      </c>
      <c r="AB505">
        <v>-1</v>
      </c>
      <c r="AC505" t="s">
        <v>75</v>
      </c>
      <c r="AD505">
        <v>1</v>
      </c>
      <c r="AE505">
        <v>1</v>
      </c>
      <c r="AF505">
        <v>1</v>
      </c>
      <c r="AG505">
        <v>1.175</v>
      </c>
      <c r="AH505">
        <v>0.2</v>
      </c>
      <c r="AI505">
        <v>-1</v>
      </c>
      <c r="AL505" t="str">
        <f t="shared" si="48"/>
        <v/>
      </c>
      <c r="AM505">
        <f>VLOOKUP(TRIM(N505),'[1]All - Durations'!$E$2:$H$109,4,FALSE)</f>
        <v>0.94399999999999995</v>
      </c>
      <c r="AN505" t="e">
        <f t="shared" si="49"/>
        <v>#VALUE!</v>
      </c>
      <c r="AO505" t="str">
        <f t="shared" si="50"/>
        <v/>
      </c>
    </row>
    <row r="506" spans="1:41" x14ac:dyDescent="0.25">
      <c r="A506">
        <v>259</v>
      </c>
      <c r="B506" t="s">
        <v>35</v>
      </c>
      <c r="C506">
        <v>3</v>
      </c>
      <c r="D506" t="s">
        <v>36</v>
      </c>
      <c r="E506">
        <v>4</v>
      </c>
      <c r="F506" t="s">
        <v>37</v>
      </c>
      <c r="G506">
        <v>8</v>
      </c>
      <c r="H506">
        <v>13</v>
      </c>
      <c r="I506">
        <v>1</v>
      </c>
      <c r="J506">
        <v>1</v>
      </c>
      <c r="K506">
        <v>9</v>
      </c>
      <c r="L506">
        <v>3</v>
      </c>
      <c r="M506">
        <v>1</v>
      </c>
      <c r="N506" t="s">
        <v>88</v>
      </c>
      <c r="O506" t="s">
        <v>39</v>
      </c>
      <c r="P506" t="s">
        <v>89</v>
      </c>
      <c r="Q506" t="s">
        <v>90</v>
      </c>
      <c r="R506" t="s">
        <v>91</v>
      </c>
      <c r="S506" t="s">
        <v>92</v>
      </c>
      <c r="T506" t="s">
        <v>93</v>
      </c>
      <c r="U506">
        <v>5</v>
      </c>
      <c r="V506" t="s">
        <v>102</v>
      </c>
      <c r="W506" t="s">
        <v>107</v>
      </c>
      <c r="X506" t="s">
        <v>96</v>
      </c>
      <c r="Y506">
        <v>1</v>
      </c>
      <c r="Z506">
        <v>4</v>
      </c>
      <c r="AA506">
        <v>44.1</v>
      </c>
      <c r="AB506">
        <v>-1</v>
      </c>
      <c r="AC506" t="s">
        <v>96</v>
      </c>
      <c r="AD506">
        <v>4</v>
      </c>
      <c r="AE506">
        <v>4</v>
      </c>
      <c r="AF506">
        <v>0</v>
      </c>
      <c r="AG506">
        <v>1.887</v>
      </c>
      <c r="AH506">
        <v>3.0259999999999998</v>
      </c>
      <c r="AI506">
        <v>-1</v>
      </c>
      <c r="AL506" t="str">
        <f t="shared" si="48"/>
        <v/>
      </c>
      <c r="AM506">
        <f>VLOOKUP(TRIM(N506),'[1]All - Durations'!$E$2:$H$109,4,FALSE)</f>
        <v>0.89200000000000002</v>
      </c>
      <c r="AN506" t="e">
        <f t="shared" si="49"/>
        <v>#VALUE!</v>
      </c>
      <c r="AO506" t="str">
        <f t="shared" si="50"/>
        <v/>
      </c>
    </row>
    <row r="507" spans="1:41" x14ac:dyDescent="0.25">
      <c r="A507">
        <v>259</v>
      </c>
      <c r="B507" t="s">
        <v>35</v>
      </c>
      <c r="C507">
        <v>3</v>
      </c>
      <c r="D507" t="s">
        <v>36</v>
      </c>
      <c r="E507">
        <v>4</v>
      </c>
      <c r="F507" t="s">
        <v>37</v>
      </c>
      <c r="G507">
        <v>8</v>
      </c>
      <c r="H507">
        <v>13</v>
      </c>
      <c r="I507">
        <v>1</v>
      </c>
      <c r="J507">
        <v>2</v>
      </c>
      <c r="K507">
        <v>7</v>
      </c>
      <c r="L507">
        <v>39</v>
      </c>
      <c r="M507">
        <v>2</v>
      </c>
      <c r="N507" t="s">
        <v>63</v>
      </c>
      <c r="O507" t="s">
        <v>39</v>
      </c>
      <c r="P507" t="s">
        <v>64</v>
      </c>
      <c r="Q507" t="s">
        <v>65</v>
      </c>
      <c r="R507" t="s">
        <v>58</v>
      </c>
      <c r="S507" t="s">
        <v>59</v>
      </c>
      <c r="T507" t="s">
        <v>66</v>
      </c>
      <c r="U507">
        <v>1</v>
      </c>
      <c r="V507" t="s">
        <v>73</v>
      </c>
      <c r="W507" t="s">
        <v>209</v>
      </c>
      <c r="X507" t="s">
        <v>62</v>
      </c>
      <c r="Y507">
        <v>2</v>
      </c>
      <c r="Z507">
        <v>4</v>
      </c>
      <c r="AA507">
        <v>44.1</v>
      </c>
      <c r="AB507">
        <v>-1</v>
      </c>
      <c r="AC507" t="s">
        <v>209</v>
      </c>
      <c r="AD507">
        <v>4</v>
      </c>
      <c r="AE507">
        <v>2</v>
      </c>
      <c r="AF507">
        <v>0</v>
      </c>
      <c r="AG507">
        <v>3.1480000000000001</v>
      </c>
      <c r="AH507">
        <v>3.0339999999999998</v>
      </c>
      <c r="AI507">
        <v>-1</v>
      </c>
      <c r="AL507" t="str">
        <f t="shared" si="48"/>
        <v/>
      </c>
      <c r="AM507">
        <f>VLOOKUP(TRIM(N507),'[1]All - Durations'!$E$2:$H$109,4,FALSE)</f>
        <v>0.96399999999999997</v>
      </c>
      <c r="AN507" t="e">
        <f t="shared" si="49"/>
        <v>#VALUE!</v>
      </c>
      <c r="AO507" t="str">
        <f t="shared" si="50"/>
        <v/>
      </c>
    </row>
    <row r="508" spans="1:41" x14ac:dyDescent="0.25">
      <c r="A508">
        <v>259</v>
      </c>
      <c r="B508" t="s">
        <v>35</v>
      </c>
      <c r="C508">
        <v>3</v>
      </c>
      <c r="D508" t="s">
        <v>36</v>
      </c>
      <c r="E508">
        <v>4</v>
      </c>
      <c r="F508" t="s">
        <v>37</v>
      </c>
      <c r="G508">
        <v>8</v>
      </c>
      <c r="H508">
        <v>13</v>
      </c>
      <c r="I508">
        <v>1</v>
      </c>
      <c r="J508">
        <v>3</v>
      </c>
      <c r="K508">
        <v>4</v>
      </c>
      <c r="L508">
        <v>2</v>
      </c>
      <c r="M508">
        <v>1</v>
      </c>
      <c r="N508" t="s">
        <v>109</v>
      </c>
      <c r="O508" t="s">
        <v>39</v>
      </c>
      <c r="P508" t="s">
        <v>71</v>
      </c>
      <c r="Q508" t="s">
        <v>72</v>
      </c>
      <c r="R508" t="s">
        <v>91</v>
      </c>
      <c r="S508" t="s">
        <v>92</v>
      </c>
      <c r="T508" t="s">
        <v>94</v>
      </c>
      <c r="U508">
        <v>1</v>
      </c>
      <c r="V508" t="s">
        <v>54</v>
      </c>
      <c r="W508" t="s">
        <v>61</v>
      </c>
      <c r="X508" t="s">
        <v>161</v>
      </c>
      <c r="Y508">
        <v>2</v>
      </c>
      <c r="Z508">
        <v>4</v>
      </c>
      <c r="AA508">
        <v>44.1</v>
      </c>
      <c r="AB508">
        <v>-1</v>
      </c>
      <c r="AC508" t="s">
        <v>94</v>
      </c>
      <c r="AD508">
        <v>1</v>
      </c>
      <c r="AE508">
        <v>1</v>
      </c>
      <c r="AF508">
        <v>1</v>
      </c>
      <c r="AG508">
        <v>1.53</v>
      </c>
      <c r="AH508">
        <v>0.56599999999999995</v>
      </c>
      <c r="AI508">
        <v>-1</v>
      </c>
      <c r="AL508" t="str">
        <f t="shared" si="48"/>
        <v/>
      </c>
      <c r="AM508">
        <f>VLOOKUP(TRIM(N508),'[1]All - Durations'!$E$2:$H$109,4,FALSE)</f>
        <v>0.872</v>
      </c>
      <c r="AN508" t="e">
        <f t="shared" si="49"/>
        <v>#VALUE!</v>
      </c>
      <c r="AO508" t="str">
        <f t="shared" si="50"/>
        <v/>
      </c>
    </row>
    <row r="509" spans="1:41" x14ac:dyDescent="0.25">
      <c r="A509">
        <v>259</v>
      </c>
      <c r="B509" t="s">
        <v>35</v>
      </c>
      <c r="C509">
        <v>3</v>
      </c>
      <c r="D509" t="s">
        <v>36</v>
      </c>
      <c r="E509">
        <v>4</v>
      </c>
      <c r="F509" t="s">
        <v>37</v>
      </c>
      <c r="G509">
        <v>8</v>
      </c>
      <c r="H509">
        <v>13</v>
      </c>
      <c r="I509">
        <v>1</v>
      </c>
      <c r="J509">
        <v>4</v>
      </c>
      <c r="K509">
        <v>12</v>
      </c>
      <c r="L509">
        <v>44</v>
      </c>
      <c r="M509">
        <v>2</v>
      </c>
      <c r="N509" t="s">
        <v>76</v>
      </c>
      <c r="O509" t="s">
        <v>39</v>
      </c>
      <c r="P509" t="s">
        <v>77</v>
      </c>
      <c r="Q509" t="s">
        <v>78</v>
      </c>
      <c r="R509" t="s">
        <v>51</v>
      </c>
      <c r="S509" t="s">
        <v>52</v>
      </c>
      <c r="T509" t="s">
        <v>79</v>
      </c>
      <c r="U509">
        <v>1</v>
      </c>
      <c r="V509" t="s">
        <v>149</v>
      </c>
      <c r="W509" t="s">
        <v>121</v>
      </c>
      <c r="X509" t="s">
        <v>111</v>
      </c>
      <c r="Y509">
        <v>2</v>
      </c>
      <c r="Z509">
        <v>4</v>
      </c>
      <c r="AA509">
        <v>44.1</v>
      </c>
      <c r="AB509">
        <v>-1</v>
      </c>
      <c r="AC509" t="s">
        <v>121</v>
      </c>
      <c r="AD509">
        <v>4</v>
      </c>
      <c r="AE509">
        <v>5</v>
      </c>
      <c r="AF509">
        <v>0</v>
      </c>
      <c r="AG509">
        <v>3.2589999999999999</v>
      </c>
      <c r="AH509">
        <v>0.53200000000000003</v>
      </c>
      <c r="AI509">
        <v>-1</v>
      </c>
      <c r="AL509" t="str">
        <f t="shared" si="48"/>
        <v/>
      </c>
      <c r="AM509">
        <f>VLOOKUP(TRIM(N509),'[1]All - Durations'!$E$2:$H$109,4,FALSE)</f>
        <v>0.999</v>
      </c>
      <c r="AN509" t="e">
        <f t="shared" si="49"/>
        <v>#VALUE!</v>
      </c>
      <c r="AO509" t="str">
        <f t="shared" si="50"/>
        <v/>
      </c>
    </row>
    <row r="510" spans="1:41" x14ac:dyDescent="0.25">
      <c r="A510">
        <v>259</v>
      </c>
      <c r="B510" t="s">
        <v>35</v>
      </c>
      <c r="C510">
        <v>3</v>
      </c>
      <c r="D510" t="s">
        <v>36</v>
      </c>
      <c r="E510">
        <v>4</v>
      </c>
      <c r="F510" t="s">
        <v>37</v>
      </c>
      <c r="G510">
        <v>8</v>
      </c>
      <c r="H510">
        <v>13</v>
      </c>
      <c r="I510">
        <v>1</v>
      </c>
      <c r="J510">
        <v>5</v>
      </c>
      <c r="K510">
        <v>6</v>
      </c>
      <c r="L510">
        <v>38</v>
      </c>
      <c r="M510">
        <v>2</v>
      </c>
      <c r="N510" t="s">
        <v>48</v>
      </c>
      <c r="O510" t="s">
        <v>39</v>
      </c>
      <c r="P510" t="s">
        <v>49</v>
      </c>
      <c r="Q510" t="s">
        <v>50</v>
      </c>
      <c r="R510" t="s">
        <v>51</v>
      </c>
      <c r="S510" t="s">
        <v>52</v>
      </c>
      <c r="T510" t="s">
        <v>53</v>
      </c>
      <c r="U510">
        <v>5</v>
      </c>
      <c r="V510" t="s">
        <v>172</v>
      </c>
      <c r="W510" t="s">
        <v>127</v>
      </c>
      <c r="X510" t="s">
        <v>146</v>
      </c>
      <c r="Y510">
        <v>2</v>
      </c>
      <c r="Z510">
        <v>4</v>
      </c>
      <c r="AA510">
        <v>44.1</v>
      </c>
      <c r="AB510">
        <v>-1</v>
      </c>
      <c r="AC510" t="s">
        <v>172</v>
      </c>
      <c r="AD510">
        <v>3</v>
      </c>
      <c r="AE510">
        <v>2</v>
      </c>
      <c r="AF510">
        <v>0</v>
      </c>
      <c r="AG510">
        <v>2.1709999999999998</v>
      </c>
      <c r="AH510">
        <v>0.63300000000000001</v>
      </c>
      <c r="AI510">
        <v>-1</v>
      </c>
      <c r="AL510" t="str">
        <f t="shared" si="48"/>
        <v/>
      </c>
      <c r="AM510">
        <f>VLOOKUP(TRIM(N510),'[1]All - Durations'!$E$2:$H$109,4,FALSE)</f>
        <v>0.92200000000000004</v>
      </c>
      <c r="AN510" t="e">
        <f t="shared" si="49"/>
        <v>#VALUE!</v>
      </c>
      <c r="AO510" t="str">
        <f t="shared" si="50"/>
        <v/>
      </c>
    </row>
    <row r="511" spans="1:41" x14ac:dyDescent="0.25">
      <c r="A511">
        <v>259</v>
      </c>
      <c r="B511" t="s">
        <v>35</v>
      </c>
      <c r="C511">
        <v>3</v>
      </c>
      <c r="D511" t="s">
        <v>36</v>
      </c>
      <c r="E511">
        <v>4</v>
      </c>
      <c r="F511" t="s">
        <v>37</v>
      </c>
      <c r="G511">
        <v>8</v>
      </c>
      <c r="H511">
        <v>13</v>
      </c>
      <c r="I511">
        <v>1</v>
      </c>
      <c r="J511">
        <v>6</v>
      </c>
      <c r="K511">
        <v>1</v>
      </c>
      <c r="L511">
        <v>47</v>
      </c>
      <c r="M511">
        <v>2</v>
      </c>
      <c r="N511" t="s">
        <v>57</v>
      </c>
      <c r="O511" t="s">
        <v>39</v>
      </c>
      <c r="P511" t="s">
        <v>40</v>
      </c>
      <c r="Q511" t="s">
        <v>41</v>
      </c>
      <c r="R511" t="s">
        <v>58</v>
      </c>
      <c r="S511" t="s">
        <v>59</v>
      </c>
      <c r="T511" t="s">
        <v>60</v>
      </c>
      <c r="U511">
        <v>5</v>
      </c>
      <c r="V511" t="s">
        <v>138</v>
      </c>
      <c r="W511" t="s">
        <v>55</v>
      </c>
      <c r="X511" t="s">
        <v>69</v>
      </c>
      <c r="Y511">
        <v>2</v>
      </c>
      <c r="Z511">
        <v>4</v>
      </c>
      <c r="AA511">
        <v>44.1</v>
      </c>
      <c r="AB511">
        <v>-1</v>
      </c>
      <c r="AC511" t="s">
        <v>60</v>
      </c>
      <c r="AD511">
        <v>1</v>
      </c>
      <c r="AE511">
        <v>5</v>
      </c>
      <c r="AF511">
        <v>1</v>
      </c>
      <c r="AG511">
        <v>3.153</v>
      </c>
      <c r="AH511">
        <v>0.51600000000000001</v>
      </c>
      <c r="AI511">
        <v>-1</v>
      </c>
      <c r="AL511" t="str">
        <f t="shared" si="48"/>
        <v/>
      </c>
      <c r="AM511">
        <f>VLOOKUP(TRIM(N511),'[1]All - Durations'!$E$2:$H$109,4,FALSE)</f>
        <v>0.93600000000000005</v>
      </c>
      <c r="AN511" t="e">
        <f t="shared" si="49"/>
        <v>#VALUE!</v>
      </c>
      <c r="AO511" t="str">
        <f t="shared" si="50"/>
        <v/>
      </c>
    </row>
    <row r="512" spans="1:41" x14ac:dyDescent="0.25">
      <c r="A512">
        <v>259</v>
      </c>
      <c r="B512" t="s">
        <v>35</v>
      </c>
      <c r="C512">
        <v>3</v>
      </c>
      <c r="D512" t="s">
        <v>36</v>
      </c>
      <c r="E512">
        <v>4</v>
      </c>
      <c r="F512" t="s">
        <v>37</v>
      </c>
      <c r="G512">
        <v>8</v>
      </c>
      <c r="H512">
        <v>13</v>
      </c>
      <c r="I512">
        <v>1</v>
      </c>
      <c r="J512">
        <v>7</v>
      </c>
      <c r="K512">
        <v>3</v>
      </c>
      <c r="L512">
        <v>1</v>
      </c>
      <c r="M512">
        <v>1</v>
      </c>
      <c r="N512" t="s">
        <v>70</v>
      </c>
      <c r="O512" t="s">
        <v>39</v>
      </c>
      <c r="P512" t="s">
        <v>71</v>
      </c>
      <c r="Q512" t="s">
        <v>72</v>
      </c>
      <c r="R512" t="s">
        <v>58</v>
      </c>
      <c r="S512" t="s">
        <v>59</v>
      </c>
      <c r="T512" t="s">
        <v>73</v>
      </c>
      <c r="U512">
        <v>4</v>
      </c>
      <c r="V512" t="s">
        <v>94</v>
      </c>
      <c r="W512" t="s">
        <v>81</v>
      </c>
      <c r="X512" t="s">
        <v>166</v>
      </c>
      <c r="Y512">
        <v>1</v>
      </c>
      <c r="Z512">
        <v>4</v>
      </c>
      <c r="AA512">
        <v>44.1</v>
      </c>
      <c r="AB512">
        <v>-1</v>
      </c>
      <c r="AC512" t="s">
        <v>73</v>
      </c>
      <c r="AD512">
        <v>1</v>
      </c>
      <c r="AE512">
        <v>4</v>
      </c>
      <c r="AF512">
        <v>1</v>
      </c>
      <c r="AG512">
        <v>1.1319999999999999</v>
      </c>
      <c r="AH512">
        <v>0.64900000000000002</v>
      </c>
      <c r="AI512">
        <v>-1</v>
      </c>
      <c r="AL512" t="str">
        <f t="shared" si="48"/>
        <v/>
      </c>
      <c r="AM512">
        <f>VLOOKUP(TRIM(N512),'[1]All - Durations'!$E$2:$H$109,4,FALSE)</f>
        <v>0.94799999999999995</v>
      </c>
      <c r="AN512" t="e">
        <f t="shared" si="49"/>
        <v>#VALUE!</v>
      </c>
      <c r="AO512" t="str">
        <f t="shared" si="50"/>
        <v/>
      </c>
    </row>
    <row r="513" spans="1:41" x14ac:dyDescent="0.25">
      <c r="A513">
        <v>259</v>
      </c>
      <c r="B513" t="s">
        <v>35</v>
      </c>
      <c r="C513">
        <v>3</v>
      </c>
      <c r="D513" t="s">
        <v>36</v>
      </c>
      <c r="E513">
        <v>4</v>
      </c>
      <c r="F513" t="s">
        <v>37</v>
      </c>
      <c r="G513">
        <v>8</v>
      </c>
      <c r="H513">
        <v>13</v>
      </c>
      <c r="I513">
        <v>1</v>
      </c>
      <c r="J513">
        <v>8</v>
      </c>
      <c r="K513">
        <v>2</v>
      </c>
      <c r="L513">
        <v>48</v>
      </c>
      <c r="M513">
        <v>2</v>
      </c>
      <c r="N513" t="s">
        <v>38</v>
      </c>
      <c r="O513" t="s">
        <v>39</v>
      </c>
      <c r="P513" t="s">
        <v>40</v>
      </c>
      <c r="Q513" t="s">
        <v>41</v>
      </c>
      <c r="R513" t="s">
        <v>42</v>
      </c>
      <c r="S513" t="s">
        <v>43</v>
      </c>
      <c r="T513" t="s">
        <v>44</v>
      </c>
      <c r="U513">
        <v>4</v>
      </c>
      <c r="V513" t="s">
        <v>60</v>
      </c>
      <c r="W513" t="s">
        <v>86</v>
      </c>
      <c r="X513" t="s">
        <v>120</v>
      </c>
      <c r="Y513">
        <v>1</v>
      </c>
      <c r="Z513">
        <v>4</v>
      </c>
      <c r="AA513">
        <v>44.1</v>
      </c>
      <c r="AB513">
        <v>-1</v>
      </c>
      <c r="AC513" t="s">
        <v>60</v>
      </c>
      <c r="AD513">
        <v>2</v>
      </c>
      <c r="AE513">
        <v>2</v>
      </c>
      <c r="AF513">
        <v>0</v>
      </c>
      <c r="AG513">
        <v>3.1840000000000002</v>
      </c>
      <c r="AH513">
        <v>0.64900000000000002</v>
      </c>
      <c r="AI513">
        <v>-1</v>
      </c>
      <c r="AL513" t="str">
        <f t="shared" si="48"/>
        <v/>
      </c>
      <c r="AM513">
        <f>VLOOKUP(TRIM(N513),'[1]All - Durations'!$E$2:$H$109,4,FALSE)</f>
        <v>0.87</v>
      </c>
      <c r="AN513" t="e">
        <f t="shared" si="49"/>
        <v>#VALUE!</v>
      </c>
      <c r="AO513" t="str">
        <f t="shared" si="50"/>
        <v/>
      </c>
    </row>
    <row r="514" spans="1:41" x14ac:dyDescent="0.25">
      <c r="A514">
        <v>259</v>
      </c>
      <c r="B514" t="s">
        <v>35</v>
      </c>
      <c r="C514">
        <v>3</v>
      </c>
      <c r="D514" t="s">
        <v>36</v>
      </c>
      <c r="E514">
        <v>4</v>
      </c>
      <c r="F514" t="s">
        <v>37</v>
      </c>
      <c r="G514">
        <v>8</v>
      </c>
      <c r="H514">
        <v>13</v>
      </c>
      <c r="I514">
        <v>1</v>
      </c>
      <c r="J514">
        <v>9</v>
      </c>
      <c r="K514">
        <v>8</v>
      </c>
      <c r="L514">
        <v>40</v>
      </c>
      <c r="M514">
        <v>2</v>
      </c>
      <c r="N514" t="s">
        <v>84</v>
      </c>
      <c r="O514" t="s">
        <v>39</v>
      </c>
      <c r="P514" t="s">
        <v>64</v>
      </c>
      <c r="Q514" t="s">
        <v>65</v>
      </c>
      <c r="R514" t="s">
        <v>42</v>
      </c>
      <c r="S514" t="s">
        <v>43</v>
      </c>
      <c r="T514" t="s">
        <v>67</v>
      </c>
      <c r="U514">
        <v>1</v>
      </c>
      <c r="V514" t="s">
        <v>66</v>
      </c>
      <c r="W514" t="s">
        <v>99</v>
      </c>
      <c r="X514" t="s">
        <v>137</v>
      </c>
      <c r="Y514">
        <v>1</v>
      </c>
      <c r="Z514">
        <v>4</v>
      </c>
      <c r="AA514">
        <v>44.1</v>
      </c>
      <c r="AB514">
        <v>-1</v>
      </c>
      <c r="AC514" t="s">
        <v>67</v>
      </c>
      <c r="AD514">
        <v>1</v>
      </c>
      <c r="AE514">
        <v>1</v>
      </c>
      <c r="AF514">
        <v>1</v>
      </c>
      <c r="AG514">
        <v>3.1379999999999999</v>
      </c>
      <c r="AH514">
        <v>0.81599999999999995</v>
      </c>
      <c r="AI514">
        <v>-1</v>
      </c>
      <c r="AL514" t="str">
        <f t="shared" si="48"/>
        <v/>
      </c>
      <c r="AM514">
        <f>VLOOKUP(TRIM(N514),'[1]All - Durations'!$E$2:$H$109,4,FALSE)</f>
        <v>1.1020000000000001</v>
      </c>
      <c r="AN514" t="e">
        <f t="shared" si="49"/>
        <v>#VALUE!</v>
      </c>
      <c r="AO514" t="str">
        <f t="shared" si="50"/>
        <v/>
      </c>
    </row>
    <row r="515" spans="1:41" x14ac:dyDescent="0.25">
      <c r="A515">
        <v>259</v>
      </c>
      <c r="B515" t="s">
        <v>35</v>
      </c>
      <c r="C515">
        <v>3</v>
      </c>
      <c r="D515" t="s">
        <v>36</v>
      </c>
      <c r="E515">
        <v>4</v>
      </c>
      <c r="F515" t="s">
        <v>37</v>
      </c>
      <c r="G515">
        <v>8</v>
      </c>
      <c r="H515">
        <v>13</v>
      </c>
      <c r="I515">
        <v>1</v>
      </c>
      <c r="J515">
        <v>10</v>
      </c>
      <c r="K515">
        <v>11</v>
      </c>
      <c r="L515">
        <v>43</v>
      </c>
      <c r="M515">
        <v>2</v>
      </c>
      <c r="N515" t="s">
        <v>105</v>
      </c>
      <c r="O515" t="s">
        <v>39</v>
      </c>
      <c r="P515" t="s">
        <v>77</v>
      </c>
      <c r="Q515" t="s">
        <v>78</v>
      </c>
      <c r="R515" t="s">
        <v>91</v>
      </c>
      <c r="S515" t="s">
        <v>92</v>
      </c>
      <c r="T515" t="s">
        <v>80</v>
      </c>
      <c r="U515">
        <v>2</v>
      </c>
      <c r="V515" t="s">
        <v>79</v>
      </c>
      <c r="W515" t="s">
        <v>116</v>
      </c>
      <c r="X515" t="s">
        <v>108</v>
      </c>
      <c r="Y515">
        <v>1</v>
      </c>
      <c r="Z515">
        <v>4</v>
      </c>
      <c r="AA515">
        <v>44.1</v>
      </c>
      <c r="AB515">
        <v>-1</v>
      </c>
      <c r="AC515" t="s">
        <v>80</v>
      </c>
      <c r="AD515">
        <v>1</v>
      </c>
      <c r="AE515">
        <v>2</v>
      </c>
      <c r="AF515">
        <v>1</v>
      </c>
      <c r="AG515">
        <v>0.99099999999999999</v>
      </c>
      <c r="AH515">
        <v>0.63200000000000001</v>
      </c>
      <c r="AI515">
        <v>-1</v>
      </c>
      <c r="AL515" t="str">
        <f t="shared" ref="AL515:AL577" si="51">IF(ISNUMBER(AK515), AK515, IF(AND(AK515="",AJ515=""),"",IF(AK515="",AJ515,"")))</f>
        <v/>
      </c>
      <c r="AM515">
        <f>VLOOKUP(TRIM(N515),'[1]All - Durations'!$E$2:$H$109,4,FALSE)</f>
        <v>1.002</v>
      </c>
      <c r="AN515" t="e">
        <f t="shared" ref="AN515:AN577" si="52">AL515-AM515</f>
        <v>#VALUE!</v>
      </c>
      <c r="AO515" t="str">
        <f t="shared" ref="AO515:AO577" si="53">IF(ISNUMBER(AN515), AN515, "")</f>
        <v/>
      </c>
    </row>
    <row r="516" spans="1:41" x14ac:dyDescent="0.25">
      <c r="A516">
        <v>259</v>
      </c>
      <c r="B516" t="s">
        <v>35</v>
      </c>
      <c r="C516">
        <v>3</v>
      </c>
      <c r="D516" t="s">
        <v>36</v>
      </c>
      <c r="E516">
        <v>4</v>
      </c>
      <c r="F516" t="s">
        <v>37</v>
      </c>
      <c r="G516">
        <v>8</v>
      </c>
      <c r="H516">
        <v>13</v>
      </c>
      <c r="I516">
        <v>1</v>
      </c>
      <c r="J516">
        <v>11</v>
      </c>
      <c r="K516">
        <v>10</v>
      </c>
      <c r="L516">
        <v>4</v>
      </c>
      <c r="M516">
        <v>1</v>
      </c>
      <c r="N516" t="s">
        <v>101</v>
      </c>
      <c r="O516" t="s">
        <v>39</v>
      </c>
      <c r="P516" t="s">
        <v>89</v>
      </c>
      <c r="Q516" t="s">
        <v>90</v>
      </c>
      <c r="R516" t="s">
        <v>51</v>
      </c>
      <c r="S516" t="s">
        <v>52</v>
      </c>
      <c r="T516" t="s">
        <v>102</v>
      </c>
      <c r="U516">
        <v>5</v>
      </c>
      <c r="V516" t="s">
        <v>144</v>
      </c>
      <c r="W516" t="s">
        <v>68</v>
      </c>
      <c r="X516" t="s">
        <v>179</v>
      </c>
      <c r="Y516">
        <v>2</v>
      </c>
      <c r="Z516">
        <v>4</v>
      </c>
      <c r="AA516">
        <v>44.1</v>
      </c>
      <c r="AB516">
        <v>-1</v>
      </c>
      <c r="AC516" t="s">
        <v>144</v>
      </c>
      <c r="AD516">
        <v>3</v>
      </c>
      <c r="AE516">
        <v>2</v>
      </c>
      <c r="AF516">
        <v>0</v>
      </c>
      <c r="AG516">
        <v>2.379</v>
      </c>
      <c r="AH516">
        <v>0.58299999999999996</v>
      </c>
      <c r="AI516">
        <v>-1</v>
      </c>
      <c r="AL516" t="str">
        <f t="shared" si="51"/>
        <v/>
      </c>
      <c r="AM516">
        <f>VLOOKUP(TRIM(N516),'[1]All - Durations'!$E$2:$H$109,4,FALSE)</f>
        <v>0.93799999999999994</v>
      </c>
      <c r="AN516" t="e">
        <f t="shared" si="52"/>
        <v>#VALUE!</v>
      </c>
      <c r="AO516" t="str">
        <f t="shared" si="53"/>
        <v/>
      </c>
    </row>
    <row r="517" spans="1:41" x14ac:dyDescent="0.25">
      <c r="A517">
        <v>259</v>
      </c>
      <c r="B517" t="s">
        <v>35</v>
      </c>
      <c r="C517">
        <v>3</v>
      </c>
      <c r="D517" t="s">
        <v>36</v>
      </c>
      <c r="E517">
        <v>4</v>
      </c>
      <c r="F517" t="s">
        <v>37</v>
      </c>
      <c r="G517">
        <v>8</v>
      </c>
      <c r="H517">
        <v>13</v>
      </c>
      <c r="I517">
        <v>1</v>
      </c>
      <c r="J517">
        <v>12</v>
      </c>
      <c r="K517">
        <v>5</v>
      </c>
      <c r="L517">
        <v>37</v>
      </c>
      <c r="M517">
        <v>2</v>
      </c>
      <c r="N517" t="s">
        <v>97</v>
      </c>
      <c r="O517" t="s">
        <v>39</v>
      </c>
      <c r="P517" t="s">
        <v>49</v>
      </c>
      <c r="Q517" t="s">
        <v>50</v>
      </c>
      <c r="R517" t="s">
        <v>91</v>
      </c>
      <c r="S517" t="s">
        <v>92</v>
      </c>
      <c r="T517" t="s">
        <v>54</v>
      </c>
      <c r="U517">
        <v>1</v>
      </c>
      <c r="V517" t="s">
        <v>53</v>
      </c>
      <c r="W517" t="s">
        <v>162</v>
      </c>
      <c r="X517" t="s">
        <v>82</v>
      </c>
      <c r="Y517">
        <v>1</v>
      </c>
      <c r="Z517">
        <v>4</v>
      </c>
      <c r="AA517">
        <v>44.1</v>
      </c>
      <c r="AB517">
        <v>-1</v>
      </c>
      <c r="AC517" t="s">
        <v>53</v>
      </c>
      <c r="AD517">
        <v>2</v>
      </c>
      <c r="AE517">
        <v>2</v>
      </c>
      <c r="AF517">
        <v>0</v>
      </c>
      <c r="AG517">
        <v>2.4369999999999998</v>
      </c>
      <c r="AH517">
        <v>0.63200000000000001</v>
      </c>
      <c r="AI517">
        <v>-1</v>
      </c>
      <c r="AL517" t="str">
        <f t="shared" si="51"/>
        <v/>
      </c>
      <c r="AM517">
        <f>VLOOKUP(TRIM(N517),'[1]All - Durations'!$E$2:$H$109,4,FALSE)</f>
        <v>0.74</v>
      </c>
      <c r="AN517" t="e">
        <f t="shared" si="52"/>
        <v>#VALUE!</v>
      </c>
      <c r="AO517" t="str">
        <f t="shared" si="53"/>
        <v/>
      </c>
    </row>
    <row r="518" spans="1:41" x14ac:dyDescent="0.25">
      <c r="A518">
        <v>259</v>
      </c>
      <c r="B518" t="s">
        <v>35</v>
      </c>
      <c r="C518">
        <v>3</v>
      </c>
      <c r="D518" t="s">
        <v>36</v>
      </c>
      <c r="E518">
        <v>4</v>
      </c>
      <c r="F518" t="s">
        <v>37</v>
      </c>
      <c r="G518">
        <v>8</v>
      </c>
      <c r="H518">
        <v>13</v>
      </c>
      <c r="I518">
        <v>1</v>
      </c>
      <c r="J518">
        <v>13</v>
      </c>
      <c r="K518">
        <v>18</v>
      </c>
      <c r="L518">
        <v>62</v>
      </c>
      <c r="M518">
        <v>2</v>
      </c>
      <c r="N518" t="s">
        <v>142</v>
      </c>
      <c r="O518" t="s">
        <v>113</v>
      </c>
      <c r="P518" t="s">
        <v>114</v>
      </c>
      <c r="Q518" t="s">
        <v>126</v>
      </c>
      <c r="R518" t="s">
        <v>114</v>
      </c>
      <c r="S518" t="s">
        <v>52</v>
      </c>
      <c r="T518" t="s">
        <v>128</v>
      </c>
      <c r="U518">
        <v>2</v>
      </c>
      <c r="V518" t="s">
        <v>127</v>
      </c>
      <c r="W518" t="s">
        <v>161</v>
      </c>
      <c r="X518" t="s">
        <v>85</v>
      </c>
      <c r="Y518">
        <v>1</v>
      </c>
      <c r="Z518">
        <v>4</v>
      </c>
      <c r="AA518">
        <v>44.1</v>
      </c>
      <c r="AB518">
        <v>-1</v>
      </c>
      <c r="AC518" t="s">
        <v>128</v>
      </c>
      <c r="AD518">
        <v>1</v>
      </c>
      <c r="AE518">
        <v>2</v>
      </c>
      <c r="AF518">
        <v>1</v>
      </c>
      <c r="AG518">
        <v>2.516</v>
      </c>
      <c r="AH518">
        <v>3.0329999999999999</v>
      </c>
      <c r="AI518">
        <v>-1</v>
      </c>
      <c r="AL518" t="str">
        <f t="shared" si="51"/>
        <v/>
      </c>
      <c r="AM518">
        <f>VLOOKUP(TRIM(N518),'[1]All - Durations'!$E$2:$H$109,4,FALSE)</f>
        <v>1.1259999999999999</v>
      </c>
      <c r="AN518" t="e">
        <f t="shared" si="52"/>
        <v>#VALUE!</v>
      </c>
      <c r="AO518" t="str">
        <f t="shared" si="53"/>
        <v/>
      </c>
    </row>
    <row r="519" spans="1:41" x14ac:dyDescent="0.25">
      <c r="A519">
        <v>259</v>
      </c>
      <c r="B519" t="s">
        <v>35</v>
      </c>
      <c r="C519">
        <v>3</v>
      </c>
      <c r="D519" t="s">
        <v>36</v>
      </c>
      <c r="E519">
        <v>4</v>
      </c>
      <c r="F519" t="s">
        <v>37</v>
      </c>
      <c r="G519">
        <v>8</v>
      </c>
      <c r="H519">
        <v>13</v>
      </c>
      <c r="I519">
        <v>1</v>
      </c>
      <c r="J519">
        <v>14</v>
      </c>
      <c r="K519">
        <v>22</v>
      </c>
      <c r="L519">
        <v>28</v>
      </c>
      <c r="M519">
        <v>1</v>
      </c>
      <c r="N519" t="s">
        <v>117</v>
      </c>
      <c r="O519" t="s">
        <v>113</v>
      </c>
      <c r="P519" t="s">
        <v>114</v>
      </c>
      <c r="Q519" t="s">
        <v>118</v>
      </c>
      <c r="R519" t="s">
        <v>114</v>
      </c>
      <c r="S519" t="s">
        <v>52</v>
      </c>
      <c r="T519" t="s">
        <v>119</v>
      </c>
      <c r="U519">
        <v>1</v>
      </c>
      <c r="V519" t="s">
        <v>214</v>
      </c>
      <c r="W519" t="s">
        <v>146</v>
      </c>
      <c r="X519" t="s">
        <v>147</v>
      </c>
      <c r="Y519">
        <v>2</v>
      </c>
      <c r="Z519">
        <v>4</v>
      </c>
      <c r="AA519">
        <v>44.1</v>
      </c>
      <c r="AB519">
        <v>-1</v>
      </c>
      <c r="AC519" t="s">
        <v>146</v>
      </c>
      <c r="AD519">
        <v>4</v>
      </c>
      <c r="AE519">
        <v>5</v>
      </c>
      <c r="AF519">
        <v>0</v>
      </c>
      <c r="AG519">
        <v>2.609</v>
      </c>
      <c r="AH519">
        <v>3.0339999999999998</v>
      </c>
      <c r="AI519">
        <v>-1</v>
      </c>
      <c r="AL519" t="str">
        <f t="shared" si="51"/>
        <v/>
      </c>
      <c r="AM519">
        <f>VLOOKUP(TRIM(N519),'[1]All - Durations'!$E$2:$H$109,4,FALSE)</f>
        <v>0.97</v>
      </c>
      <c r="AN519" t="e">
        <f t="shared" si="52"/>
        <v>#VALUE!</v>
      </c>
      <c r="AO519" t="str">
        <f t="shared" si="53"/>
        <v/>
      </c>
    </row>
    <row r="520" spans="1:41" x14ac:dyDescent="0.25">
      <c r="A520">
        <v>259</v>
      </c>
      <c r="B520" t="s">
        <v>35</v>
      </c>
      <c r="C520">
        <v>3</v>
      </c>
      <c r="D520" t="s">
        <v>36</v>
      </c>
      <c r="E520">
        <v>4</v>
      </c>
      <c r="F520" t="s">
        <v>37</v>
      </c>
      <c r="G520">
        <v>8</v>
      </c>
      <c r="H520">
        <v>13</v>
      </c>
      <c r="I520">
        <v>1</v>
      </c>
      <c r="J520">
        <v>15</v>
      </c>
      <c r="K520">
        <v>20</v>
      </c>
      <c r="L520">
        <v>64</v>
      </c>
      <c r="M520">
        <v>2</v>
      </c>
      <c r="N520" t="s">
        <v>133</v>
      </c>
      <c r="O520" t="s">
        <v>113</v>
      </c>
      <c r="P520" t="s">
        <v>114</v>
      </c>
      <c r="Q520" t="s">
        <v>134</v>
      </c>
      <c r="R520" t="s">
        <v>114</v>
      </c>
      <c r="S520" t="s">
        <v>43</v>
      </c>
      <c r="T520" t="s">
        <v>100</v>
      </c>
      <c r="U520">
        <v>4</v>
      </c>
      <c r="V520" t="s">
        <v>95</v>
      </c>
      <c r="W520" t="s">
        <v>54</v>
      </c>
      <c r="X520" t="s">
        <v>68</v>
      </c>
      <c r="Y520">
        <v>1</v>
      </c>
      <c r="Z520">
        <v>4</v>
      </c>
      <c r="AA520">
        <v>44.1</v>
      </c>
      <c r="AB520">
        <v>-1</v>
      </c>
      <c r="AC520" t="s">
        <v>68</v>
      </c>
      <c r="AD520">
        <v>4</v>
      </c>
      <c r="AE520">
        <v>2</v>
      </c>
      <c r="AF520">
        <v>0</v>
      </c>
      <c r="AG520">
        <v>1.9830000000000001</v>
      </c>
      <c r="AH520">
        <v>3.0339999999999998</v>
      </c>
      <c r="AI520">
        <v>-1</v>
      </c>
      <c r="AL520" t="str">
        <f t="shared" si="51"/>
        <v/>
      </c>
      <c r="AM520">
        <f>VLOOKUP(TRIM(N520),'[1]All - Durations'!$E$2:$H$109,4,FALSE)</f>
        <v>0.80200000000000005</v>
      </c>
      <c r="AN520" t="e">
        <f t="shared" si="52"/>
        <v>#VALUE!</v>
      </c>
      <c r="AO520" t="str">
        <f t="shared" si="53"/>
        <v/>
      </c>
    </row>
    <row r="521" spans="1:41" x14ac:dyDescent="0.25">
      <c r="A521">
        <v>259</v>
      </c>
      <c r="B521" t="s">
        <v>35</v>
      </c>
      <c r="C521">
        <v>3</v>
      </c>
      <c r="D521" t="s">
        <v>36</v>
      </c>
      <c r="E521">
        <v>4</v>
      </c>
      <c r="F521" t="s">
        <v>37</v>
      </c>
      <c r="G521">
        <v>8</v>
      </c>
      <c r="H521">
        <v>13</v>
      </c>
      <c r="I521">
        <v>1</v>
      </c>
      <c r="J521">
        <v>16</v>
      </c>
      <c r="K521">
        <v>24</v>
      </c>
      <c r="L521">
        <v>68</v>
      </c>
      <c r="M521">
        <v>2</v>
      </c>
      <c r="N521" t="s">
        <v>135</v>
      </c>
      <c r="O521" t="s">
        <v>113</v>
      </c>
      <c r="P521" t="s">
        <v>114</v>
      </c>
      <c r="Q521" t="s">
        <v>136</v>
      </c>
      <c r="R521" t="s">
        <v>114</v>
      </c>
      <c r="S521" t="s">
        <v>52</v>
      </c>
      <c r="T521" t="s">
        <v>74</v>
      </c>
      <c r="U521">
        <v>4</v>
      </c>
      <c r="V521" t="s">
        <v>128</v>
      </c>
      <c r="W521" t="s">
        <v>138</v>
      </c>
      <c r="X521" t="s">
        <v>86</v>
      </c>
      <c r="Y521">
        <v>2</v>
      </c>
      <c r="Z521">
        <v>4</v>
      </c>
      <c r="AA521">
        <v>44.1</v>
      </c>
      <c r="AB521">
        <v>-1</v>
      </c>
      <c r="AC521" t="s">
        <v>138</v>
      </c>
      <c r="AD521">
        <v>4</v>
      </c>
      <c r="AE521">
        <v>1</v>
      </c>
      <c r="AF521">
        <v>0</v>
      </c>
      <c r="AG521">
        <v>3.339</v>
      </c>
      <c r="AH521">
        <v>0.8</v>
      </c>
      <c r="AI521">
        <v>-1</v>
      </c>
      <c r="AL521" t="str">
        <f t="shared" si="51"/>
        <v/>
      </c>
      <c r="AM521">
        <f>VLOOKUP(TRIM(N521),'[1]All - Durations'!$E$2:$H$109,4,FALSE)</f>
        <v>1.0209999999999999</v>
      </c>
      <c r="AN521" t="e">
        <f t="shared" si="52"/>
        <v>#VALUE!</v>
      </c>
      <c r="AO521" t="str">
        <f t="shared" si="53"/>
        <v/>
      </c>
    </row>
    <row r="522" spans="1:41" x14ac:dyDescent="0.25">
      <c r="A522">
        <v>259</v>
      </c>
      <c r="B522" t="s">
        <v>35</v>
      </c>
      <c r="C522">
        <v>3</v>
      </c>
      <c r="D522" t="s">
        <v>36</v>
      </c>
      <c r="E522">
        <v>4</v>
      </c>
      <c r="F522" t="s">
        <v>37</v>
      </c>
      <c r="G522">
        <v>8</v>
      </c>
      <c r="H522">
        <v>13</v>
      </c>
      <c r="I522">
        <v>1</v>
      </c>
      <c r="J522">
        <v>17</v>
      </c>
      <c r="K522">
        <v>15</v>
      </c>
      <c r="L522">
        <v>25</v>
      </c>
      <c r="M522">
        <v>1</v>
      </c>
      <c r="N522" t="s">
        <v>122</v>
      </c>
      <c r="O522" t="s">
        <v>113</v>
      </c>
      <c r="P522" t="s">
        <v>114</v>
      </c>
      <c r="Q522" t="s">
        <v>123</v>
      </c>
      <c r="R522" t="s">
        <v>114</v>
      </c>
      <c r="S522" t="s">
        <v>59</v>
      </c>
      <c r="T522" t="s">
        <v>124</v>
      </c>
      <c r="U522">
        <v>4</v>
      </c>
      <c r="V522" t="s">
        <v>130</v>
      </c>
      <c r="W522" t="s">
        <v>67</v>
      </c>
      <c r="X522" t="s">
        <v>187</v>
      </c>
      <c r="Y522">
        <v>1</v>
      </c>
      <c r="Z522">
        <v>4</v>
      </c>
      <c r="AA522">
        <v>44.1</v>
      </c>
      <c r="AB522">
        <v>-1</v>
      </c>
      <c r="AC522" t="s">
        <v>124</v>
      </c>
      <c r="AD522">
        <v>1</v>
      </c>
      <c r="AE522">
        <v>4</v>
      </c>
      <c r="AF522">
        <v>1</v>
      </c>
      <c r="AG522">
        <v>2.0110000000000001</v>
      </c>
      <c r="AH522">
        <v>0.51700000000000002</v>
      </c>
      <c r="AI522">
        <v>-1</v>
      </c>
      <c r="AL522" t="str">
        <f t="shared" si="51"/>
        <v/>
      </c>
      <c r="AM522">
        <f>VLOOKUP(TRIM(N522),'[1]All - Durations'!$E$2:$H$109,4,FALSE)</f>
        <v>0.83899999999999997</v>
      </c>
      <c r="AN522" t="e">
        <f t="shared" si="52"/>
        <v>#VALUE!</v>
      </c>
      <c r="AO522" t="str">
        <f t="shared" si="53"/>
        <v/>
      </c>
    </row>
    <row r="523" spans="1:41" x14ac:dyDescent="0.25">
      <c r="A523">
        <v>259</v>
      </c>
      <c r="B523" t="s">
        <v>35</v>
      </c>
      <c r="C523">
        <v>3</v>
      </c>
      <c r="D523" t="s">
        <v>36</v>
      </c>
      <c r="E523">
        <v>4</v>
      </c>
      <c r="F523" t="s">
        <v>37</v>
      </c>
      <c r="G523">
        <v>8</v>
      </c>
      <c r="H523">
        <v>13</v>
      </c>
      <c r="I523">
        <v>1</v>
      </c>
      <c r="J523">
        <v>18</v>
      </c>
      <c r="K523">
        <v>17</v>
      </c>
      <c r="L523">
        <v>61</v>
      </c>
      <c r="M523">
        <v>2</v>
      </c>
      <c r="N523" t="s">
        <v>125</v>
      </c>
      <c r="O523" t="s">
        <v>113</v>
      </c>
      <c r="P523" t="s">
        <v>114</v>
      </c>
      <c r="Q523" t="s">
        <v>126</v>
      </c>
      <c r="R523" t="s">
        <v>114</v>
      </c>
      <c r="S523" t="s">
        <v>92</v>
      </c>
      <c r="T523" t="s">
        <v>127</v>
      </c>
      <c r="U523">
        <v>5</v>
      </c>
      <c r="V523" t="s">
        <v>179</v>
      </c>
      <c r="W523" t="s">
        <v>131</v>
      </c>
      <c r="X523" t="s">
        <v>55</v>
      </c>
      <c r="Y523">
        <v>2</v>
      </c>
      <c r="Z523">
        <v>4</v>
      </c>
      <c r="AA523">
        <v>44.1</v>
      </c>
      <c r="AB523">
        <v>-1</v>
      </c>
      <c r="AC523" t="s">
        <v>127</v>
      </c>
      <c r="AD523">
        <v>1</v>
      </c>
      <c r="AE523">
        <v>5</v>
      </c>
      <c r="AF523">
        <v>1</v>
      </c>
      <c r="AG523">
        <v>1.931</v>
      </c>
      <c r="AH523">
        <v>0.46700000000000003</v>
      </c>
      <c r="AI523">
        <v>-1</v>
      </c>
      <c r="AL523" t="str">
        <f t="shared" si="51"/>
        <v/>
      </c>
      <c r="AM523">
        <f>VLOOKUP(TRIM(N523),'[1]All - Durations'!$E$2:$H$109,4,FALSE)</f>
        <v>0.94899999999999995</v>
      </c>
      <c r="AN523" t="e">
        <f t="shared" si="52"/>
        <v>#VALUE!</v>
      </c>
      <c r="AO523" t="str">
        <f t="shared" si="53"/>
        <v/>
      </c>
    </row>
    <row r="524" spans="1:41" x14ac:dyDescent="0.25">
      <c r="A524">
        <v>259</v>
      </c>
      <c r="B524" t="s">
        <v>35</v>
      </c>
      <c r="C524">
        <v>3</v>
      </c>
      <c r="D524" t="s">
        <v>36</v>
      </c>
      <c r="E524">
        <v>4</v>
      </c>
      <c r="F524" t="s">
        <v>37</v>
      </c>
      <c r="G524">
        <v>8</v>
      </c>
      <c r="H524">
        <v>13</v>
      </c>
      <c r="I524">
        <v>1</v>
      </c>
      <c r="J524">
        <v>19</v>
      </c>
      <c r="K524">
        <v>23</v>
      </c>
      <c r="L524">
        <v>67</v>
      </c>
      <c r="M524">
        <v>2</v>
      </c>
      <c r="N524" t="s">
        <v>145</v>
      </c>
      <c r="O524" t="s">
        <v>113</v>
      </c>
      <c r="P524" t="s">
        <v>114</v>
      </c>
      <c r="Q524" t="s">
        <v>136</v>
      </c>
      <c r="R524" t="s">
        <v>114</v>
      </c>
      <c r="S524" t="s">
        <v>92</v>
      </c>
      <c r="T524" t="s">
        <v>137</v>
      </c>
      <c r="U524">
        <v>2</v>
      </c>
      <c r="V524" t="s">
        <v>74</v>
      </c>
      <c r="W524" t="s">
        <v>44</v>
      </c>
      <c r="X524" t="s">
        <v>110</v>
      </c>
      <c r="Y524">
        <v>1</v>
      </c>
      <c r="Z524">
        <v>4</v>
      </c>
      <c r="AA524">
        <v>44.1</v>
      </c>
      <c r="AB524">
        <v>-1</v>
      </c>
      <c r="AC524" t="s">
        <v>137</v>
      </c>
      <c r="AD524">
        <v>1</v>
      </c>
      <c r="AE524">
        <v>2</v>
      </c>
      <c r="AF524">
        <v>1</v>
      </c>
      <c r="AG524">
        <v>0.81399999999999995</v>
      </c>
      <c r="AH524">
        <v>0.5</v>
      </c>
      <c r="AI524">
        <v>-1</v>
      </c>
      <c r="AL524" t="str">
        <f t="shared" si="51"/>
        <v/>
      </c>
      <c r="AM524">
        <f>VLOOKUP(TRIM(N524),'[1]All - Durations'!$E$2:$H$109,4,FALSE)</f>
        <v>0.96199999999999997</v>
      </c>
      <c r="AN524" t="e">
        <f t="shared" si="52"/>
        <v>#VALUE!</v>
      </c>
      <c r="AO524" t="str">
        <f t="shared" si="53"/>
        <v/>
      </c>
    </row>
    <row r="525" spans="1:41" x14ac:dyDescent="0.25">
      <c r="A525">
        <v>259</v>
      </c>
      <c r="B525" t="s">
        <v>35</v>
      </c>
      <c r="C525">
        <v>3</v>
      </c>
      <c r="D525" t="s">
        <v>36</v>
      </c>
      <c r="E525">
        <v>4</v>
      </c>
      <c r="F525" t="s">
        <v>37</v>
      </c>
      <c r="G525">
        <v>8</v>
      </c>
      <c r="H525">
        <v>13</v>
      </c>
      <c r="I525">
        <v>1</v>
      </c>
      <c r="J525">
        <v>20</v>
      </c>
      <c r="K525">
        <v>16</v>
      </c>
      <c r="L525">
        <v>26</v>
      </c>
      <c r="M525">
        <v>1</v>
      </c>
      <c r="N525" t="s">
        <v>148</v>
      </c>
      <c r="O525" t="s">
        <v>113</v>
      </c>
      <c r="P525" t="s">
        <v>114</v>
      </c>
      <c r="Q525" t="s">
        <v>123</v>
      </c>
      <c r="R525" t="s">
        <v>114</v>
      </c>
      <c r="S525" t="s">
        <v>92</v>
      </c>
      <c r="T525" t="s">
        <v>130</v>
      </c>
      <c r="U525">
        <v>1</v>
      </c>
      <c r="V525" t="s">
        <v>137</v>
      </c>
      <c r="W525" t="s">
        <v>73</v>
      </c>
      <c r="X525" t="s">
        <v>211</v>
      </c>
      <c r="Y525">
        <v>2</v>
      </c>
      <c r="Z525">
        <v>4</v>
      </c>
      <c r="AA525">
        <v>44.1</v>
      </c>
      <c r="AB525">
        <v>-1</v>
      </c>
      <c r="AC525" t="s">
        <v>130</v>
      </c>
      <c r="AD525">
        <v>1</v>
      </c>
      <c r="AE525">
        <v>1</v>
      </c>
      <c r="AF525">
        <v>1</v>
      </c>
      <c r="AG525">
        <v>2.6219999999999999</v>
      </c>
      <c r="AH525">
        <v>0.433</v>
      </c>
      <c r="AI525">
        <v>-1</v>
      </c>
      <c r="AL525" t="str">
        <f t="shared" si="51"/>
        <v/>
      </c>
      <c r="AM525">
        <f>VLOOKUP(TRIM(N525),'[1]All - Durations'!$E$2:$H$109,4,FALSE)</f>
        <v>0.90400000000000003</v>
      </c>
      <c r="AN525" t="e">
        <f t="shared" si="52"/>
        <v>#VALUE!</v>
      </c>
      <c r="AO525" t="str">
        <f t="shared" si="53"/>
        <v/>
      </c>
    </row>
    <row r="526" spans="1:41" x14ac:dyDescent="0.25">
      <c r="A526">
        <v>259</v>
      </c>
      <c r="B526" t="s">
        <v>35</v>
      </c>
      <c r="C526">
        <v>3</v>
      </c>
      <c r="D526" t="s">
        <v>36</v>
      </c>
      <c r="E526">
        <v>4</v>
      </c>
      <c r="F526" t="s">
        <v>37</v>
      </c>
      <c r="G526">
        <v>8</v>
      </c>
      <c r="H526">
        <v>13</v>
      </c>
      <c r="I526">
        <v>1</v>
      </c>
      <c r="J526">
        <v>21</v>
      </c>
      <c r="K526">
        <v>13</v>
      </c>
      <c r="L526">
        <v>71</v>
      </c>
      <c r="M526">
        <v>2</v>
      </c>
      <c r="N526" t="s">
        <v>143</v>
      </c>
      <c r="O526" t="s">
        <v>113</v>
      </c>
      <c r="P526" t="s">
        <v>114</v>
      </c>
      <c r="Q526" t="s">
        <v>115</v>
      </c>
      <c r="R526" t="s">
        <v>114</v>
      </c>
      <c r="S526" t="s">
        <v>59</v>
      </c>
      <c r="T526" t="s">
        <v>46</v>
      </c>
      <c r="U526">
        <v>2</v>
      </c>
      <c r="V526" t="s">
        <v>87</v>
      </c>
      <c r="W526" t="s">
        <v>166</v>
      </c>
      <c r="X526" t="s">
        <v>98</v>
      </c>
      <c r="Y526">
        <v>2</v>
      </c>
      <c r="Z526">
        <v>4</v>
      </c>
      <c r="AA526">
        <v>44.1</v>
      </c>
      <c r="AB526">
        <v>-1</v>
      </c>
      <c r="AC526" t="s">
        <v>46</v>
      </c>
      <c r="AD526">
        <v>1</v>
      </c>
      <c r="AE526">
        <v>2</v>
      </c>
      <c r="AF526">
        <v>1</v>
      </c>
      <c r="AG526">
        <v>2.0070000000000001</v>
      </c>
      <c r="AH526">
        <v>0.45</v>
      </c>
      <c r="AI526">
        <v>-1</v>
      </c>
      <c r="AL526" t="str">
        <f t="shared" si="51"/>
        <v/>
      </c>
      <c r="AM526">
        <f>VLOOKUP(TRIM(N526),'[1]All - Durations'!$E$2:$H$109,4,FALSE)</f>
        <v>0.82799999999999996</v>
      </c>
      <c r="AN526" t="e">
        <f t="shared" si="52"/>
        <v>#VALUE!</v>
      </c>
      <c r="AO526" t="str">
        <f t="shared" si="53"/>
        <v/>
      </c>
    </row>
    <row r="527" spans="1:41" x14ac:dyDescent="0.25">
      <c r="A527">
        <v>259</v>
      </c>
      <c r="B527" t="s">
        <v>35</v>
      </c>
      <c r="C527">
        <v>3</v>
      </c>
      <c r="D527" t="s">
        <v>36</v>
      </c>
      <c r="E527">
        <v>4</v>
      </c>
      <c r="F527" t="s">
        <v>37</v>
      </c>
      <c r="G527">
        <v>8</v>
      </c>
      <c r="H527">
        <v>13</v>
      </c>
      <c r="I527">
        <v>1</v>
      </c>
      <c r="J527">
        <v>22</v>
      </c>
      <c r="K527">
        <v>19</v>
      </c>
      <c r="L527">
        <v>63</v>
      </c>
      <c r="M527">
        <v>2</v>
      </c>
      <c r="N527" t="s">
        <v>140</v>
      </c>
      <c r="O527" t="s">
        <v>113</v>
      </c>
      <c r="P527" t="s">
        <v>114</v>
      </c>
      <c r="Q527" t="s">
        <v>134</v>
      </c>
      <c r="R527" t="s">
        <v>114</v>
      </c>
      <c r="S527" t="s">
        <v>59</v>
      </c>
      <c r="T527" t="s">
        <v>95</v>
      </c>
      <c r="U527">
        <v>1</v>
      </c>
      <c r="V527" t="s">
        <v>124</v>
      </c>
      <c r="W527" t="s">
        <v>47</v>
      </c>
      <c r="X527" t="s">
        <v>106</v>
      </c>
      <c r="Y527">
        <v>2</v>
      </c>
      <c r="Z527">
        <v>4</v>
      </c>
      <c r="AA527">
        <v>44.1</v>
      </c>
      <c r="AB527">
        <v>-1</v>
      </c>
      <c r="AC527" t="s">
        <v>124</v>
      </c>
      <c r="AD527">
        <v>3</v>
      </c>
      <c r="AE527">
        <v>5</v>
      </c>
      <c r="AF527">
        <v>0</v>
      </c>
      <c r="AG527">
        <v>3.0760000000000001</v>
      </c>
      <c r="AH527">
        <v>0.56699999999999995</v>
      </c>
      <c r="AI527">
        <v>-1</v>
      </c>
      <c r="AL527" t="str">
        <f t="shared" si="51"/>
        <v/>
      </c>
      <c r="AM527">
        <f>VLOOKUP(TRIM(N527),'[1]All - Durations'!$E$2:$H$109,4,FALSE)</f>
        <v>0.86099999999999999</v>
      </c>
      <c r="AN527" t="e">
        <f t="shared" si="52"/>
        <v>#VALUE!</v>
      </c>
      <c r="AO527" t="str">
        <f t="shared" si="53"/>
        <v/>
      </c>
    </row>
    <row r="528" spans="1:41" x14ac:dyDescent="0.25">
      <c r="A528">
        <v>259</v>
      </c>
      <c r="B528" t="s">
        <v>35</v>
      </c>
      <c r="C528">
        <v>3</v>
      </c>
      <c r="D528" t="s">
        <v>36</v>
      </c>
      <c r="E528">
        <v>4</v>
      </c>
      <c r="F528" t="s">
        <v>37</v>
      </c>
      <c r="G528">
        <v>8</v>
      </c>
      <c r="H528">
        <v>13</v>
      </c>
      <c r="I528">
        <v>1</v>
      </c>
      <c r="J528">
        <v>23</v>
      </c>
      <c r="K528">
        <v>14</v>
      </c>
      <c r="L528">
        <v>72</v>
      </c>
      <c r="M528">
        <v>2</v>
      </c>
      <c r="N528" t="s">
        <v>112</v>
      </c>
      <c r="O528" t="s">
        <v>113</v>
      </c>
      <c r="P528" t="s">
        <v>114</v>
      </c>
      <c r="Q528" t="s">
        <v>115</v>
      </c>
      <c r="R528" t="s">
        <v>114</v>
      </c>
      <c r="S528" t="s">
        <v>43</v>
      </c>
      <c r="T528" t="s">
        <v>104</v>
      </c>
      <c r="U528">
        <v>2</v>
      </c>
      <c r="V528" t="s">
        <v>46</v>
      </c>
      <c r="W528" t="s">
        <v>75</v>
      </c>
      <c r="X528" t="s">
        <v>79</v>
      </c>
      <c r="Y528">
        <v>1</v>
      </c>
      <c r="Z528">
        <v>4</v>
      </c>
      <c r="AA528">
        <v>44.1</v>
      </c>
      <c r="AB528">
        <v>-1</v>
      </c>
      <c r="AC528" t="s">
        <v>104</v>
      </c>
      <c r="AD528">
        <v>1</v>
      </c>
      <c r="AE528">
        <v>2</v>
      </c>
      <c r="AF528">
        <v>1</v>
      </c>
      <c r="AG528">
        <v>1.2310000000000001</v>
      </c>
      <c r="AH528">
        <v>0.5</v>
      </c>
      <c r="AI528">
        <v>-1</v>
      </c>
      <c r="AL528" t="str">
        <f t="shared" si="51"/>
        <v/>
      </c>
      <c r="AM528">
        <f>VLOOKUP(TRIM(N528),'[1]All - Durations'!$E$2:$H$109,4,FALSE)</f>
        <v>0.94499999999999995</v>
      </c>
      <c r="AN528" t="e">
        <f t="shared" si="52"/>
        <v>#VALUE!</v>
      </c>
      <c r="AO528" t="str">
        <f t="shared" si="53"/>
        <v/>
      </c>
    </row>
    <row r="529" spans="1:41" x14ac:dyDescent="0.25">
      <c r="A529">
        <v>259</v>
      </c>
      <c r="B529" t="s">
        <v>35</v>
      </c>
      <c r="C529">
        <v>3</v>
      </c>
      <c r="D529" t="s">
        <v>36</v>
      </c>
      <c r="E529">
        <v>4</v>
      </c>
      <c r="F529" t="s">
        <v>37</v>
      </c>
      <c r="G529">
        <v>8</v>
      </c>
      <c r="H529">
        <v>13</v>
      </c>
      <c r="I529">
        <v>1</v>
      </c>
      <c r="J529">
        <v>24</v>
      </c>
      <c r="K529">
        <v>21</v>
      </c>
      <c r="L529">
        <v>27</v>
      </c>
      <c r="M529">
        <v>1</v>
      </c>
      <c r="N529" t="s">
        <v>129</v>
      </c>
      <c r="O529" t="s">
        <v>113</v>
      </c>
      <c r="P529" t="s">
        <v>114</v>
      </c>
      <c r="Q529" t="s">
        <v>118</v>
      </c>
      <c r="R529" t="s">
        <v>114</v>
      </c>
      <c r="S529" t="s">
        <v>92</v>
      </c>
      <c r="T529" t="s">
        <v>120</v>
      </c>
      <c r="U529">
        <v>2</v>
      </c>
      <c r="V529" t="s">
        <v>119</v>
      </c>
      <c r="W529" t="s">
        <v>204</v>
      </c>
      <c r="X529" t="s">
        <v>60</v>
      </c>
      <c r="Y529">
        <v>1</v>
      </c>
      <c r="Z529">
        <v>4</v>
      </c>
      <c r="AA529">
        <v>44.1</v>
      </c>
      <c r="AB529">
        <v>-1</v>
      </c>
      <c r="AC529" t="s">
        <v>120</v>
      </c>
      <c r="AD529">
        <v>1</v>
      </c>
      <c r="AE529">
        <v>2</v>
      </c>
      <c r="AF529">
        <v>1</v>
      </c>
      <c r="AG529">
        <v>3.2240000000000002</v>
      </c>
      <c r="AH529">
        <v>0.41699999999999998</v>
      </c>
      <c r="AI529">
        <v>-1</v>
      </c>
      <c r="AL529" t="str">
        <f t="shared" si="51"/>
        <v/>
      </c>
      <c r="AM529">
        <f>VLOOKUP(TRIM(N529),'[1]All - Durations'!$E$2:$H$109,4,FALSE)</f>
        <v>0.92900000000000005</v>
      </c>
      <c r="AN529" t="e">
        <f t="shared" si="52"/>
        <v>#VALUE!</v>
      </c>
      <c r="AO529" t="str">
        <f t="shared" si="53"/>
        <v/>
      </c>
    </row>
    <row r="530" spans="1:41" x14ac:dyDescent="0.25">
      <c r="A530">
        <v>259</v>
      </c>
      <c r="B530" t="s">
        <v>35</v>
      </c>
      <c r="C530">
        <v>3</v>
      </c>
      <c r="D530" t="s">
        <v>36</v>
      </c>
      <c r="E530">
        <v>4</v>
      </c>
      <c r="F530" t="s">
        <v>37</v>
      </c>
      <c r="G530">
        <v>8</v>
      </c>
      <c r="H530">
        <v>13</v>
      </c>
      <c r="I530">
        <v>1</v>
      </c>
      <c r="J530">
        <v>25</v>
      </c>
      <c r="K530">
        <v>27</v>
      </c>
      <c r="L530">
        <v>13</v>
      </c>
      <c r="M530">
        <v>1</v>
      </c>
      <c r="N530" t="s">
        <v>167</v>
      </c>
      <c r="O530" t="s">
        <v>151</v>
      </c>
      <c r="P530" t="s">
        <v>168</v>
      </c>
      <c r="Q530" t="s">
        <v>169</v>
      </c>
      <c r="R530" t="s">
        <v>170</v>
      </c>
      <c r="S530" t="s">
        <v>59</v>
      </c>
      <c r="T530" t="s">
        <v>96</v>
      </c>
      <c r="U530">
        <v>5</v>
      </c>
      <c r="V530" t="s">
        <v>141</v>
      </c>
      <c r="W530" t="s">
        <v>128</v>
      </c>
      <c r="X530" t="s">
        <v>85</v>
      </c>
      <c r="Y530">
        <v>1</v>
      </c>
      <c r="Z530">
        <v>4</v>
      </c>
      <c r="AA530">
        <v>44.1</v>
      </c>
      <c r="AB530">
        <v>-1</v>
      </c>
      <c r="AC530" t="s">
        <v>96</v>
      </c>
      <c r="AD530">
        <v>1</v>
      </c>
      <c r="AE530">
        <v>5</v>
      </c>
      <c r="AF530">
        <v>1</v>
      </c>
      <c r="AG530">
        <v>2.3079999999999998</v>
      </c>
      <c r="AH530">
        <v>0.58299999999999996</v>
      </c>
      <c r="AI530">
        <v>-1</v>
      </c>
      <c r="AL530" t="str">
        <f t="shared" si="51"/>
        <v/>
      </c>
      <c r="AM530">
        <f>VLOOKUP(TRIM(N530),'[1]All - Durations'!$E$2:$H$109,4,FALSE)</f>
        <v>0.97399999999999998</v>
      </c>
      <c r="AN530" t="e">
        <f t="shared" si="52"/>
        <v>#VALUE!</v>
      </c>
      <c r="AO530" t="str">
        <f t="shared" si="53"/>
        <v/>
      </c>
    </row>
    <row r="531" spans="1:41" x14ac:dyDescent="0.25">
      <c r="A531">
        <v>259</v>
      </c>
      <c r="B531" t="s">
        <v>35</v>
      </c>
      <c r="C531">
        <v>3</v>
      </c>
      <c r="D531" t="s">
        <v>36</v>
      </c>
      <c r="E531">
        <v>4</v>
      </c>
      <c r="F531" t="s">
        <v>37</v>
      </c>
      <c r="G531">
        <v>8</v>
      </c>
      <c r="H531">
        <v>13</v>
      </c>
      <c r="I531">
        <v>1</v>
      </c>
      <c r="J531">
        <v>26</v>
      </c>
      <c r="K531">
        <v>30</v>
      </c>
      <c r="L531">
        <v>50</v>
      </c>
      <c r="M531">
        <v>2</v>
      </c>
      <c r="N531" t="s">
        <v>186</v>
      </c>
      <c r="O531" t="s">
        <v>151</v>
      </c>
      <c r="P531" t="s">
        <v>181</v>
      </c>
      <c r="Q531" t="s">
        <v>182</v>
      </c>
      <c r="R531" t="s">
        <v>174</v>
      </c>
      <c r="S531" t="s">
        <v>52</v>
      </c>
      <c r="T531" t="s">
        <v>187</v>
      </c>
      <c r="U531">
        <v>2</v>
      </c>
      <c r="V531" t="s">
        <v>47</v>
      </c>
      <c r="W531" t="s">
        <v>179</v>
      </c>
      <c r="X531" t="s">
        <v>94</v>
      </c>
      <c r="Y531">
        <v>2</v>
      </c>
      <c r="Z531">
        <v>4</v>
      </c>
      <c r="AA531">
        <v>44.1</v>
      </c>
      <c r="AB531">
        <v>-1</v>
      </c>
      <c r="AC531" t="s">
        <v>187</v>
      </c>
      <c r="AD531">
        <v>1</v>
      </c>
      <c r="AE531">
        <v>2</v>
      </c>
      <c r="AF531">
        <v>1</v>
      </c>
      <c r="AG531">
        <v>1.7869999999999999</v>
      </c>
      <c r="AH531">
        <v>0.58399999999999996</v>
      </c>
      <c r="AI531">
        <v>-1</v>
      </c>
      <c r="AL531" t="str">
        <f t="shared" si="51"/>
        <v/>
      </c>
      <c r="AM531">
        <f>VLOOKUP(TRIM(N531),'[1]All - Durations'!$E$2:$H$109,4,FALSE)</f>
        <v>0.89100000000000001</v>
      </c>
      <c r="AN531" t="e">
        <f t="shared" si="52"/>
        <v>#VALUE!</v>
      </c>
      <c r="AO531" t="str">
        <f t="shared" si="53"/>
        <v/>
      </c>
    </row>
    <row r="532" spans="1:41" x14ac:dyDescent="0.25">
      <c r="A532">
        <v>259</v>
      </c>
      <c r="B532" t="s">
        <v>35</v>
      </c>
      <c r="C532">
        <v>3</v>
      </c>
      <c r="D532" t="s">
        <v>36</v>
      </c>
      <c r="E532">
        <v>4</v>
      </c>
      <c r="F532" t="s">
        <v>37</v>
      </c>
      <c r="G532">
        <v>8</v>
      </c>
      <c r="H532">
        <v>13</v>
      </c>
      <c r="I532">
        <v>1</v>
      </c>
      <c r="J532">
        <v>27</v>
      </c>
      <c r="K532">
        <v>36</v>
      </c>
      <c r="L532">
        <v>56</v>
      </c>
      <c r="M532">
        <v>2</v>
      </c>
      <c r="N532" t="s">
        <v>175</v>
      </c>
      <c r="O532" t="s">
        <v>151</v>
      </c>
      <c r="P532" t="s">
        <v>164</v>
      </c>
      <c r="Q532" t="s">
        <v>165</v>
      </c>
      <c r="R532" t="s">
        <v>174</v>
      </c>
      <c r="S532" t="s">
        <v>52</v>
      </c>
      <c r="T532" t="s">
        <v>166</v>
      </c>
      <c r="U532">
        <v>1</v>
      </c>
      <c r="V532" t="s">
        <v>86</v>
      </c>
      <c r="W532" t="s">
        <v>44</v>
      </c>
      <c r="X532" t="s">
        <v>95</v>
      </c>
      <c r="Y532">
        <v>1</v>
      </c>
      <c r="Z532">
        <v>4</v>
      </c>
      <c r="AA532">
        <v>44.1</v>
      </c>
      <c r="AB532">
        <v>-1</v>
      </c>
      <c r="AC532" t="s">
        <v>86</v>
      </c>
      <c r="AD532">
        <v>2</v>
      </c>
      <c r="AE532">
        <v>2</v>
      </c>
      <c r="AF532">
        <v>0</v>
      </c>
      <c r="AG532">
        <v>0.88800000000000001</v>
      </c>
      <c r="AH532">
        <v>0.53300000000000003</v>
      </c>
      <c r="AI532">
        <v>-1</v>
      </c>
      <c r="AL532" t="str">
        <f t="shared" si="51"/>
        <v/>
      </c>
      <c r="AM532">
        <f>VLOOKUP(TRIM(N532),'[1]All - Durations'!$E$2:$H$109,4,FALSE)</f>
        <v>0.97099999999999997</v>
      </c>
      <c r="AN532" t="e">
        <f t="shared" si="52"/>
        <v>#VALUE!</v>
      </c>
      <c r="AO532" t="str">
        <f t="shared" si="53"/>
        <v/>
      </c>
    </row>
    <row r="533" spans="1:41" x14ac:dyDescent="0.25">
      <c r="A533">
        <v>259</v>
      </c>
      <c r="B533" t="s">
        <v>35</v>
      </c>
      <c r="C533">
        <v>3</v>
      </c>
      <c r="D533" t="s">
        <v>36</v>
      </c>
      <c r="E533">
        <v>4</v>
      </c>
      <c r="F533" t="s">
        <v>37</v>
      </c>
      <c r="G533">
        <v>8</v>
      </c>
      <c r="H533">
        <v>13</v>
      </c>
      <c r="I533">
        <v>1</v>
      </c>
      <c r="J533">
        <v>28</v>
      </c>
      <c r="K533">
        <v>31</v>
      </c>
      <c r="L533">
        <v>51</v>
      </c>
      <c r="M533">
        <v>2</v>
      </c>
      <c r="N533" t="s">
        <v>176</v>
      </c>
      <c r="O533" t="s">
        <v>151</v>
      </c>
      <c r="P533" t="s">
        <v>177</v>
      </c>
      <c r="Q533" t="s">
        <v>178</v>
      </c>
      <c r="R533" t="s">
        <v>170</v>
      </c>
      <c r="S533" t="s">
        <v>59</v>
      </c>
      <c r="T533" t="s">
        <v>139</v>
      </c>
      <c r="U533">
        <v>2</v>
      </c>
      <c r="V533" t="s">
        <v>204</v>
      </c>
      <c r="W533" t="s">
        <v>80</v>
      </c>
      <c r="X533" t="s">
        <v>127</v>
      </c>
      <c r="Y533">
        <v>2</v>
      </c>
      <c r="Z533">
        <v>4</v>
      </c>
      <c r="AA533">
        <v>44.1</v>
      </c>
      <c r="AB533">
        <v>-1</v>
      </c>
      <c r="AC533" t="s">
        <v>139</v>
      </c>
      <c r="AD533">
        <v>1</v>
      </c>
      <c r="AE533">
        <v>2</v>
      </c>
      <c r="AF533">
        <v>1</v>
      </c>
      <c r="AG533">
        <v>2.286</v>
      </c>
      <c r="AH533">
        <v>0.46700000000000003</v>
      </c>
      <c r="AI533">
        <v>-1</v>
      </c>
      <c r="AL533" t="str">
        <f t="shared" si="51"/>
        <v/>
      </c>
      <c r="AM533">
        <f>VLOOKUP(TRIM(N533),'[1]All - Durations'!$E$2:$H$109,4,FALSE)</f>
        <v>0.879</v>
      </c>
      <c r="AN533" t="e">
        <f t="shared" si="52"/>
        <v>#VALUE!</v>
      </c>
      <c r="AO533" t="str">
        <f t="shared" si="53"/>
        <v/>
      </c>
    </row>
    <row r="534" spans="1:41" x14ac:dyDescent="0.25">
      <c r="A534">
        <v>259</v>
      </c>
      <c r="B534" t="s">
        <v>35</v>
      </c>
      <c r="C534">
        <v>3</v>
      </c>
      <c r="D534" t="s">
        <v>36</v>
      </c>
      <c r="E534">
        <v>4</v>
      </c>
      <c r="F534" t="s">
        <v>37</v>
      </c>
      <c r="G534">
        <v>8</v>
      </c>
      <c r="H534">
        <v>13</v>
      </c>
      <c r="I534">
        <v>1</v>
      </c>
      <c r="J534">
        <v>29</v>
      </c>
      <c r="K534">
        <v>35</v>
      </c>
      <c r="L534">
        <v>55</v>
      </c>
      <c r="M534">
        <v>2</v>
      </c>
      <c r="N534" t="s">
        <v>163</v>
      </c>
      <c r="O534" t="s">
        <v>151</v>
      </c>
      <c r="P534" t="s">
        <v>164</v>
      </c>
      <c r="Q534" t="s">
        <v>165</v>
      </c>
      <c r="R534" t="s">
        <v>154</v>
      </c>
      <c r="S534" t="s">
        <v>92</v>
      </c>
      <c r="T534" t="s">
        <v>86</v>
      </c>
      <c r="U534">
        <v>5</v>
      </c>
      <c r="V534" t="s">
        <v>155</v>
      </c>
      <c r="W534" t="s">
        <v>73</v>
      </c>
      <c r="X534" t="s">
        <v>81</v>
      </c>
      <c r="Y534">
        <v>2</v>
      </c>
      <c r="Z534">
        <v>4</v>
      </c>
      <c r="AA534">
        <v>44.1</v>
      </c>
      <c r="AB534">
        <v>-1</v>
      </c>
      <c r="AC534" t="s">
        <v>86</v>
      </c>
      <c r="AD534">
        <v>1</v>
      </c>
      <c r="AE534">
        <v>5</v>
      </c>
      <c r="AF534">
        <v>1</v>
      </c>
      <c r="AG534">
        <v>0.71099999999999997</v>
      </c>
      <c r="AH534">
        <v>0.183</v>
      </c>
      <c r="AI534">
        <v>-1</v>
      </c>
      <c r="AL534" t="str">
        <f t="shared" si="51"/>
        <v/>
      </c>
      <c r="AM534">
        <f>VLOOKUP(TRIM(N534),'[1]All - Durations'!$E$2:$H$109,4,FALSE)</f>
        <v>0.877</v>
      </c>
      <c r="AN534" t="e">
        <f t="shared" si="52"/>
        <v>#VALUE!</v>
      </c>
      <c r="AO534" t="str">
        <f t="shared" si="53"/>
        <v/>
      </c>
    </row>
    <row r="535" spans="1:41" x14ac:dyDescent="0.25">
      <c r="A535">
        <v>259</v>
      </c>
      <c r="B535" t="s">
        <v>35</v>
      </c>
      <c r="C535">
        <v>3</v>
      </c>
      <c r="D535" t="s">
        <v>36</v>
      </c>
      <c r="E535">
        <v>4</v>
      </c>
      <c r="F535" t="s">
        <v>37</v>
      </c>
      <c r="G535">
        <v>8</v>
      </c>
      <c r="H535">
        <v>13</v>
      </c>
      <c r="I535">
        <v>1</v>
      </c>
      <c r="J535">
        <v>30</v>
      </c>
      <c r="K535">
        <v>34</v>
      </c>
      <c r="L535">
        <v>16</v>
      </c>
      <c r="M535">
        <v>1</v>
      </c>
      <c r="N535" t="s">
        <v>173</v>
      </c>
      <c r="O535" t="s">
        <v>151</v>
      </c>
      <c r="P535" t="s">
        <v>152</v>
      </c>
      <c r="Q535" t="s">
        <v>153</v>
      </c>
      <c r="R535" t="s">
        <v>174</v>
      </c>
      <c r="S535" t="s">
        <v>52</v>
      </c>
      <c r="T535" t="s">
        <v>99</v>
      </c>
      <c r="U535">
        <v>5</v>
      </c>
      <c r="V535" t="s">
        <v>75</v>
      </c>
      <c r="W535" t="s">
        <v>56</v>
      </c>
      <c r="X535" t="s">
        <v>98</v>
      </c>
      <c r="Y535">
        <v>2</v>
      </c>
      <c r="Z535">
        <v>4</v>
      </c>
      <c r="AA535">
        <v>44.1</v>
      </c>
      <c r="AB535">
        <v>-1</v>
      </c>
      <c r="AC535" t="s">
        <v>99</v>
      </c>
      <c r="AD535">
        <v>1</v>
      </c>
      <c r="AE535">
        <v>5</v>
      </c>
      <c r="AF535">
        <v>1</v>
      </c>
      <c r="AG535">
        <v>1.383</v>
      </c>
      <c r="AH535">
        <v>0.13300000000000001</v>
      </c>
      <c r="AI535">
        <v>-1</v>
      </c>
      <c r="AL535" t="str">
        <f t="shared" si="51"/>
        <v/>
      </c>
      <c r="AM535">
        <f>VLOOKUP(TRIM(N535),'[1]All - Durations'!$E$2:$H$109,4,FALSE)</f>
        <v>0.996</v>
      </c>
      <c r="AN535" t="e">
        <f t="shared" si="52"/>
        <v>#VALUE!</v>
      </c>
      <c r="AO535" t="str">
        <f t="shared" si="53"/>
        <v/>
      </c>
    </row>
    <row r="536" spans="1:41" x14ac:dyDescent="0.25">
      <c r="A536">
        <v>259</v>
      </c>
      <c r="B536" t="s">
        <v>35</v>
      </c>
      <c r="C536">
        <v>3</v>
      </c>
      <c r="D536" t="s">
        <v>36</v>
      </c>
      <c r="E536">
        <v>4</v>
      </c>
      <c r="F536" t="s">
        <v>37</v>
      </c>
      <c r="G536">
        <v>8</v>
      </c>
      <c r="H536">
        <v>13</v>
      </c>
      <c r="I536">
        <v>1</v>
      </c>
      <c r="J536">
        <v>31</v>
      </c>
      <c r="K536">
        <v>29</v>
      </c>
      <c r="L536">
        <v>49</v>
      </c>
      <c r="M536">
        <v>2</v>
      </c>
      <c r="N536" t="s">
        <v>180</v>
      </c>
      <c r="O536" t="s">
        <v>151</v>
      </c>
      <c r="P536" t="s">
        <v>181</v>
      </c>
      <c r="Q536" t="s">
        <v>182</v>
      </c>
      <c r="R536" t="s">
        <v>154</v>
      </c>
      <c r="S536" t="s">
        <v>92</v>
      </c>
      <c r="T536" t="s">
        <v>183</v>
      </c>
      <c r="U536">
        <v>5</v>
      </c>
      <c r="V536" t="s">
        <v>187</v>
      </c>
      <c r="W536" t="s">
        <v>100</v>
      </c>
      <c r="X536" t="s">
        <v>45</v>
      </c>
      <c r="Y536">
        <v>1</v>
      </c>
      <c r="Z536">
        <v>4</v>
      </c>
      <c r="AA536">
        <v>44.1</v>
      </c>
      <c r="AB536">
        <v>-1</v>
      </c>
      <c r="AC536" t="s">
        <v>45</v>
      </c>
      <c r="AD536">
        <v>4</v>
      </c>
      <c r="AE536">
        <v>1</v>
      </c>
      <c r="AF536">
        <v>0</v>
      </c>
      <c r="AG536">
        <v>2.234</v>
      </c>
      <c r="AH536">
        <v>0.25</v>
      </c>
      <c r="AI536">
        <v>-1</v>
      </c>
      <c r="AL536" t="str">
        <f t="shared" si="51"/>
        <v/>
      </c>
      <c r="AM536">
        <f>VLOOKUP(TRIM(N536),'[1]All - Durations'!$E$2:$H$109,4,FALSE)</f>
        <v>0.81799999999999995</v>
      </c>
      <c r="AN536" t="e">
        <f t="shared" si="52"/>
        <v>#VALUE!</v>
      </c>
      <c r="AO536" t="str">
        <f t="shared" si="53"/>
        <v/>
      </c>
    </row>
    <row r="537" spans="1:41" x14ac:dyDescent="0.25">
      <c r="A537">
        <v>259</v>
      </c>
      <c r="B537" t="s">
        <v>35</v>
      </c>
      <c r="C537">
        <v>3</v>
      </c>
      <c r="D537" t="s">
        <v>36</v>
      </c>
      <c r="E537">
        <v>4</v>
      </c>
      <c r="F537" t="s">
        <v>37</v>
      </c>
      <c r="G537">
        <v>8</v>
      </c>
      <c r="H537">
        <v>13</v>
      </c>
      <c r="I537">
        <v>1</v>
      </c>
      <c r="J537">
        <v>32</v>
      </c>
      <c r="K537">
        <v>33</v>
      </c>
      <c r="L537">
        <v>15</v>
      </c>
      <c r="M537">
        <v>1</v>
      </c>
      <c r="N537" t="s">
        <v>150</v>
      </c>
      <c r="O537" t="s">
        <v>151</v>
      </c>
      <c r="P537" t="s">
        <v>152</v>
      </c>
      <c r="Q537" t="s">
        <v>153</v>
      </c>
      <c r="R537" t="s">
        <v>154</v>
      </c>
      <c r="S537" t="s">
        <v>92</v>
      </c>
      <c r="T537" t="s">
        <v>155</v>
      </c>
      <c r="U537">
        <v>1</v>
      </c>
      <c r="V537" t="s">
        <v>99</v>
      </c>
      <c r="W537" t="s">
        <v>87</v>
      </c>
      <c r="X537" t="s">
        <v>147</v>
      </c>
      <c r="Y537">
        <v>1</v>
      </c>
      <c r="Z537">
        <v>4</v>
      </c>
      <c r="AA537">
        <v>44.1</v>
      </c>
      <c r="AB537">
        <v>-1</v>
      </c>
      <c r="AC537" t="s">
        <v>99</v>
      </c>
      <c r="AD537">
        <v>2</v>
      </c>
      <c r="AE537">
        <v>5</v>
      </c>
      <c r="AF537">
        <v>0</v>
      </c>
      <c r="AG537">
        <v>1.5569999999999999</v>
      </c>
      <c r="AH537">
        <v>0.15</v>
      </c>
      <c r="AI537">
        <v>-1</v>
      </c>
      <c r="AL537" t="str">
        <f t="shared" si="51"/>
        <v/>
      </c>
      <c r="AM537">
        <f>VLOOKUP(TRIM(N537),'[1]All - Durations'!$E$2:$H$109,4,FALSE)</f>
        <v>0.94299999999999995</v>
      </c>
      <c r="AN537" t="e">
        <f t="shared" si="52"/>
        <v>#VALUE!</v>
      </c>
      <c r="AO537" t="str">
        <f t="shared" si="53"/>
        <v/>
      </c>
    </row>
    <row r="538" spans="1:41" x14ac:dyDescent="0.25">
      <c r="A538">
        <v>259</v>
      </c>
      <c r="B538" t="s">
        <v>35</v>
      </c>
      <c r="C538">
        <v>3</v>
      </c>
      <c r="D538" t="s">
        <v>36</v>
      </c>
      <c r="E538">
        <v>4</v>
      </c>
      <c r="F538" t="s">
        <v>37</v>
      </c>
      <c r="G538">
        <v>8</v>
      </c>
      <c r="H538">
        <v>13</v>
      </c>
      <c r="I538">
        <v>1</v>
      </c>
      <c r="J538">
        <v>33</v>
      </c>
      <c r="K538">
        <v>26</v>
      </c>
      <c r="L538">
        <v>60</v>
      </c>
      <c r="M538">
        <v>2</v>
      </c>
      <c r="N538" t="s">
        <v>157</v>
      </c>
      <c r="O538" t="s">
        <v>151</v>
      </c>
      <c r="P538" t="s">
        <v>158</v>
      </c>
      <c r="Q538" t="s">
        <v>159</v>
      </c>
      <c r="R538" t="s">
        <v>160</v>
      </c>
      <c r="S538" t="s">
        <v>43</v>
      </c>
      <c r="T538" t="s">
        <v>161</v>
      </c>
      <c r="U538">
        <v>4</v>
      </c>
      <c r="V538" t="s">
        <v>103</v>
      </c>
      <c r="W538" t="s">
        <v>149</v>
      </c>
      <c r="X538" t="s">
        <v>209</v>
      </c>
      <c r="Y538">
        <v>1</v>
      </c>
      <c r="Z538">
        <v>4</v>
      </c>
      <c r="AA538">
        <v>44.1</v>
      </c>
      <c r="AB538">
        <v>-1</v>
      </c>
      <c r="AC538" t="s">
        <v>161</v>
      </c>
      <c r="AD538">
        <v>1</v>
      </c>
      <c r="AE538">
        <v>4</v>
      </c>
      <c r="AF538">
        <v>1</v>
      </c>
      <c r="AG538">
        <v>1.7949999999999999</v>
      </c>
      <c r="AH538">
        <v>0.4</v>
      </c>
      <c r="AI538">
        <v>-1</v>
      </c>
      <c r="AL538" t="str">
        <f t="shared" si="51"/>
        <v/>
      </c>
      <c r="AM538">
        <f>VLOOKUP(TRIM(N538),'[1]All - Durations'!$E$2:$H$109,4,FALSE)</f>
        <v>1.0549999999999999</v>
      </c>
      <c r="AN538" t="e">
        <f t="shared" si="52"/>
        <v>#VALUE!</v>
      </c>
      <c r="AO538" t="str">
        <f t="shared" si="53"/>
        <v/>
      </c>
    </row>
    <row r="539" spans="1:41" x14ac:dyDescent="0.25">
      <c r="A539">
        <v>259</v>
      </c>
      <c r="B539" t="s">
        <v>35</v>
      </c>
      <c r="C539">
        <v>3</v>
      </c>
      <c r="D539" t="s">
        <v>36</v>
      </c>
      <c r="E539">
        <v>4</v>
      </c>
      <c r="F539" t="s">
        <v>37</v>
      </c>
      <c r="G539">
        <v>8</v>
      </c>
      <c r="H539">
        <v>13</v>
      </c>
      <c r="I539">
        <v>1</v>
      </c>
      <c r="J539">
        <v>34</v>
      </c>
      <c r="K539">
        <v>28</v>
      </c>
      <c r="L539">
        <v>14</v>
      </c>
      <c r="M539">
        <v>1</v>
      </c>
      <c r="N539" t="s">
        <v>184</v>
      </c>
      <c r="O539" t="s">
        <v>151</v>
      </c>
      <c r="P539" t="s">
        <v>168</v>
      </c>
      <c r="Q539" t="s">
        <v>169</v>
      </c>
      <c r="R539" t="s">
        <v>154</v>
      </c>
      <c r="S539" t="s">
        <v>92</v>
      </c>
      <c r="T539" t="s">
        <v>141</v>
      </c>
      <c r="U539">
        <v>4</v>
      </c>
      <c r="V539" t="s">
        <v>62</v>
      </c>
      <c r="W539" t="s">
        <v>111</v>
      </c>
      <c r="X539" t="s">
        <v>102</v>
      </c>
      <c r="Y539">
        <v>2</v>
      </c>
      <c r="Z539">
        <v>4</v>
      </c>
      <c r="AA539">
        <v>44.1</v>
      </c>
      <c r="AB539">
        <v>-1</v>
      </c>
      <c r="AC539" t="s">
        <v>111</v>
      </c>
      <c r="AD539">
        <v>4</v>
      </c>
      <c r="AE539">
        <v>1</v>
      </c>
      <c r="AF539">
        <v>0</v>
      </c>
      <c r="AG539">
        <v>2.0630000000000002</v>
      </c>
      <c r="AH539">
        <v>0.36699999999999999</v>
      </c>
      <c r="AI539">
        <v>-1</v>
      </c>
      <c r="AL539" t="str">
        <f t="shared" si="51"/>
        <v/>
      </c>
      <c r="AM539">
        <f>VLOOKUP(TRIM(N539),'[1]All - Durations'!$E$2:$H$109,4,FALSE)</f>
        <v>0.91</v>
      </c>
      <c r="AN539" t="e">
        <f t="shared" si="52"/>
        <v>#VALUE!</v>
      </c>
      <c r="AO539" t="str">
        <f t="shared" si="53"/>
        <v/>
      </c>
    </row>
    <row r="540" spans="1:41" x14ac:dyDescent="0.25">
      <c r="A540">
        <v>259</v>
      </c>
      <c r="B540" t="s">
        <v>35</v>
      </c>
      <c r="C540">
        <v>3</v>
      </c>
      <c r="D540" t="s">
        <v>36</v>
      </c>
      <c r="E540">
        <v>4</v>
      </c>
      <c r="F540" t="s">
        <v>37</v>
      </c>
      <c r="G540">
        <v>8</v>
      </c>
      <c r="H540">
        <v>13</v>
      </c>
      <c r="I540">
        <v>1</v>
      </c>
      <c r="J540">
        <v>35</v>
      </c>
      <c r="K540">
        <v>32</v>
      </c>
      <c r="L540">
        <v>52</v>
      </c>
      <c r="M540">
        <v>2</v>
      </c>
      <c r="N540" t="s">
        <v>188</v>
      </c>
      <c r="O540" t="s">
        <v>151</v>
      </c>
      <c r="P540" t="s">
        <v>177</v>
      </c>
      <c r="Q540" t="s">
        <v>178</v>
      </c>
      <c r="R540" t="s">
        <v>160</v>
      </c>
      <c r="S540" t="s">
        <v>43</v>
      </c>
      <c r="T540" t="s">
        <v>108</v>
      </c>
      <c r="U540">
        <v>1</v>
      </c>
      <c r="V540" t="s">
        <v>139</v>
      </c>
      <c r="W540" t="s">
        <v>137</v>
      </c>
      <c r="X540" t="s">
        <v>53</v>
      </c>
      <c r="Y540">
        <v>1</v>
      </c>
      <c r="Z540">
        <v>4</v>
      </c>
      <c r="AA540">
        <v>44.1</v>
      </c>
      <c r="AB540">
        <v>-1</v>
      </c>
      <c r="AC540" t="s">
        <v>108</v>
      </c>
      <c r="AD540">
        <v>1</v>
      </c>
      <c r="AE540">
        <v>1</v>
      </c>
      <c r="AF540">
        <v>1</v>
      </c>
      <c r="AG540">
        <v>1.6859999999999999</v>
      </c>
      <c r="AH540">
        <v>0.63400000000000001</v>
      </c>
      <c r="AI540">
        <v>-1</v>
      </c>
      <c r="AL540" t="str">
        <f t="shared" si="51"/>
        <v/>
      </c>
      <c r="AM540">
        <f>VLOOKUP(TRIM(N540),'[1]All - Durations'!$E$2:$H$109,4,FALSE)</f>
        <v>0.90400000000000003</v>
      </c>
      <c r="AN540" t="e">
        <f t="shared" si="52"/>
        <v>#VALUE!</v>
      </c>
      <c r="AO540" t="str">
        <f t="shared" si="53"/>
        <v/>
      </c>
    </row>
    <row r="541" spans="1:41" x14ac:dyDescent="0.25">
      <c r="A541">
        <v>259</v>
      </c>
      <c r="B541" t="s">
        <v>35</v>
      </c>
      <c r="C541">
        <v>3</v>
      </c>
      <c r="D541" t="s">
        <v>36</v>
      </c>
      <c r="E541">
        <v>4</v>
      </c>
      <c r="F541" t="s">
        <v>37</v>
      </c>
      <c r="G541">
        <v>8</v>
      </c>
      <c r="H541">
        <v>13</v>
      </c>
      <c r="I541">
        <v>1</v>
      </c>
      <c r="J541">
        <v>36</v>
      </c>
      <c r="K541">
        <v>25</v>
      </c>
      <c r="L541">
        <v>59</v>
      </c>
      <c r="M541">
        <v>2</v>
      </c>
      <c r="N541" t="s">
        <v>171</v>
      </c>
      <c r="O541" t="s">
        <v>151</v>
      </c>
      <c r="P541" t="s">
        <v>158</v>
      </c>
      <c r="Q541" t="s">
        <v>159</v>
      </c>
      <c r="R541" t="s">
        <v>170</v>
      </c>
      <c r="S541" t="s">
        <v>59</v>
      </c>
      <c r="T541" t="s">
        <v>103</v>
      </c>
      <c r="U541">
        <v>5</v>
      </c>
      <c r="V541" t="s">
        <v>146</v>
      </c>
      <c r="W541" t="s">
        <v>172</v>
      </c>
      <c r="X541" t="s">
        <v>74</v>
      </c>
      <c r="Y541">
        <v>2</v>
      </c>
      <c r="Z541">
        <v>4</v>
      </c>
      <c r="AA541">
        <v>44.1</v>
      </c>
      <c r="AB541">
        <v>-1</v>
      </c>
      <c r="AC541" t="s">
        <v>103</v>
      </c>
      <c r="AD541">
        <v>1</v>
      </c>
      <c r="AE541">
        <v>5</v>
      </c>
      <c r="AF541">
        <v>1</v>
      </c>
      <c r="AG541">
        <v>1.647</v>
      </c>
      <c r="AH541">
        <v>0.16700000000000001</v>
      </c>
      <c r="AI541">
        <v>-1</v>
      </c>
      <c r="AL541" t="str">
        <f t="shared" si="51"/>
        <v/>
      </c>
      <c r="AM541">
        <f>VLOOKUP(TRIM(N541),'[1]All - Durations'!$E$2:$H$109,4,FALSE)</f>
        <v>0.92300000000000004</v>
      </c>
      <c r="AN541" t="e">
        <f t="shared" si="52"/>
        <v>#VALUE!</v>
      </c>
      <c r="AO541" t="str">
        <f t="shared" si="53"/>
        <v/>
      </c>
    </row>
    <row r="542" spans="1:41" x14ac:dyDescent="0.25">
      <c r="A542">
        <v>259</v>
      </c>
      <c r="B542" t="s">
        <v>35</v>
      </c>
      <c r="C542">
        <v>3</v>
      </c>
      <c r="D542" t="s">
        <v>36</v>
      </c>
      <c r="E542">
        <v>4</v>
      </c>
      <c r="F542" t="s">
        <v>37</v>
      </c>
      <c r="G542">
        <v>8</v>
      </c>
      <c r="H542">
        <v>13</v>
      </c>
      <c r="I542">
        <v>1</v>
      </c>
      <c r="J542">
        <v>37</v>
      </c>
      <c r="K542">
        <v>40</v>
      </c>
      <c r="L542">
        <v>8</v>
      </c>
      <c r="M542">
        <v>1</v>
      </c>
      <c r="N542" t="s">
        <v>195</v>
      </c>
      <c r="O542" t="s">
        <v>39</v>
      </c>
      <c r="P542" t="s">
        <v>196</v>
      </c>
      <c r="Q542" t="s">
        <v>197</v>
      </c>
      <c r="R542" t="s">
        <v>42</v>
      </c>
      <c r="S542" t="s">
        <v>43</v>
      </c>
      <c r="T542" t="s">
        <v>85</v>
      </c>
      <c r="U542">
        <v>4</v>
      </c>
      <c r="V542" t="s">
        <v>44</v>
      </c>
      <c r="W542" t="s">
        <v>139</v>
      </c>
      <c r="X542" t="s">
        <v>56</v>
      </c>
      <c r="Y542">
        <v>2</v>
      </c>
      <c r="Z542">
        <v>4</v>
      </c>
      <c r="AA542">
        <v>44.1</v>
      </c>
      <c r="AB542">
        <v>-1</v>
      </c>
      <c r="AC542" t="s">
        <v>85</v>
      </c>
      <c r="AD542">
        <v>1</v>
      </c>
      <c r="AE542">
        <v>4</v>
      </c>
      <c r="AF542">
        <v>1</v>
      </c>
      <c r="AG542">
        <v>0.376</v>
      </c>
      <c r="AH542">
        <v>0.23300000000000001</v>
      </c>
      <c r="AI542">
        <v>-1</v>
      </c>
      <c r="AL542" t="str">
        <f t="shared" si="51"/>
        <v/>
      </c>
      <c r="AM542">
        <f>VLOOKUP(TRIM(N542),'[1]All - Durations'!$E$2:$H$109,4,FALSE)</f>
        <v>0.92600000000000005</v>
      </c>
      <c r="AN542" t="e">
        <f t="shared" si="52"/>
        <v>#VALUE!</v>
      </c>
      <c r="AO542" t="str">
        <f t="shared" si="53"/>
        <v/>
      </c>
    </row>
    <row r="543" spans="1:41" x14ac:dyDescent="0.25">
      <c r="A543">
        <v>259</v>
      </c>
      <c r="B543" t="s">
        <v>35</v>
      </c>
      <c r="C543">
        <v>3</v>
      </c>
      <c r="D543" t="s">
        <v>36</v>
      </c>
      <c r="E543">
        <v>4</v>
      </c>
      <c r="F543" t="s">
        <v>37</v>
      </c>
      <c r="G543">
        <v>8</v>
      </c>
      <c r="H543">
        <v>13</v>
      </c>
      <c r="I543">
        <v>1</v>
      </c>
      <c r="J543">
        <v>38</v>
      </c>
      <c r="K543">
        <v>46</v>
      </c>
      <c r="L543">
        <v>46</v>
      </c>
      <c r="M543">
        <v>2</v>
      </c>
      <c r="N543" t="s">
        <v>189</v>
      </c>
      <c r="O543" t="s">
        <v>39</v>
      </c>
      <c r="P543" t="s">
        <v>190</v>
      </c>
      <c r="Q543" t="s">
        <v>191</v>
      </c>
      <c r="R543" t="s">
        <v>42</v>
      </c>
      <c r="S543" t="s">
        <v>43</v>
      </c>
      <c r="T543" t="s">
        <v>45</v>
      </c>
      <c r="U543">
        <v>2</v>
      </c>
      <c r="V543" t="s">
        <v>67</v>
      </c>
      <c r="W543" t="s">
        <v>119</v>
      </c>
      <c r="X543" t="s">
        <v>204</v>
      </c>
      <c r="Y543">
        <v>2</v>
      </c>
      <c r="Z543">
        <v>4</v>
      </c>
      <c r="AA543">
        <v>44.1</v>
      </c>
      <c r="AB543">
        <v>-1</v>
      </c>
      <c r="AC543" t="s">
        <v>119</v>
      </c>
      <c r="AD543">
        <v>4</v>
      </c>
      <c r="AE543">
        <v>1</v>
      </c>
      <c r="AF543">
        <v>0</v>
      </c>
      <c r="AG543">
        <v>2.262</v>
      </c>
      <c r="AH543">
        <v>0.56699999999999995</v>
      </c>
      <c r="AI543">
        <v>-1</v>
      </c>
      <c r="AL543" t="str">
        <f t="shared" si="51"/>
        <v/>
      </c>
      <c r="AM543">
        <f>VLOOKUP(TRIM(N543),'[1]All - Durations'!$E$2:$H$109,4,FALSE)</f>
        <v>1.091</v>
      </c>
      <c r="AN543" t="e">
        <f t="shared" si="52"/>
        <v>#VALUE!</v>
      </c>
      <c r="AO543" t="str">
        <f t="shared" si="53"/>
        <v/>
      </c>
    </row>
    <row r="544" spans="1:41" x14ac:dyDescent="0.25">
      <c r="A544">
        <v>259</v>
      </c>
      <c r="B544" t="s">
        <v>35</v>
      </c>
      <c r="C544">
        <v>3</v>
      </c>
      <c r="D544" t="s">
        <v>36</v>
      </c>
      <c r="E544">
        <v>4</v>
      </c>
      <c r="F544" t="s">
        <v>37</v>
      </c>
      <c r="G544">
        <v>8</v>
      </c>
      <c r="H544">
        <v>13</v>
      </c>
      <c r="I544">
        <v>1</v>
      </c>
      <c r="J544">
        <v>39</v>
      </c>
      <c r="K544">
        <v>39</v>
      </c>
      <c r="L544">
        <v>7</v>
      </c>
      <c r="M544">
        <v>1</v>
      </c>
      <c r="N544" t="s">
        <v>205</v>
      </c>
      <c r="O544" t="s">
        <v>39</v>
      </c>
      <c r="P544" t="s">
        <v>196</v>
      </c>
      <c r="Q544" t="s">
        <v>197</v>
      </c>
      <c r="R544" t="s">
        <v>58</v>
      </c>
      <c r="S544" t="s">
        <v>59</v>
      </c>
      <c r="T544" t="s">
        <v>156</v>
      </c>
      <c r="U544">
        <v>4</v>
      </c>
      <c r="V544" t="s">
        <v>85</v>
      </c>
      <c r="W544" t="s">
        <v>187</v>
      </c>
      <c r="X544" t="s">
        <v>214</v>
      </c>
      <c r="Y544">
        <v>1</v>
      </c>
      <c r="Z544">
        <v>4</v>
      </c>
      <c r="AA544">
        <v>44.1</v>
      </c>
      <c r="AB544">
        <v>-1</v>
      </c>
      <c r="AC544" t="s">
        <v>214</v>
      </c>
      <c r="AD544">
        <v>4</v>
      </c>
      <c r="AE544">
        <v>1</v>
      </c>
      <c r="AF544">
        <v>0</v>
      </c>
      <c r="AG544">
        <v>2.5329999999999999</v>
      </c>
      <c r="AH544">
        <v>0.217</v>
      </c>
      <c r="AI544">
        <v>-1</v>
      </c>
      <c r="AL544" t="str">
        <f t="shared" si="51"/>
        <v/>
      </c>
      <c r="AM544">
        <f>VLOOKUP(TRIM(N544),'[1]All - Durations'!$E$2:$H$109,4,FALSE)</f>
        <v>0.94499999999999995</v>
      </c>
      <c r="AN544" t="e">
        <f t="shared" si="52"/>
        <v>#VALUE!</v>
      </c>
      <c r="AO544" t="str">
        <f t="shared" si="53"/>
        <v/>
      </c>
    </row>
    <row r="545" spans="1:41" x14ac:dyDescent="0.25">
      <c r="A545">
        <v>259</v>
      </c>
      <c r="B545" t="s">
        <v>35</v>
      </c>
      <c r="C545">
        <v>3</v>
      </c>
      <c r="D545" t="s">
        <v>36</v>
      </c>
      <c r="E545">
        <v>4</v>
      </c>
      <c r="F545" t="s">
        <v>37</v>
      </c>
      <c r="G545">
        <v>8</v>
      </c>
      <c r="H545">
        <v>13</v>
      </c>
      <c r="I545">
        <v>1</v>
      </c>
      <c r="J545">
        <v>40</v>
      </c>
      <c r="K545">
        <v>38</v>
      </c>
      <c r="L545">
        <v>12</v>
      </c>
      <c r="M545">
        <v>1</v>
      </c>
      <c r="N545" t="s">
        <v>206</v>
      </c>
      <c r="O545" t="s">
        <v>39</v>
      </c>
      <c r="P545" t="s">
        <v>207</v>
      </c>
      <c r="Q545" t="s">
        <v>208</v>
      </c>
      <c r="R545" t="s">
        <v>42</v>
      </c>
      <c r="S545" t="s">
        <v>43</v>
      </c>
      <c r="T545" t="s">
        <v>131</v>
      </c>
      <c r="U545">
        <v>4</v>
      </c>
      <c r="V545" t="s">
        <v>106</v>
      </c>
      <c r="W545" t="s">
        <v>211</v>
      </c>
      <c r="X545" t="s">
        <v>124</v>
      </c>
      <c r="Y545">
        <v>1</v>
      </c>
      <c r="Z545">
        <v>4</v>
      </c>
      <c r="AA545">
        <v>44.1</v>
      </c>
      <c r="AB545">
        <v>-1</v>
      </c>
      <c r="AC545" t="s">
        <v>106</v>
      </c>
      <c r="AD545">
        <v>2</v>
      </c>
      <c r="AE545">
        <v>2</v>
      </c>
      <c r="AF545">
        <v>0</v>
      </c>
      <c r="AG545">
        <v>1.897</v>
      </c>
      <c r="AH545">
        <v>0.23300000000000001</v>
      </c>
      <c r="AI545">
        <v>-1</v>
      </c>
      <c r="AL545" t="str">
        <f t="shared" si="51"/>
        <v/>
      </c>
      <c r="AM545">
        <f>VLOOKUP(TRIM(N545),'[1]All - Durations'!$E$2:$H$109,4,FALSE)</f>
        <v>0.82699999999999996</v>
      </c>
      <c r="AN545" t="e">
        <f t="shared" si="52"/>
        <v>#VALUE!</v>
      </c>
      <c r="AO545" t="str">
        <f t="shared" si="53"/>
        <v/>
      </c>
    </row>
    <row r="546" spans="1:41" x14ac:dyDescent="0.25">
      <c r="A546">
        <v>259</v>
      </c>
      <c r="B546" t="s">
        <v>35</v>
      </c>
      <c r="C546">
        <v>3</v>
      </c>
      <c r="D546" t="s">
        <v>36</v>
      </c>
      <c r="E546">
        <v>4</v>
      </c>
      <c r="F546" t="s">
        <v>37</v>
      </c>
      <c r="G546">
        <v>8</v>
      </c>
      <c r="H546">
        <v>13</v>
      </c>
      <c r="I546">
        <v>1</v>
      </c>
      <c r="J546">
        <v>41</v>
      </c>
      <c r="K546">
        <v>42</v>
      </c>
      <c r="L546">
        <v>42</v>
      </c>
      <c r="M546">
        <v>2</v>
      </c>
      <c r="N546" t="s">
        <v>216</v>
      </c>
      <c r="O546" t="s">
        <v>39</v>
      </c>
      <c r="P546" t="s">
        <v>199</v>
      </c>
      <c r="Q546" t="s">
        <v>200</v>
      </c>
      <c r="R546" t="s">
        <v>91</v>
      </c>
      <c r="S546" t="s">
        <v>92</v>
      </c>
      <c r="T546" t="s">
        <v>98</v>
      </c>
      <c r="U546">
        <v>4</v>
      </c>
      <c r="V546" t="s">
        <v>80</v>
      </c>
      <c r="W546" t="s">
        <v>95</v>
      </c>
      <c r="X546" t="s">
        <v>47</v>
      </c>
      <c r="Y546">
        <v>2</v>
      </c>
      <c r="Z546">
        <v>4</v>
      </c>
      <c r="AA546">
        <v>44.1</v>
      </c>
      <c r="AB546">
        <v>-1</v>
      </c>
      <c r="AC546" t="s">
        <v>98</v>
      </c>
      <c r="AD546">
        <v>1</v>
      </c>
      <c r="AE546">
        <v>4</v>
      </c>
      <c r="AF546">
        <v>1</v>
      </c>
      <c r="AG546">
        <v>0.745</v>
      </c>
      <c r="AH546">
        <v>0.183</v>
      </c>
      <c r="AI546">
        <v>-1</v>
      </c>
      <c r="AL546" t="str">
        <f t="shared" si="51"/>
        <v/>
      </c>
      <c r="AM546">
        <f>VLOOKUP(TRIM(N546),'[1]All - Durations'!$E$2:$H$109,4,FALSE)</f>
        <v>0.85899999999999999</v>
      </c>
      <c r="AN546" t="e">
        <f t="shared" si="52"/>
        <v>#VALUE!</v>
      </c>
      <c r="AO546" t="str">
        <f t="shared" si="53"/>
        <v/>
      </c>
    </row>
    <row r="547" spans="1:41" x14ac:dyDescent="0.25">
      <c r="A547">
        <v>259</v>
      </c>
      <c r="B547" t="s">
        <v>35</v>
      </c>
      <c r="C547">
        <v>3</v>
      </c>
      <c r="D547" t="s">
        <v>36</v>
      </c>
      <c r="E547">
        <v>4</v>
      </c>
      <c r="F547" t="s">
        <v>37</v>
      </c>
      <c r="G547">
        <v>8</v>
      </c>
      <c r="H547">
        <v>13</v>
      </c>
      <c r="I547">
        <v>1</v>
      </c>
      <c r="J547">
        <v>42</v>
      </c>
      <c r="K547">
        <v>43</v>
      </c>
      <c r="L547">
        <v>5</v>
      </c>
      <c r="M547">
        <v>1</v>
      </c>
      <c r="N547" t="s">
        <v>192</v>
      </c>
      <c r="O547" t="s">
        <v>39</v>
      </c>
      <c r="P547" t="s">
        <v>193</v>
      </c>
      <c r="Q547" t="s">
        <v>194</v>
      </c>
      <c r="R547" t="s">
        <v>51</v>
      </c>
      <c r="S547" t="s">
        <v>52</v>
      </c>
      <c r="T547" t="s">
        <v>144</v>
      </c>
      <c r="U547">
        <v>5</v>
      </c>
      <c r="V547" t="s">
        <v>185</v>
      </c>
      <c r="W547" t="s">
        <v>46</v>
      </c>
      <c r="X547" t="s">
        <v>155</v>
      </c>
      <c r="Y547">
        <v>1</v>
      </c>
      <c r="Z547">
        <v>4</v>
      </c>
      <c r="AA547">
        <v>44.1</v>
      </c>
      <c r="AB547">
        <v>-1</v>
      </c>
      <c r="AC547" t="s">
        <v>185</v>
      </c>
      <c r="AD547">
        <v>2</v>
      </c>
      <c r="AE547">
        <v>1</v>
      </c>
      <c r="AF547">
        <v>0</v>
      </c>
      <c r="AG547">
        <v>2.3879999999999999</v>
      </c>
      <c r="AH547">
        <v>0.26700000000000002</v>
      </c>
      <c r="AI547">
        <v>-1</v>
      </c>
      <c r="AL547" t="str">
        <f t="shared" si="51"/>
        <v/>
      </c>
      <c r="AM547">
        <f>VLOOKUP(TRIM(N547),'[1]All - Durations'!$E$2:$H$109,4,FALSE)</f>
        <v>1.0669999999999999</v>
      </c>
      <c r="AN547" t="e">
        <f t="shared" si="52"/>
        <v>#VALUE!</v>
      </c>
      <c r="AO547" t="str">
        <f t="shared" si="53"/>
        <v/>
      </c>
    </row>
    <row r="548" spans="1:41" x14ac:dyDescent="0.25">
      <c r="A548">
        <v>259</v>
      </c>
      <c r="B548" t="s">
        <v>35</v>
      </c>
      <c r="C548">
        <v>3</v>
      </c>
      <c r="D548" t="s">
        <v>36</v>
      </c>
      <c r="E548">
        <v>4</v>
      </c>
      <c r="F548" t="s">
        <v>37</v>
      </c>
      <c r="G548">
        <v>8</v>
      </c>
      <c r="H548">
        <v>13</v>
      </c>
      <c r="I548">
        <v>1</v>
      </c>
      <c r="J548">
        <v>43</v>
      </c>
      <c r="K548">
        <v>47</v>
      </c>
      <c r="L548">
        <v>9</v>
      </c>
      <c r="M548">
        <v>1</v>
      </c>
      <c r="N548" t="s">
        <v>212</v>
      </c>
      <c r="O548" t="s">
        <v>39</v>
      </c>
      <c r="P548" t="s">
        <v>202</v>
      </c>
      <c r="Q548" t="s">
        <v>203</v>
      </c>
      <c r="R548" t="s">
        <v>58</v>
      </c>
      <c r="S548" t="s">
        <v>59</v>
      </c>
      <c r="T548" t="s">
        <v>147</v>
      </c>
      <c r="U548">
        <v>2</v>
      </c>
      <c r="V548" t="s">
        <v>156</v>
      </c>
      <c r="W548" t="s">
        <v>74</v>
      </c>
      <c r="X548" t="s">
        <v>75</v>
      </c>
      <c r="Y548">
        <v>2</v>
      </c>
      <c r="Z548">
        <v>4</v>
      </c>
      <c r="AA548">
        <v>44.1</v>
      </c>
      <c r="AB548">
        <v>-1</v>
      </c>
      <c r="AC548" t="s">
        <v>147</v>
      </c>
      <c r="AD548">
        <v>1</v>
      </c>
      <c r="AE548">
        <v>2</v>
      </c>
      <c r="AF548">
        <v>1</v>
      </c>
      <c r="AG548">
        <v>1.018</v>
      </c>
      <c r="AH548">
        <v>0.15</v>
      </c>
      <c r="AI548">
        <v>-1</v>
      </c>
      <c r="AL548" t="str">
        <f t="shared" si="51"/>
        <v/>
      </c>
      <c r="AM548">
        <f>VLOOKUP(TRIM(N548),'[1]All - Durations'!$E$2:$H$109,4,FALSE)</f>
        <v>0.93500000000000005</v>
      </c>
      <c r="AN548" t="e">
        <f t="shared" si="52"/>
        <v>#VALUE!</v>
      </c>
      <c r="AO548" t="str">
        <f t="shared" si="53"/>
        <v/>
      </c>
    </row>
    <row r="549" spans="1:41" x14ac:dyDescent="0.25">
      <c r="A549">
        <v>259</v>
      </c>
      <c r="B549" t="s">
        <v>35</v>
      </c>
      <c r="C549">
        <v>3</v>
      </c>
      <c r="D549" t="s">
        <v>36</v>
      </c>
      <c r="E549">
        <v>4</v>
      </c>
      <c r="F549" t="s">
        <v>37</v>
      </c>
      <c r="G549">
        <v>8</v>
      </c>
      <c r="H549">
        <v>13</v>
      </c>
      <c r="I549">
        <v>1</v>
      </c>
      <c r="J549">
        <v>44</v>
      </c>
      <c r="K549">
        <v>44</v>
      </c>
      <c r="L549">
        <v>6</v>
      </c>
      <c r="M549">
        <v>1</v>
      </c>
      <c r="N549" t="s">
        <v>215</v>
      </c>
      <c r="O549" t="s">
        <v>39</v>
      </c>
      <c r="P549" t="s">
        <v>193</v>
      </c>
      <c r="Q549" t="s">
        <v>194</v>
      </c>
      <c r="R549" t="s">
        <v>42</v>
      </c>
      <c r="S549" t="s">
        <v>43</v>
      </c>
      <c r="T549" t="s">
        <v>185</v>
      </c>
      <c r="U549">
        <v>5</v>
      </c>
      <c r="V549" t="s">
        <v>131</v>
      </c>
      <c r="W549" t="s">
        <v>141</v>
      </c>
      <c r="X549" t="s">
        <v>128</v>
      </c>
      <c r="Y549">
        <v>2</v>
      </c>
      <c r="Z549">
        <v>4</v>
      </c>
      <c r="AA549">
        <v>44.1</v>
      </c>
      <c r="AB549">
        <v>-1</v>
      </c>
      <c r="AC549" t="s">
        <v>185</v>
      </c>
      <c r="AD549">
        <v>1</v>
      </c>
      <c r="AE549">
        <v>5</v>
      </c>
      <c r="AF549">
        <v>1</v>
      </c>
      <c r="AG549">
        <v>2.2490000000000001</v>
      </c>
      <c r="AH549">
        <v>0.48299999999999998</v>
      </c>
      <c r="AI549">
        <v>-1</v>
      </c>
      <c r="AL549" t="str">
        <f t="shared" si="51"/>
        <v/>
      </c>
      <c r="AM549">
        <f>VLOOKUP(TRIM(N549),'[1]All - Durations'!$E$2:$H$109,4,FALSE)</f>
        <v>0.88200000000000001</v>
      </c>
      <c r="AN549" t="e">
        <f t="shared" si="52"/>
        <v>#VALUE!</v>
      </c>
      <c r="AO549" t="str">
        <f t="shared" si="53"/>
        <v/>
      </c>
    </row>
    <row r="550" spans="1:41" x14ac:dyDescent="0.25">
      <c r="A550">
        <v>259</v>
      </c>
      <c r="B550" t="s">
        <v>35</v>
      </c>
      <c r="C550">
        <v>3</v>
      </c>
      <c r="D550" t="s">
        <v>36</v>
      </c>
      <c r="E550">
        <v>4</v>
      </c>
      <c r="F550" t="s">
        <v>37</v>
      </c>
      <c r="G550">
        <v>8</v>
      </c>
      <c r="H550">
        <v>13</v>
      </c>
      <c r="I550">
        <v>1</v>
      </c>
      <c r="J550">
        <v>45</v>
      </c>
      <c r="K550">
        <v>48</v>
      </c>
      <c r="L550">
        <v>10</v>
      </c>
      <c r="M550">
        <v>1</v>
      </c>
      <c r="N550" t="s">
        <v>201</v>
      </c>
      <c r="O550" t="s">
        <v>39</v>
      </c>
      <c r="P550" t="s">
        <v>202</v>
      </c>
      <c r="Q550" t="s">
        <v>203</v>
      </c>
      <c r="R550" t="s">
        <v>51</v>
      </c>
      <c r="S550" t="s">
        <v>52</v>
      </c>
      <c r="T550" t="s">
        <v>172</v>
      </c>
      <c r="U550">
        <v>2</v>
      </c>
      <c r="V550" t="s">
        <v>147</v>
      </c>
      <c r="W550" t="s">
        <v>110</v>
      </c>
      <c r="X550" t="s">
        <v>100</v>
      </c>
      <c r="Y550">
        <v>1</v>
      </c>
      <c r="Z550">
        <v>4</v>
      </c>
      <c r="AA550">
        <v>44.1</v>
      </c>
      <c r="AB550">
        <v>-1</v>
      </c>
      <c r="AC550" t="s">
        <v>172</v>
      </c>
      <c r="AD550">
        <v>1</v>
      </c>
      <c r="AE550">
        <v>2</v>
      </c>
      <c r="AF550">
        <v>1</v>
      </c>
      <c r="AG550">
        <v>0.89600000000000002</v>
      </c>
      <c r="AH550">
        <v>0.63400000000000001</v>
      </c>
      <c r="AI550">
        <v>-1</v>
      </c>
      <c r="AL550" t="str">
        <f t="shared" si="51"/>
        <v/>
      </c>
      <c r="AM550">
        <f>VLOOKUP(TRIM(N550),'[1]All - Durations'!$E$2:$H$109,4,FALSE)</f>
        <v>0.997</v>
      </c>
      <c r="AN550" t="e">
        <f t="shared" si="52"/>
        <v>#VALUE!</v>
      </c>
      <c r="AO550" t="str">
        <f t="shared" si="53"/>
        <v/>
      </c>
    </row>
    <row r="551" spans="1:41" x14ac:dyDescent="0.25">
      <c r="A551">
        <v>259</v>
      </c>
      <c r="B551" t="s">
        <v>35</v>
      </c>
      <c r="C551">
        <v>3</v>
      </c>
      <c r="D551" t="s">
        <v>36</v>
      </c>
      <c r="E551">
        <v>4</v>
      </c>
      <c r="F551" t="s">
        <v>37</v>
      </c>
      <c r="G551">
        <v>8</v>
      </c>
      <c r="H551">
        <v>13</v>
      </c>
      <c r="I551">
        <v>1</v>
      </c>
      <c r="J551">
        <v>46</v>
      </c>
      <c r="K551">
        <v>45</v>
      </c>
      <c r="L551">
        <v>45</v>
      </c>
      <c r="M551">
        <v>2</v>
      </c>
      <c r="N551" t="s">
        <v>210</v>
      </c>
      <c r="O551" t="s">
        <v>39</v>
      </c>
      <c r="P551" t="s">
        <v>190</v>
      </c>
      <c r="Q551" t="s">
        <v>191</v>
      </c>
      <c r="R551" t="s">
        <v>51</v>
      </c>
      <c r="S551" t="s">
        <v>52</v>
      </c>
      <c r="T551" t="s">
        <v>149</v>
      </c>
      <c r="U551">
        <v>2</v>
      </c>
      <c r="V551" t="s">
        <v>45</v>
      </c>
      <c r="W551" t="s">
        <v>130</v>
      </c>
      <c r="X551" t="s">
        <v>183</v>
      </c>
      <c r="Y551">
        <v>1</v>
      </c>
      <c r="Z551">
        <v>4</v>
      </c>
      <c r="AA551">
        <v>44.1</v>
      </c>
      <c r="AB551">
        <v>-1</v>
      </c>
      <c r="AC551" t="s">
        <v>149</v>
      </c>
      <c r="AD551">
        <v>1</v>
      </c>
      <c r="AE551">
        <v>2</v>
      </c>
      <c r="AF551">
        <v>1</v>
      </c>
      <c r="AG551">
        <v>1.9410000000000001</v>
      </c>
      <c r="AH551">
        <v>0.46700000000000003</v>
      </c>
      <c r="AI551">
        <v>-1</v>
      </c>
      <c r="AL551" t="str">
        <f t="shared" si="51"/>
        <v/>
      </c>
      <c r="AM551">
        <f>VLOOKUP(TRIM(N551),'[1]All - Durations'!$E$2:$H$109,4,FALSE)</f>
        <v>1.004</v>
      </c>
      <c r="AN551" t="e">
        <f t="shared" si="52"/>
        <v>#VALUE!</v>
      </c>
      <c r="AO551" t="str">
        <f t="shared" si="53"/>
        <v/>
      </c>
    </row>
    <row r="552" spans="1:41" x14ac:dyDescent="0.25">
      <c r="A552">
        <v>259</v>
      </c>
      <c r="B552" t="s">
        <v>35</v>
      </c>
      <c r="C552">
        <v>3</v>
      </c>
      <c r="D552" t="s">
        <v>36</v>
      </c>
      <c r="E552">
        <v>4</v>
      </c>
      <c r="F552" t="s">
        <v>37</v>
      </c>
      <c r="G552">
        <v>8</v>
      </c>
      <c r="H552">
        <v>13</v>
      </c>
      <c r="I552">
        <v>1</v>
      </c>
      <c r="J552">
        <v>47</v>
      </c>
      <c r="K552">
        <v>37</v>
      </c>
      <c r="L552">
        <v>11</v>
      </c>
      <c r="M552">
        <v>1</v>
      </c>
      <c r="N552" t="s">
        <v>213</v>
      </c>
      <c r="O552" t="s">
        <v>39</v>
      </c>
      <c r="P552" t="s">
        <v>207</v>
      </c>
      <c r="Q552" t="s">
        <v>208</v>
      </c>
      <c r="R552" t="s">
        <v>91</v>
      </c>
      <c r="S552" t="s">
        <v>92</v>
      </c>
      <c r="T552" t="s">
        <v>106</v>
      </c>
      <c r="U552">
        <v>1</v>
      </c>
      <c r="V552" t="s">
        <v>93</v>
      </c>
      <c r="W552" t="s">
        <v>103</v>
      </c>
      <c r="X552" t="s">
        <v>87</v>
      </c>
      <c r="Y552">
        <v>2</v>
      </c>
      <c r="Z552">
        <v>4</v>
      </c>
      <c r="AA552">
        <v>44.1</v>
      </c>
      <c r="AB552">
        <v>-1</v>
      </c>
      <c r="AC552" t="s">
        <v>106</v>
      </c>
      <c r="AD552">
        <v>1</v>
      </c>
      <c r="AE552">
        <v>1</v>
      </c>
      <c r="AF552">
        <v>1</v>
      </c>
      <c r="AG552">
        <v>1.331</v>
      </c>
      <c r="AH552">
        <v>0.433</v>
      </c>
      <c r="AI552">
        <v>-1</v>
      </c>
      <c r="AL552" t="str">
        <f t="shared" si="51"/>
        <v/>
      </c>
      <c r="AM552">
        <f>VLOOKUP(TRIM(N552),'[1]All - Durations'!$E$2:$H$109,4,FALSE)</f>
        <v>0.86599999999999999</v>
      </c>
      <c r="AN552" t="e">
        <f t="shared" si="52"/>
        <v>#VALUE!</v>
      </c>
      <c r="AO552" t="str">
        <f t="shared" si="53"/>
        <v/>
      </c>
    </row>
    <row r="553" spans="1:41" x14ac:dyDescent="0.25">
      <c r="A553">
        <v>259</v>
      </c>
      <c r="B553" t="s">
        <v>35</v>
      </c>
      <c r="C553">
        <v>3</v>
      </c>
      <c r="D553" t="s">
        <v>36</v>
      </c>
      <c r="E553">
        <v>4</v>
      </c>
      <c r="F553" t="s">
        <v>37</v>
      </c>
      <c r="G553">
        <v>8</v>
      </c>
      <c r="H553">
        <v>13</v>
      </c>
      <c r="I553">
        <v>1</v>
      </c>
      <c r="J553">
        <v>48</v>
      </c>
      <c r="K553">
        <v>41</v>
      </c>
      <c r="L553">
        <v>41</v>
      </c>
      <c r="M553">
        <v>2</v>
      </c>
      <c r="N553" t="s">
        <v>198</v>
      </c>
      <c r="O553" t="s">
        <v>39</v>
      </c>
      <c r="P553" t="s">
        <v>199</v>
      </c>
      <c r="Q553" t="s">
        <v>200</v>
      </c>
      <c r="R553" t="s">
        <v>58</v>
      </c>
      <c r="S553" t="s">
        <v>59</v>
      </c>
      <c r="T553" t="s">
        <v>138</v>
      </c>
      <c r="U553">
        <v>5</v>
      </c>
      <c r="V553" t="s">
        <v>98</v>
      </c>
      <c r="W553" t="s">
        <v>132</v>
      </c>
      <c r="X553" t="s">
        <v>104</v>
      </c>
      <c r="Y553">
        <v>1</v>
      </c>
      <c r="Z553">
        <v>4</v>
      </c>
      <c r="AA553">
        <v>44.1</v>
      </c>
      <c r="AB553">
        <v>-1</v>
      </c>
      <c r="AC553" t="s">
        <v>98</v>
      </c>
      <c r="AD553">
        <v>2</v>
      </c>
      <c r="AE553">
        <v>2</v>
      </c>
      <c r="AF553">
        <v>0</v>
      </c>
      <c r="AG553">
        <v>2.4169999999999998</v>
      </c>
      <c r="AH553">
        <v>0.15</v>
      </c>
      <c r="AI553">
        <v>-1</v>
      </c>
      <c r="AL553" t="str">
        <f t="shared" si="51"/>
        <v/>
      </c>
      <c r="AM553">
        <f>VLOOKUP(TRIM(N553),'[1]All - Durations'!$E$2:$H$109,4,FALSE)</f>
        <v>0.97199999999999998</v>
      </c>
      <c r="AN553" t="e">
        <f t="shared" si="52"/>
        <v>#VALUE!</v>
      </c>
      <c r="AO553" t="str">
        <f t="shared" si="53"/>
        <v/>
      </c>
    </row>
    <row r="554" spans="1:41" x14ac:dyDescent="0.25">
      <c r="A554">
        <v>259</v>
      </c>
      <c r="B554" t="s">
        <v>35</v>
      </c>
      <c r="C554">
        <v>3</v>
      </c>
      <c r="D554" t="s">
        <v>36</v>
      </c>
      <c r="E554">
        <v>4</v>
      </c>
      <c r="F554" t="s">
        <v>37</v>
      </c>
      <c r="G554">
        <v>8</v>
      </c>
      <c r="H554">
        <v>13</v>
      </c>
      <c r="I554">
        <v>1</v>
      </c>
      <c r="J554">
        <v>49</v>
      </c>
      <c r="K554">
        <v>58</v>
      </c>
      <c r="L554">
        <v>70</v>
      </c>
      <c r="M554">
        <v>2</v>
      </c>
      <c r="N554" t="s">
        <v>232</v>
      </c>
      <c r="O554" t="s">
        <v>113</v>
      </c>
      <c r="P554" t="s">
        <v>114</v>
      </c>
      <c r="Q554" t="s">
        <v>222</v>
      </c>
      <c r="R554" t="s">
        <v>114</v>
      </c>
      <c r="S554" t="s">
        <v>43</v>
      </c>
      <c r="T554" t="s">
        <v>81</v>
      </c>
      <c r="U554">
        <v>2</v>
      </c>
      <c r="V554" t="s">
        <v>104</v>
      </c>
      <c r="W554" t="s">
        <v>156</v>
      </c>
      <c r="X554" t="s">
        <v>141</v>
      </c>
      <c r="Y554">
        <v>2</v>
      </c>
      <c r="Z554">
        <v>4</v>
      </c>
      <c r="AA554">
        <v>44.1</v>
      </c>
      <c r="AB554">
        <v>-1</v>
      </c>
      <c r="AC554" t="s">
        <v>81</v>
      </c>
      <c r="AD554">
        <v>1</v>
      </c>
      <c r="AE554">
        <v>2</v>
      </c>
      <c r="AF554">
        <v>1</v>
      </c>
      <c r="AG554">
        <v>2.4609999999999999</v>
      </c>
      <c r="AH554">
        <v>0.36699999999999999</v>
      </c>
      <c r="AI554">
        <v>-1</v>
      </c>
      <c r="AL554" t="str">
        <f t="shared" si="51"/>
        <v/>
      </c>
      <c r="AM554">
        <f>VLOOKUP(TRIM(N554),'[1]All - Durations'!$E$2:$H$109,4,FALSE)</f>
        <v>1.0269999999999999</v>
      </c>
      <c r="AN554" t="e">
        <f t="shared" si="52"/>
        <v>#VALUE!</v>
      </c>
      <c r="AO554" t="str">
        <f t="shared" si="53"/>
        <v/>
      </c>
    </row>
    <row r="555" spans="1:41" x14ac:dyDescent="0.25">
      <c r="A555">
        <v>259</v>
      </c>
      <c r="B555" t="s">
        <v>35</v>
      </c>
      <c r="C555">
        <v>3</v>
      </c>
      <c r="D555" t="s">
        <v>36</v>
      </c>
      <c r="E555">
        <v>4</v>
      </c>
      <c r="F555" t="s">
        <v>37</v>
      </c>
      <c r="G555">
        <v>8</v>
      </c>
      <c r="H555">
        <v>13</v>
      </c>
      <c r="I555">
        <v>1</v>
      </c>
      <c r="J555">
        <v>50</v>
      </c>
      <c r="K555">
        <v>60</v>
      </c>
      <c r="L555">
        <v>34</v>
      </c>
      <c r="M555">
        <v>1</v>
      </c>
      <c r="N555" t="s">
        <v>228</v>
      </c>
      <c r="O555" t="s">
        <v>113</v>
      </c>
      <c r="P555" t="s">
        <v>114</v>
      </c>
      <c r="Q555" t="s">
        <v>224</v>
      </c>
      <c r="R555" t="s">
        <v>114</v>
      </c>
      <c r="S555" t="s">
        <v>52</v>
      </c>
      <c r="T555" t="s">
        <v>61</v>
      </c>
      <c r="U555">
        <v>5</v>
      </c>
      <c r="V555" t="s">
        <v>69</v>
      </c>
      <c r="W555" t="s">
        <v>108</v>
      </c>
      <c r="X555" t="s">
        <v>45</v>
      </c>
      <c r="Y555">
        <v>2</v>
      </c>
      <c r="Z555">
        <v>4</v>
      </c>
      <c r="AA555">
        <v>44.1</v>
      </c>
      <c r="AB555">
        <v>-1</v>
      </c>
      <c r="AC555" t="s">
        <v>61</v>
      </c>
      <c r="AD555">
        <v>1</v>
      </c>
      <c r="AE555">
        <v>5</v>
      </c>
      <c r="AF555">
        <v>1</v>
      </c>
      <c r="AG555">
        <v>0.96699999999999997</v>
      </c>
      <c r="AH555">
        <v>0.56699999999999995</v>
      </c>
      <c r="AI555">
        <v>-1</v>
      </c>
      <c r="AL555" t="str">
        <f t="shared" si="51"/>
        <v/>
      </c>
      <c r="AM555">
        <f>VLOOKUP(TRIM(N555),'[1]All - Durations'!$E$2:$H$109,4,FALSE)</f>
        <v>0.93300000000000005</v>
      </c>
      <c r="AN555" t="e">
        <f t="shared" si="52"/>
        <v>#VALUE!</v>
      </c>
      <c r="AO555" t="str">
        <f t="shared" si="53"/>
        <v/>
      </c>
    </row>
    <row r="556" spans="1:41" x14ac:dyDescent="0.25">
      <c r="A556">
        <v>259</v>
      </c>
      <c r="B556" t="s">
        <v>35</v>
      </c>
      <c r="C556">
        <v>3</v>
      </c>
      <c r="D556" t="s">
        <v>36</v>
      </c>
      <c r="E556">
        <v>4</v>
      </c>
      <c r="F556" t="s">
        <v>37</v>
      </c>
      <c r="G556">
        <v>8</v>
      </c>
      <c r="H556">
        <v>13</v>
      </c>
      <c r="I556">
        <v>1</v>
      </c>
      <c r="J556">
        <v>51</v>
      </c>
      <c r="K556">
        <v>53</v>
      </c>
      <c r="L556">
        <v>65</v>
      </c>
      <c r="M556">
        <v>2</v>
      </c>
      <c r="N556" t="s">
        <v>225</v>
      </c>
      <c r="O556" t="s">
        <v>113</v>
      </c>
      <c r="P556" t="s">
        <v>114</v>
      </c>
      <c r="Q556" t="s">
        <v>226</v>
      </c>
      <c r="R556" t="s">
        <v>114</v>
      </c>
      <c r="S556" t="s">
        <v>59</v>
      </c>
      <c r="T556" t="s">
        <v>87</v>
      </c>
      <c r="U556">
        <v>5</v>
      </c>
      <c r="V556" t="s">
        <v>209</v>
      </c>
      <c r="W556" t="s">
        <v>144</v>
      </c>
      <c r="X556" t="s">
        <v>121</v>
      </c>
      <c r="Y556">
        <v>1</v>
      </c>
      <c r="Z556">
        <v>4</v>
      </c>
      <c r="AA556">
        <v>44.1</v>
      </c>
      <c r="AB556">
        <v>-1</v>
      </c>
      <c r="AC556" t="s">
        <v>121</v>
      </c>
      <c r="AD556">
        <v>4</v>
      </c>
      <c r="AE556">
        <v>1</v>
      </c>
      <c r="AF556">
        <v>0</v>
      </c>
      <c r="AG556">
        <v>2.1850000000000001</v>
      </c>
      <c r="AH556">
        <v>0.45</v>
      </c>
      <c r="AI556">
        <v>-1</v>
      </c>
      <c r="AL556" t="str">
        <f t="shared" si="51"/>
        <v/>
      </c>
      <c r="AM556">
        <f>VLOOKUP(TRIM(N556),'[1]All - Durations'!$E$2:$H$109,4,FALSE)</f>
        <v>0.97099999999999997</v>
      </c>
      <c r="AN556" t="e">
        <f t="shared" si="52"/>
        <v>#VALUE!</v>
      </c>
      <c r="AO556" t="str">
        <f t="shared" si="53"/>
        <v/>
      </c>
    </row>
    <row r="557" spans="1:41" x14ac:dyDescent="0.25">
      <c r="A557">
        <v>259</v>
      </c>
      <c r="B557" t="s">
        <v>35</v>
      </c>
      <c r="C557">
        <v>3</v>
      </c>
      <c r="D557" t="s">
        <v>36</v>
      </c>
      <c r="E557">
        <v>4</v>
      </c>
      <c r="F557" t="s">
        <v>37</v>
      </c>
      <c r="G557">
        <v>8</v>
      </c>
      <c r="H557">
        <v>13</v>
      </c>
      <c r="I557">
        <v>1</v>
      </c>
      <c r="J557">
        <v>52</v>
      </c>
      <c r="K557">
        <v>59</v>
      </c>
      <c r="L557">
        <v>33</v>
      </c>
      <c r="M557">
        <v>1</v>
      </c>
      <c r="N557" t="s">
        <v>223</v>
      </c>
      <c r="O557" t="s">
        <v>113</v>
      </c>
      <c r="P557" t="s">
        <v>114</v>
      </c>
      <c r="Q557" t="s">
        <v>224</v>
      </c>
      <c r="R557" t="s">
        <v>114</v>
      </c>
      <c r="S557" t="s">
        <v>59</v>
      </c>
      <c r="T557" t="s">
        <v>56</v>
      </c>
      <c r="U557">
        <v>5</v>
      </c>
      <c r="V557" t="s">
        <v>61</v>
      </c>
      <c r="W557" t="s">
        <v>82</v>
      </c>
      <c r="X557" t="s">
        <v>185</v>
      </c>
      <c r="Y557">
        <v>1</v>
      </c>
      <c r="Z557">
        <v>4</v>
      </c>
      <c r="AA557">
        <v>44.1</v>
      </c>
      <c r="AB557">
        <v>-1</v>
      </c>
      <c r="AC557" t="s">
        <v>61</v>
      </c>
      <c r="AD557">
        <v>2</v>
      </c>
      <c r="AE557">
        <v>1</v>
      </c>
      <c r="AF557">
        <v>0</v>
      </c>
      <c r="AG557">
        <v>1.883</v>
      </c>
      <c r="AH557">
        <v>0.46700000000000003</v>
      </c>
      <c r="AI557">
        <v>-1</v>
      </c>
      <c r="AL557" t="str">
        <f t="shared" si="51"/>
        <v/>
      </c>
      <c r="AM557">
        <f>VLOOKUP(TRIM(N557),'[1]All - Durations'!$E$2:$H$109,4,FALSE)</f>
        <v>1.0089999999999999</v>
      </c>
      <c r="AN557" t="e">
        <f t="shared" si="52"/>
        <v>#VALUE!</v>
      </c>
      <c r="AO557" t="str">
        <f t="shared" si="53"/>
        <v/>
      </c>
    </row>
    <row r="558" spans="1:41" x14ac:dyDescent="0.25">
      <c r="A558">
        <v>259</v>
      </c>
      <c r="B558" t="s">
        <v>35</v>
      </c>
      <c r="C558">
        <v>3</v>
      </c>
      <c r="D558" t="s">
        <v>36</v>
      </c>
      <c r="E558">
        <v>4</v>
      </c>
      <c r="F558" t="s">
        <v>37</v>
      </c>
      <c r="G558">
        <v>8</v>
      </c>
      <c r="H558">
        <v>13</v>
      </c>
      <c r="I558">
        <v>1</v>
      </c>
      <c r="J558">
        <v>53</v>
      </c>
      <c r="K558">
        <v>51</v>
      </c>
      <c r="L558">
        <v>31</v>
      </c>
      <c r="M558">
        <v>1</v>
      </c>
      <c r="N558" t="s">
        <v>230</v>
      </c>
      <c r="O558" t="s">
        <v>113</v>
      </c>
      <c r="P558" t="s">
        <v>114</v>
      </c>
      <c r="Q558" t="s">
        <v>231</v>
      </c>
      <c r="R558" t="s">
        <v>114</v>
      </c>
      <c r="S558" t="s">
        <v>59</v>
      </c>
      <c r="T558" t="s">
        <v>162</v>
      </c>
      <c r="U558">
        <v>1</v>
      </c>
      <c r="V558" t="s">
        <v>56</v>
      </c>
      <c r="W558" t="s">
        <v>149</v>
      </c>
      <c r="X558" t="s">
        <v>99</v>
      </c>
      <c r="Y558">
        <v>2</v>
      </c>
      <c r="Z558">
        <v>4</v>
      </c>
      <c r="AA558">
        <v>44.1</v>
      </c>
      <c r="AB558">
        <v>-1</v>
      </c>
      <c r="AC558" t="s">
        <v>99</v>
      </c>
      <c r="AD558">
        <v>4</v>
      </c>
      <c r="AE558">
        <v>5</v>
      </c>
      <c r="AF558">
        <v>0</v>
      </c>
      <c r="AG558">
        <v>1.69</v>
      </c>
      <c r="AH558">
        <v>0.4</v>
      </c>
      <c r="AI558">
        <v>-1</v>
      </c>
      <c r="AL558" t="str">
        <f t="shared" si="51"/>
        <v/>
      </c>
      <c r="AM558">
        <f>VLOOKUP(TRIM(N558),'[1]All - Durations'!$E$2:$H$109,4,FALSE)</f>
        <v>0.92100000000000004</v>
      </c>
      <c r="AN558" t="e">
        <f t="shared" si="52"/>
        <v>#VALUE!</v>
      </c>
      <c r="AO558" t="str">
        <f t="shared" si="53"/>
        <v/>
      </c>
    </row>
    <row r="559" spans="1:41" x14ac:dyDescent="0.25">
      <c r="A559">
        <v>259</v>
      </c>
      <c r="B559" t="s">
        <v>35</v>
      </c>
      <c r="C559">
        <v>3</v>
      </c>
      <c r="D559" t="s">
        <v>36</v>
      </c>
      <c r="E559">
        <v>4</v>
      </c>
      <c r="F559" t="s">
        <v>37</v>
      </c>
      <c r="G559">
        <v>8</v>
      </c>
      <c r="H559">
        <v>13</v>
      </c>
      <c r="I559">
        <v>1</v>
      </c>
      <c r="J559">
        <v>54</v>
      </c>
      <c r="K559">
        <v>57</v>
      </c>
      <c r="L559">
        <v>69</v>
      </c>
      <c r="M559">
        <v>2</v>
      </c>
      <c r="N559" t="s">
        <v>221</v>
      </c>
      <c r="O559" t="s">
        <v>113</v>
      </c>
      <c r="P559" t="s">
        <v>114</v>
      </c>
      <c r="Q559" t="s">
        <v>222</v>
      </c>
      <c r="R559" t="s">
        <v>114</v>
      </c>
      <c r="S559" t="s">
        <v>52</v>
      </c>
      <c r="T559" t="s">
        <v>69</v>
      </c>
      <c r="U559">
        <v>5</v>
      </c>
      <c r="V559" t="s">
        <v>81</v>
      </c>
      <c r="W559" t="s">
        <v>93</v>
      </c>
      <c r="X559" t="s">
        <v>103</v>
      </c>
      <c r="Y559">
        <v>1</v>
      </c>
      <c r="Z559">
        <v>4</v>
      </c>
      <c r="AA559">
        <v>44.1</v>
      </c>
      <c r="AB559">
        <v>-1</v>
      </c>
      <c r="AC559" t="s">
        <v>69</v>
      </c>
      <c r="AD559">
        <v>1</v>
      </c>
      <c r="AE559">
        <v>5</v>
      </c>
      <c r="AF559">
        <v>1</v>
      </c>
      <c r="AG559">
        <v>0.92600000000000005</v>
      </c>
      <c r="AH559">
        <v>0.48299999999999998</v>
      </c>
      <c r="AI559">
        <v>-1</v>
      </c>
      <c r="AL559" t="str">
        <f t="shared" si="51"/>
        <v/>
      </c>
      <c r="AM559">
        <f>VLOOKUP(TRIM(N559),'[1]All - Durations'!$E$2:$H$109,4,FALSE)</f>
        <v>0.79100000000000004</v>
      </c>
      <c r="AN559" t="e">
        <f t="shared" si="52"/>
        <v>#VALUE!</v>
      </c>
      <c r="AO559" t="str">
        <f t="shared" si="53"/>
        <v/>
      </c>
    </row>
    <row r="560" spans="1:41" x14ac:dyDescent="0.25">
      <c r="A560">
        <v>259</v>
      </c>
      <c r="B560" t="s">
        <v>35</v>
      </c>
      <c r="C560">
        <v>3</v>
      </c>
      <c r="D560" t="s">
        <v>36</v>
      </c>
      <c r="E560">
        <v>4</v>
      </c>
      <c r="F560" t="s">
        <v>37</v>
      </c>
      <c r="G560">
        <v>8</v>
      </c>
      <c r="H560">
        <v>13</v>
      </c>
      <c r="I560">
        <v>1</v>
      </c>
      <c r="J560">
        <v>55</v>
      </c>
      <c r="K560">
        <v>56</v>
      </c>
      <c r="L560">
        <v>30</v>
      </c>
      <c r="M560">
        <v>1</v>
      </c>
      <c r="N560" t="s">
        <v>233</v>
      </c>
      <c r="O560" t="s">
        <v>113</v>
      </c>
      <c r="P560" t="s">
        <v>114</v>
      </c>
      <c r="Q560" t="s">
        <v>218</v>
      </c>
      <c r="R560" t="s">
        <v>114</v>
      </c>
      <c r="S560" t="s">
        <v>43</v>
      </c>
      <c r="T560" t="s">
        <v>107</v>
      </c>
      <c r="U560">
        <v>4</v>
      </c>
      <c r="V560" t="s">
        <v>111</v>
      </c>
      <c r="W560" t="s">
        <v>155</v>
      </c>
      <c r="X560" t="s">
        <v>53</v>
      </c>
      <c r="Y560">
        <v>2</v>
      </c>
      <c r="Z560">
        <v>4</v>
      </c>
      <c r="AA560">
        <v>44.1</v>
      </c>
      <c r="AB560">
        <v>-1</v>
      </c>
      <c r="AC560" t="s">
        <v>155</v>
      </c>
      <c r="AD560">
        <v>4</v>
      </c>
      <c r="AE560">
        <v>2</v>
      </c>
      <c r="AF560">
        <v>0</v>
      </c>
      <c r="AG560">
        <v>2.0270000000000001</v>
      </c>
      <c r="AH560">
        <v>0.45</v>
      </c>
      <c r="AI560">
        <v>-1</v>
      </c>
      <c r="AL560" t="str">
        <f t="shared" si="51"/>
        <v/>
      </c>
      <c r="AM560">
        <f>VLOOKUP(TRIM(N560),'[1]All - Durations'!$E$2:$H$109,4,FALSE)</f>
        <v>0.85599999999999998</v>
      </c>
      <c r="AN560" t="e">
        <f t="shared" si="52"/>
        <v>#VALUE!</v>
      </c>
      <c r="AO560" t="str">
        <f t="shared" si="53"/>
        <v/>
      </c>
    </row>
    <row r="561" spans="1:41" x14ac:dyDescent="0.25">
      <c r="A561">
        <v>259</v>
      </c>
      <c r="B561" t="s">
        <v>35</v>
      </c>
      <c r="C561">
        <v>3</v>
      </c>
      <c r="D561" t="s">
        <v>36</v>
      </c>
      <c r="E561">
        <v>4</v>
      </c>
      <c r="F561" t="s">
        <v>37</v>
      </c>
      <c r="G561">
        <v>8</v>
      </c>
      <c r="H561">
        <v>13</v>
      </c>
      <c r="I561">
        <v>1</v>
      </c>
      <c r="J561">
        <v>56</v>
      </c>
      <c r="K561">
        <v>50</v>
      </c>
      <c r="L561">
        <v>36</v>
      </c>
      <c r="M561">
        <v>1</v>
      </c>
      <c r="N561" t="s">
        <v>227</v>
      </c>
      <c r="O561" t="s">
        <v>113</v>
      </c>
      <c r="P561" t="s">
        <v>114</v>
      </c>
      <c r="Q561" t="s">
        <v>220</v>
      </c>
      <c r="R561" t="s">
        <v>114</v>
      </c>
      <c r="S561" t="s">
        <v>43</v>
      </c>
      <c r="T561" t="s">
        <v>116</v>
      </c>
      <c r="U561">
        <v>2</v>
      </c>
      <c r="V561" t="s">
        <v>100</v>
      </c>
      <c r="W561" t="s">
        <v>183</v>
      </c>
      <c r="X561" t="s">
        <v>94</v>
      </c>
      <c r="Y561">
        <v>2</v>
      </c>
      <c r="Z561">
        <v>4</v>
      </c>
      <c r="AA561">
        <v>44.1</v>
      </c>
      <c r="AB561">
        <v>-1</v>
      </c>
      <c r="AC561" t="s">
        <v>183</v>
      </c>
      <c r="AD561">
        <v>4</v>
      </c>
      <c r="AE561">
        <v>1</v>
      </c>
      <c r="AF561">
        <v>0</v>
      </c>
      <c r="AG561">
        <v>3.6720000000000002</v>
      </c>
      <c r="AH561">
        <v>0.55000000000000004</v>
      </c>
      <c r="AI561">
        <v>-1</v>
      </c>
      <c r="AL561" t="str">
        <f t="shared" si="51"/>
        <v/>
      </c>
      <c r="AM561">
        <f>VLOOKUP(TRIM(N561),'[1]All - Durations'!$E$2:$H$109,4,FALSE)</f>
        <v>0.95299999999999996</v>
      </c>
      <c r="AN561" t="e">
        <f t="shared" si="52"/>
        <v>#VALUE!</v>
      </c>
      <c r="AO561" t="str">
        <f t="shared" si="53"/>
        <v/>
      </c>
    </row>
    <row r="562" spans="1:41" x14ac:dyDescent="0.25">
      <c r="A562">
        <v>259</v>
      </c>
      <c r="B562" t="s">
        <v>35</v>
      </c>
      <c r="C562">
        <v>3</v>
      </c>
      <c r="D562" t="s">
        <v>36</v>
      </c>
      <c r="E562">
        <v>4</v>
      </c>
      <c r="F562" t="s">
        <v>37</v>
      </c>
      <c r="G562">
        <v>8</v>
      </c>
      <c r="H562">
        <v>13</v>
      </c>
      <c r="I562">
        <v>1</v>
      </c>
      <c r="J562">
        <v>57</v>
      </c>
      <c r="K562">
        <v>52</v>
      </c>
      <c r="L562">
        <v>32</v>
      </c>
      <c r="M562">
        <v>1</v>
      </c>
      <c r="N562" t="s">
        <v>234</v>
      </c>
      <c r="O562" t="s">
        <v>113</v>
      </c>
      <c r="P562" t="s">
        <v>114</v>
      </c>
      <c r="Q562" t="s">
        <v>231</v>
      </c>
      <c r="R562" t="s">
        <v>114</v>
      </c>
      <c r="S562" t="s">
        <v>43</v>
      </c>
      <c r="T562" t="s">
        <v>111</v>
      </c>
      <c r="U562">
        <v>4</v>
      </c>
      <c r="V562" t="s">
        <v>162</v>
      </c>
      <c r="W562" t="s">
        <v>80</v>
      </c>
      <c r="X562" t="s">
        <v>132</v>
      </c>
      <c r="Y562">
        <v>1</v>
      </c>
      <c r="Z562">
        <v>4</v>
      </c>
      <c r="AA562">
        <v>44.1</v>
      </c>
      <c r="AB562">
        <v>-1</v>
      </c>
      <c r="AC562" t="s">
        <v>162</v>
      </c>
      <c r="AD562">
        <v>2</v>
      </c>
      <c r="AE562">
        <v>5</v>
      </c>
      <c r="AF562">
        <v>0</v>
      </c>
      <c r="AG562">
        <v>1.28</v>
      </c>
      <c r="AH562">
        <v>0.78400000000000003</v>
      </c>
      <c r="AI562">
        <v>-1</v>
      </c>
      <c r="AL562" t="str">
        <f t="shared" si="51"/>
        <v/>
      </c>
      <c r="AM562">
        <f>VLOOKUP(TRIM(N562),'[1]All - Durations'!$E$2:$H$109,4,FALSE)</f>
        <v>0.9</v>
      </c>
      <c r="AN562" t="e">
        <f t="shared" si="52"/>
        <v>#VALUE!</v>
      </c>
      <c r="AO562" t="str">
        <f t="shared" si="53"/>
        <v/>
      </c>
    </row>
    <row r="563" spans="1:41" x14ac:dyDescent="0.25">
      <c r="A563">
        <v>259</v>
      </c>
      <c r="B563" t="s">
        <v>35</v>
      </c>
      <c r="C563">
        <v>3</v>
      </c>
      <c r="D563" t="s">
        <v>36</v>
      </c>
      <c r="E563">
        <v>4</v>
      </c>
      <c r="F563" t="s">
        <v>37</v>
      </c>
      <c r="G563">
        <v>8</v>
      </c>
      <c r="H563">
        <v>13</v>
      </c>
      <c r="I563">
        <v>1</v>
      </c>
      <c r="J563">
        <v>58</v>
      </c>
      <c r="K563">
        <v>49</v>
      </c>
      <c r="L563">
        <v>35</v>
      </c>
      <c r="M563">
        <v>1</v>
      </c>
      <c r="N563" t="s">
        <v>219</v>
      </c>
      <c r="O563" t="s">
        <v>113</v>
      </c>
      <c r="P563" t="s">
        <v>114</v>
      </c>
      <c r="Q563" t="s">
        <v>220</v>
      </c>
      <c r="R563" t="s">
        <v>114</v>
      </c>
      <c r="S563" t="s">
        <v>92</v>
      </c>
      <c r="T563" t="s">
        <v>179</v>
      </c>
      <c r="U563">
        <v>4</v>
      </c>
      <c r="V563" t="s">
        <v>116</v>
      </c>
      <c r="W563" t="s">
        <v>96</v>
      </c>
      <c r="X563" t="s">
        <v>102</v>
      </c>
      <c r="Y563">
        <v>1</v>
      </c>
      <c r="Z563">
        <v>4</v>
      </c>
      <c r="AA563">
        <v>44.1</v>
      </c>
      <c r="AB563">
        <v>-1</v>
      </c>
      <c r="AC563" t="s">
        <v>179</v>
      </c>
      <c r="AD563">
        <v>1</v>
      </c>
      <c r="AE563">
        <v>4</v>
      </c>
      <c r="AF563">
        <v>1</v>
      </c>
      <c r="AG563">
        <v>0.57799999999999996</v>
      </c>
      <c r="AH563">
        <v>0.5</v>
      </c>
      <c r="AI563">
        <v>-1</v>
      </c>
      <c r="AL563" t="str">
        <f t="shared" si="51"/>
        <v/>
      </c>
      <c r="AM563">
        <f>VLOOKUP(TRIM(N563),'[1]All - Durations'!$E$2:$H$109,4,FALSE)</f>
        <v>0.99299999999999999</v>
      </c>
      <c r="AN563" t="e">
        <f t="shared" si="52"/>
        <v>#VALUE!</v>
      </c>
      <c r="AO563" t="str">
        <f t="shared" si="53"/>
        <v/>
      </c>
    </row>
    <row r="564" spans="1:41" x14ac:dyDescent="0.25">
      <c r="A564">
        <v>259</v>
      </c>
      <c r="B564" t="s">
        <v>35</v>
      </c>
      <c r="C564">
        <v>3</v>
      </c>
      <c r="D564" t="s">
        <v>36</v>
      </c>
      <c r="E564">
        <v>4</v>
      </c>
      <c r="F564" t="s">
        <v>37</v>
      </c>
      <c r="G564">
        <v>8</v>
      </c>
      <c r="H564">
        <v>13</v>
      </c>
      <c r="I564">
        <v>1</v>
      </c>
      <c r="J564">
        <v>59</v>
      </c>
      <c r="K564">
        <v>55</v>
      </c>
      <c r="L564">
        <v>29</v>
      </c>
      <c r="M564">
        <v>1</v>
      </c>
      <c r="N564" t="s">
        <v>217</v>
      </c>
      <c r="O564" t="s">
        <v>113</v>
      </c>
      <c r="P564" t="s">
        <v>114</v>
      </c>
      <c r="Q564" t="s">
        <v>218</v>
      </c>
      <c r="R564" t="s">
        <v>114</v>
      </c>
      <c r="S564" t="s">
        <v>52</v>
      </c>
      <c r="T564" t="s">
        <v>214</v>
      </c>
      <c r="U564">
        <v>4</v>
      </c>
      <c r="V564" t="s">
        <v>107</v>
      </c>
      <c r="W564" t="s">
        <v>62</v>
      </c>
      <c r="X564" t="s">
        <v>66</v>
      </c>
      <c r="Y564">
        <v>1</v>
      </c>
      <c r="Z564">
        <v>4</v>
      </c>
      <c r="AA564">
        <v>44.1</v>
      </c>
      <c r="AB564">
        <v>-1</v>
      </c>
      <c r="AC564" t="s">
        <v>214</v>
      </c>
      <c r="AD564">
        <v>1</v>
      </c>
      <c r="AE564">
        <v>4</v>
      </c>
      <c r="AF564">
        <v>1</v>
      </c>
      <c r="AG564">
        <v>1.6220000000000001</v>
      </c>
      <c r="AH564">
        <v>1.4339999999999999</v>
      </c>
      <c r="AI564">
        <v>-1</v>
      </c>
      <c r="AL564" t="str">
        <f t="shared" si="51"/>
        <v/>
      </c>
      <c r="AM564">
        <f>VLOOKUP(TRIM(N564),'[1]All - Durations'!$E$2:$H$109,4,FALSE)</f>
        <v>0.76300000000000001</v>
      </c>
      <c r="AN564" t="e">
        <f t="shared" si="52"/>
        <v>#VALUE!</v>
      </c>
      <c r="AO564" t="str">
        <f t="shared" si="53"/>
        <v/>
      </c>
    </row>
    <row r="565" spans="1:41" x14ac:dyDescent="0.25">
      <c r="A565">
        <v>259</v>
      </c>
      <c r="B565" t="s">
        <v>35</v>
      </c>
      <c r="C565">
        <v>3</v>
      </c>
      <c r="D565" t="s">
        <v>36</v>
      </c>
      <c r="E565">
        <v>4</v>
      </c>
      <c r="F565" t="s">
        <v>37</v>
      </c>
      <c r="G565">
        <v>8</v>
      </c>
      <c r="H565">
        <v>13</v>
      </c>
      <c r="I565">
        <v>1</v>
      </c>
      <c r="J565">
        <v>60</v>
      </c>
      <c r="K565">
        <v>54</v>
      </c>
      <c r="L565">
        <v>66</v>
      </c>
      <c r="M565">
        <v>2</v>
      </c>
      <c r="N565" t="s">
        <v>229</v>
      </c>
      <c r="O565" t="s">
        <v>113</v>
      </c>
      <c r="P565" t="s">
        <v>114</v>
      </c>
      <c r="Q565" t="s">
        <v>226</v>
      </c>
      <c r="R565" t="s">
        <v>114</v>
      </c>
      <c r="S565" t="s">
        <v>92</v>
      </c>
      <c r="T565" t="s">
        <v>209</v>
      </c>
      <c r="U565">
        <v>4</v>
      </c>
      <c r="V565" t="s">
        <v>120</v>
      </c>
      <c r="W565" t="s">
        <v>172</v>
      </c>
      <c r="X565" t="s">
        <v>139</v>
      </c>
      <c r="Y565">
        <v>2</v>
      </c>
      <c r="Z565">
        <v>4</v>
      </c>
      <c r="AA565">
        <v>44.1</v>
      </c>
      <c r="AB565">
        <v>-1</v>
      </c>
      <c r="AC565" t="s">
        <v>120</v>
      </c>
      <c r="AD565">
        <v>3</v>
      </c>
      <c r="AE565">
        <v>2</v>
      </c>
      <c r="AF565">
        <v>0</v>
      </c>
      <c r="AG565">
        <v>1.855</v>
      </c>
      <c r="AH565">
        <v>0.433</v>
      </c>
      <c r="AI565">
        <v>-1</v>
      </c>
      <c r="AL565" t="str">
        <f t="shared" si="51"/>
        <v/>
      </c>
      <c r="AM565">
        <f>VLOOKUP(TRIM(N565),'[1]All - Durations'!$E$2:$H$109,4,FALSE)</f>
        <v>0.88600000000000001</v>
      </c>
      <c r="AN565" t="e">
        <f t="shared" si="52"/>
        <v>#VALUE!</v>
      </c>
      <c r="AO565" t="str">
        <f t="shared" si="53"/>
        <v/>
      </c>
    </row>
    <row r="566" spans="1:41" x14ac:dyDescent="0.25">
      <c r="A566">
        <v>259</v>
      </c>
      <c r="B566" t="s">
        <v>35</v>
      </c>
      <c r="C566">
        <v>3</v>
      </c>
      <c r="D566" t="s">
        <v>36</v>
      </c>
      <c r="E566">
        <v>4</v>
      </c>
      <c r="F566" t="s">
        <v>37</v>
      </c>
      <c r="G566">
        <v>8</v>
      </c>
      <c r="H566">
        <v>13</v>
      </c>
      <c r="I566">
        <v>1</v>
      </c>
      <c r="J566">
        <v>61</v>
      </c>
      <c r="K566">
        <v>69</v>
      </c>
      <c r="L566">
        <v>57</v>
      </c>
      <c r="M566">
        <v>2</v>
      </c>
      <c r="N566" t="s">
        <v>247</v>
      </c>
      <c r="O566" t="s">
        <v>151</v>
      </c>
      <c r="P566" t="s">
        <v>236</v>
      </c>
      <c r="Q566" t="s">
        <v>237</v>
      </c>
      <c r="R566" t="s">
        <v>174</v>
      </c>
      <c r="S566" t="s">
        <v>52</v>
      </c>
      <c r="T566" t="s">
        <v>75</v>
      </c>
      <c r="U566">
        <v>5</v>
      </c>
      <c r="V566" t="s">
        <v>55</v>
      </c>
      <c r="W566" t="s">
        <v>93</v>
      </c>
      <c r="X566" t="s">
        <v>162</v>
      </c>
      <c r="Y566">
        <v>1</v>
      </c>
      <c r="Z566">
        <v>4</v>
      </c>
      <c r="AA566">
        <v>44.1</v>
      </c>
      <c r="AB566">
        <v>-1</v>
      </c>
      <c r="AC566" t="s">
        <v>55</v>
      </c>
      <c r="AD566">
        <v>2</v>
      </c>
      <c r="AE566">
        <v>4</v>
      </c>
      <c r="AF566">
        <v>0</v>
      </c>
      <c r="AG566">
        <v>1.5669999999999999</v>
      </c>
      <c r="AH566">
        <v>0.2</v>
      </c>
      <c r="AI566">
        <v>-1</v>
      </c>
      <c r="AL566" t="str">
        <f t="shared" si="51"/>
        <v/>
      </c>
      <c r="AM566">
        <f>VLOOKUP(TRIM(N566),'[1]All - Durations'!$E$2:$H$109,4,FALSE)</f>
        <v>0.94399999999999995</v>
      </c>
      <c r="AN566" t="e">
        <f t="shared" si="52"/>
        <v>#VALUE!</v>
      </c>
      <c r="AO566" t="str">
        <f t="shared" si="53"/>
        <v/>
      </c>
    </row>
    <row r="567" spans="1:41" x14ac:dyDescent="0.25">
      <c r="A567">
        <v>259</v>
      </c>
      <c r="B567" t="s">
        <v>35</v>
      </c>
      <c r="C567">
        <v>3</v>
      </c>
      <c r="D567" t="s">
        <v>36</v>
      </c>
      <c r="E567">
        <v>4</v>
      </c>
      <c r="F567" t="s">
        <v>37</v>
      </c>
      <c r="G567">
        <v>8</v>
      </c>
      <c r="H567">
        <v>13</v>
      </c>
      <c r="I567">
        <v>1</v>
      </c>
      <c r="J567">
        <v>62</v>
      </c>
      <c r="K567">
        <v>71</v>
      </c>
      <c r="L567">
        <v>21</v>
      </c>
      <c r="M567">
        <v>1</v>
      </c>
      <c r="N567" t="s">
        <v>252</v>
      </c>
      <c r="O567" t="s">
        <v>151</v>
      </c>
      <c r="P567" t="s">
        <v>242</v>
      </c>
      <c r="Q567" t="s">
        <v>243</v>
      </c>
      <c r="R567" t="s">
        <v>170</v>
      </c>
      <c r="S567" t="s">
        <v>59</v>
      </c>
      <c r="T567" t="s">
        <v>146</v>
      </c>
      <c r="U567">
        <v>5</v>
      </c>
      <c r="V567" t="s">
        <v>132</v>
      </c>
      <c r="W567" t="s">
        <v>104</v>
      </c>
      <c r="X567" t="s">
        <v>185</v>
      </c>
      <c r="Y567">
        <v>1</v>
      </c>
      <c r="Z567">
        <v>4</v>
      </c>
      <c r="AA567">
        <v>44.1</v>
      </c>
      <c r="AB567">
        <v>-1</v>
      </c>
      <c r="AC567" t="s">
        <v>132</v>
      </c>
      <c r="AD567">
        <v>2</v>
      </c>
      <c r="AE567">
        <v>2</v>
      </c>
      <c r="AF567">
        <v>0</v>
      </c>
      <c r="AG567">
        <v>1.724</v>
      </c>
      <c r="AH567">
        <v>0.217</v>
      </c>
      <c r="AI567">
        <v>-1</v>
      </c>
      <c r="AL567" t="str">
        <f t="shared" si="51"/>
        <v/>
      </c>
      <c r="AM567">
        <f>VLOOKUP(TRIM(N567),'[1]All - Durations'!$E$2:$H$109,4,FALSE)</f>
        <v>1.026</v>
      </c>
      <c r="AN567" t="e">
        <f t="shared" si="52"/>
        <v>#VALUE!</v>
      </c>
      <c r="AO567" t="str">
        <f t="shared" si="53"/>
        <v/>
      </c>
    </row>
    <row r="568" spans="1:41" x14ac:dyDescent="0.25">
      <c r="A568">
        <v>259</v>
      </c>
      <c r="B568" t="s">
        <v>35</v>
      </c>
      <c r="C568">
        <v>3</v>
      </c>
      <c r="D568" t="s">
        <v>36</v>
      </c>
      <c r="E568">
        <v>4</v>
      </c>
      <c r="F568" t="s">
        <v>37</v>
      </c>
      <c r="G568">
        <v>8</v>
      </c>
      <c r="H568">
        <v>13</v>
      </c>
      <c r="I568">
        <v>1</v>
      </c>
      <c r="J568">
        <v>63</v>
      </c>
      <c r="K568">
        <v>61</v>
      </c>
      <c r="L568">
        <v>23</v>
      </c>
      <c r="M568">
        <v>1</v>
      </c>
      <c r="N568" t="s">
        <v>244</v>
      </c>
      <c r="O568" t="s">
        <v>151</v>
      </c>
      <c r="P568" t="s">
        <v>245</v>
      </c>
      <c r="Q568" t="s">
        <v>246</v>
      </c>
      <c r="R568" t="s">
        <v>154</v>
      </c>
      <c r="S568" t="s">
        <v>92</v>
      </c>
      <c r="T568" t="s">
        <v>62</v>
      </c>
      <c r="U568">
        <v>4</v>
      </c>
      <c r="V568" t="s">
        <v>121</v>
      </c>
      <c r="W568" t="s">
        <v>156</v>
      </c>
      <c r="X568" t="s">
        <v>46</v>
      </c>
      <c r="Y568">
        <v>1</v>
      </c>
      <c r="Z568">
        <v>4</v>
      </c>
      <c r="AA568">
        <v>44.1</v>
      </c>
      <c r="AB568">
        <v>2.4239999999999999</v>
      </c>
      <c r="AC568" t="s">
        <v>83</v>
      </c>
      <c r="AD568">
        <v>0</v>
      </c>
      <c r="AE568">
        <v>0</v>
      </c>
      <c r="AF568">
        <v>0</v>
      </c>
      <c r="AG568">
        <v>-1</v>
      </c>
      <c r="AH568">
        <v>0.5</v>
      </c>
      <c r="AI568">
        <v>2.4300000000000002</v>
      </c>
      <c r="AL568" t="str">
        <f t="shared" si="51"/>
        <v/>
      </c>
      <c r="AM568">
        <f>VLOOKUP(TRIM(N568),'[1]All - Durations'!$E$2:$H$109,4,FALSE)</f>
        <v>0.88300000000000001</v>
      </c>
      <c r="AN568" t="e">
        <f t="shared" si="52"/>
        <v>#VALUE!</v>
      </c>
      <c r="AO568" t="str">
        <f t="shared" si="53"/>
        <v/>
      </c>
    </row>
    <row r="569" spans="1:41" x14ac:dyDescent="0.25">
      <c r="A569">
        <v>259</v>
      </c>
      <c r="B569" t="s">
        <v>35</v>
      </c>
      <c r="C569">
        <v>3</v>
      </c>
      <c r="D569" t="s">
        <v>36</v>
      </c>
      <c r="E569">
        <v>4</v>
      </c>
      <c r="F569" t="s">
        <v>37</v>
      </c>
      <c r="G569">
        <v>8</v>
      </c>
      <c r="H569">
        <v>13</v>
      </c>
      <c r="I569">
        <v>1</v>
      </c>
      <c r="J569">
        <v>64</v>
      </c>
      <c r="K569">
        <v>68</v>
      </c>
      <c r="L569">
        <v>18</v>
      </c>
      <c r="M569">
        <v>1</v>
      </c>
      <c r="N569" t="s">
        <v>258</v>
      </c>
      <c r="O569" t="s">
        <v>151</v>
      </c>
      <c r="P569" t="s">
        <v>255</v>
      </c>
      <c r="Q569" t="s">
        <v>256</v>
      </c>
      <c r="R569" t="s">
        <v>160</v>
      </c>
      <c r="S569" t="s">
        <v>43</v>
      </c>
      <c r="T569" t="s">
        <v>110</v>
      </c>
      <c r="U569">
        <v>1</v>
      </c>
      <c r="V569" t="s">
        <v>82</v>
      </c>
      <c r="W569" t="s">
        <v>138</v>
      </c>
      <c r="X569" t="s">
        <v>61</v>
      </c>
      <c r="Y569">
        <v>2</v>
      </c>
      <c r="Z569">
        <v>4</v>
      </c>
      <c r="AA569">
        <v>44.1</v>
      </c>
      <c r="AB569">
        <v>0.93</v>
      </c>
      <c r="AC569" t="s">
        <v>110</v>
      </c>
      <c r="AD569">
        <v>1</v>
      </c>
      <c r="AE569">
        <v>1</v>
      </c>
      <c r="AF569">
        <v>1</v>
      </c>
      <c r="AG569">
        <v>3.45</v>
      </c>
      <c r="AH569">
        <v>0.56699999999999995</v>
      </c>
      <c r="AI569">
        <v>0.92100000000000004</v>
      </c>
      <c r="AL569" t="str">
        <f t="shared" si="51"/>
        <v/>
      </c>
      <c r="AM569">
        <f>VLOOKUP(TRIM(N569),'[1]All - Durations'!$E$2:$H$109,4,FALSE)</f>
        <v>0.86299999999999999</v>
      </c>
      <c r="AN569" t="e">
        <f t="shared" si="52"/>
        <v>#VALUE!</v>
      </c>
      <c r="AO569" t="str">
        <f t="shared" si="53"/>
        <v/>
      </c>
    </row>
    <row r="570" spans="1:41" x14ac:dyDescent="0.25">
      <c r="A570">
        <v>259</v>
      </c>
      <c r="B570" t="s">
        <v>35</v>
      </c>
      <c r="C570">
        <v>3</v>
      </c>
      <c r="D570" t="s">
        <v>36</v>
      </c>
      <c r="E570">
        <v>4</v>
      </c>
      <c r="F570" t="s">
        <v>37</v>
      </c>
      <c r="G570">
        <v>8</v>
      </c>
      <c r="H570">
        <v>13</v>
      </c>
      <c r="I570">
        <v>1</v>
      </c>
      <c r="J570">
        <v>65</v>
      </c>
      <c r="K570">
        <v>66</v>
      </c>
      <c r="L570">
        <v>54</v>
      </c>
      <c r="M570">
        <v>2</v>
      </c>
      <c r="N570" t="s">
        <v>248</v>
      </c>
      <c r="O570" t="s">
        <v>151</v>
      </c>
      <c r="P570" t="s">
        <v>249</v>
      </c>
      <c r="Q570" t="s">
        <v>250</v>
      </c>
      <c r="R570" t="s">
        <v>154</v>
      </c>
      <c r="S570" t="s">
        <v>92</v>
      </c>
      <c r="T570" t="s">
        <v>68</v>
      </c>
      <c r="U570">
        <v>4</v>
      </c>
      <c r="V570" t="s">
        <v>183</v>
      </c>
      <c r="W570" t="s">
        <v>67</v>
      </c>
      <c r="X570" t="s">
        <v>116</v>
      </c>
      <c r="Y570">
        <v>2</v>
      </c>
      <c r="Z570">
        <v>4</v>
      </c>
      <c r="AA570">
        <v>44.1</v>
      </c>
      <c r="AB570">
        <v>0.01</v>
      </c>
      <c r="AC570" t="s">
        <v>67</v>
      </c>
      <c r="AD570">
        <v>4</v>
      </c>
      <c r="AE570">
        <v>1</v>
      </c>
      <c r="AF570">
        <v>0</v>
      </c>
      <c r="AG570">
        <v>3.976</v>
      </c>
      <c r="AH570">
        <v>3.0339999999999998</v>
      </c>
      <c r="AI570">
        <v>0</v>
      </c>
      <c r="AL570" t="str">
        <f t="shared" si="51"/>
        <v/>
      </c>
      <c r="AM570">
        <f>VLOOKUP(TRIM(N570),'[1]All - Durations'!$E$2:$H$109,4,FALSE)</f>
        <v>0.94199999999999995</v>
      </c>
      <c r="AN570" t="e">
        <f t="shared" si="52"/>
        <v>#VALUE!</v>
      </c>
      <c r="AO570" t="str">
        <f t="shared" si="53"/>
        <v/>
      </c>
    </row>
    <row r="571" spans="1:41" x14ac:dyDescent="0.25">
      <c r="A571">
        <v>259</v>
      </c>
      <c r="B571" t="s">
        <v>35</v>
      </c>
      <c r="C571">
        <v>3</v>
      </c>
      <c r="D571" t="s">
        <v>36</v>
      </c>
      <c r="E571">
        <v>4</v>
      </c>
      <c r="F571" t="s">
        <v>37</v>
      </c>
      <c r="G571">
        <v>8</v>
      </c>
      <c r="H571">
        <v>13</v>
      </c>
      <c r="I571">
        <v>1</v>
      </c>
      <c r="J571">
        <v>66</v>
      </c>
      <c r="K571">
        <v>63</v>
      </c>
      <c r="L571">
        <v>19</v>
      </c>
      <c r="M571">
        <v>1</v>
      </c>
      <c r="N571" t="s">
        <v>253</v>
      </c>
      <c r="O571" t="s">
        <v>151</v>
      </c>
      <c r="P571" t="s">
        <v>239</v>
      </c>
      <c r="Q571" t="s">
        <v>240</v>
      </c>
      <c r="R571" t="s">
        <v>170</v>
      </c>
      <c r="S571" t="s">
        <v>59</v>
      </c>
      <c r="T571" t="s">
        <v>211</v>
      </c>
      <c r="U571">
        <v>1</v>
      </c>
      <c r="V571" t="s">
        <v>96</v>
      </c>
      <c r="W571" t="s">
        <v>144</v>
      </c>
      <c r="X571" t="s">
        <v>119</v>
      </c>
      <c r="Y571">
        <v>2</v>
      </c>
      <c r="Z571">
        <v>4</v>
      </c>
      <c r="AA571">
        <v>44.1</v>
      </c>
      <c r="AB571">
        <v>0.441</v>
      </c>
      <c r="AC571" t="s">
        <v>211</v>
      </c>
      <c r="AD571">
        <v>1</v>
      </c>
      <c r="AE571">
        <v>1</v>
      </c>
      <c r="AF571">
        <v>1</v>
      </c>
      <c r="AG571">
        <v>2.33</v>
      </c>
      <c r="AH571">
        <v>0.249</v>
      </c>
      <c r="AI571">
        <v>0.437</v>
      </c>
      <c r="AL571" t="str">
        <f t="shared" si="51"/>
        <v/>
      </c>
      <c r="AM571">
        <f>VLOOKUP(TRIM(N571),'[1]All - Durations'!$E$2:$H$109,4,FALSE)</f>
        <v>0.92100000000000004</v>
      </c>
      <c r="AN571" t="e">
        <f t="shared" si="52"/>
        <v>#VALUE!</v>
      </c>
      <c r="AO571" t="str">
        <f t="shared" si="53"/>
        <v/>
      </c>
    </row>
    <row r="572" spans="1:41" x14ac:dyDescent="0.25">
      <c r="A572">
        <v>259</v>
      </c>
      <c r="B572" t="s">
        <v>35</v>
      </c>
      <c r="C572">
        <v>3</v>
      </c>
      <c r="D572" t="s">
        <v>36</v>
      </c>
      <c r="E572">
        <v>4</v>
      </c>
      <c r="F572" t="s">
        <v>37</v>
      </c>
      <c r="G572">
        <v>8</v>
      </c>
      <c r="H572">
        <v>13</v>
      </c>
      <c r="I572">
        <v>1</v>
      </c>
      <c r="J572">
        <v>67</v>
      </c>
      <c r="K572">
        <v>62</v>
      </c>
      <c r="L572">
        <v>24</v>
      </c>
      <c r="M572">
        <v>1</v>
      </c>
      <c r="N572" t="s">
        <v>251</v>
      </c>
      <c r="O572" t="s">
        <v>151</v>
      </c>
      <c r="P572" t="s">
        <v>245</v>
      </c>
      <c r="Q572" t="s">
        <v>246</v>
      </c>
      <c r="R572" t="s">
        <v>160</v>
      </c>
      <c r="S572" t="s">
        <v>43</v>
      </c>
      <c r="T572" t="s">
        <v>121</v>
      </c>
      <c r="U572">
        <v>4</v>
      </c>
      <c r="V572" t="s">
        <v>161</v>
      </c>
      <c r="W572" t="s">
        <v>214</v>
      </c>
      <c r="X572" t="s">
        <v>60</v>
      </c>
      <c r="Y572">
        <v>2</v>
      </c>
      <c r="Z572">
        <v>4</v>
      </c>
      <c r="AA572">
        <v>44.1</v>
      </c>
      <c r="AB572">
        <v>0.01</v>
      </c>
      <c r="AC572" t="s">
        <v>214</v>
      </c>
      <c r="AD572">
        <v>4</v>
      </c>
      <c r="AE572">
        <v>1</v>
      </c>
      <c r="AF572">
        <v>0</v>
      </c>
      <c r="AG572">
        <v>2.782</v>
      </c>
      <c r="AH572">
        <v>3.0339999999999998</v>
      </c>
      <c r="AI572">
        <v>0</v>
      </c>
      <c r="AL572" t="str">
        <f t="shared" si="51"/>
        <v/>
      </c>
      <c r="AM572">
        <f>VLOOKUP(TRIM(N572),'[1]All - Durations'!$E$2:$H$109,4,FALSE)</f>
        <v>0.81699999999999995</v>
      </c>
      <c r="AN572" t="e">
        <f t="shared" si="52"/>
        <v>#VALUE!</v>
      </c>
      <c r="AO572" t="str">
        <f t="shared" si="53"/>
        <v/>
      </c>
    </row>
    <row r="573" spans="1:41" x14ac:dyDescent="0.25">
      <c r="A573">
        <v>259</v>
      </c>
      <c r="B573" t="s">
        <v>35</v>
      </c>
      <c r="C573">
        <v>3</v>
      </c>
      <c r="D573" t="s">
        <v>36</v>
      </c>
      <c r="E573">
        <v>4</v>
      </c>
      <c r="F573" t="s">
        <v>37</v>
      </c>
      <c r="G573">
        <v>8</v>
      </c>
      <c r="H573">
        <v>13</v>
      </c>
      <c r="I573">
        <v>1</v>
      </c>
      <c r="J573">
        <v>68</v>
      </c>
      <c r="K573">
        <v>67</v>
      </c>
      <c r="L573">
        <v>17</v>
      </c>
      <c r="M573">
        <v>1</v>
      </c>
      <c r="N573" t="s">
        <v>254</v>
      </c>
      <c r="O573" t="s">
        <v>151</v>
      </c>
      <c r="P573" t="s">
        <v>255</v>
      </c>
      <c r="Q573" t="s">
        <v>256</v>
      </c>
      <c r="R573" t="s">
        <v>174</v>
      </c>
      <c r="S573" t="s">
        <v>52</v>
      </c>
      <c r="T573" t="s">
        <v>47</v>
      </c>
      <c r="U573">
        <v>5</v>
      </c>
      <c r="V573" t="s">
        <v>110</v>
      </c>
      <c r="W573" t="s">
        <v>124</v>
      </c>
      <c r="X573" t="s">
        <v>106</v>
      </c>
      <c r="Y573">
        <v>1</v>
      </c>
      <c r="Z573">
        <v>4</v>
      </c>
      <c r="AA573">
        <v>44.1</v>
      </c>
      <c r="AB573">
        <v>0.01</v>
      </c>
      <c r="AC573" t="s">
        <v>110</v>
      </c>
      <c r="AD573">
        <v>2</v>
      </c>
      <c r="AE573">
        <v>2</v>
      </c>
      <c r="AF573">
        <v>0</v>
      </c>
      <c r="AG573">
        <v>2.3290000000000002</v>
      </c>
      <c r="AH573">
        <v>1.216</v>
      </c>
      <c r="AI573">
        <v>0</v>
      </c>
      <c r="AL573" t="str">
        <f t="shared" si="51"/>
        <v/>
      </c>
      <c r="AM573">
        <f>VLOOKUP(TRIM(N573),'[1]All - Durations'!$E$2:$H$109,4,FALSE)</f>
        <v>0.97499999999999998</v>
      </c>
      <c r="AN573" t="e">
        <f t="shared" si="52"/>
        <v>#VALUE!</v>
      </c>
      <c r="AO573" t="str">
        <f t="shared" si="53"/>
        <v/>
      </c>
    </row>
    <row r="574" spans="1:41" x14ac:dyDescent="0.25">
      <c r="A574">
        <v>259</v>
      </c>
      <c r="B574" t="s">
        <v>35</v>
      </c>
      <c r="C574">
        <v>3</v>
      </c>
      <c r="D574" t="s">
        <v>36</v>
      </c>
      <c r="E574">
        <v>4</v>
      </c>
      <c r="F574" t="s">
        <v>37</v>
      </c>
      <c r="G574">
        <v>8</v>
      </c>
      <c r="H574">
        <v>13</v>
      </c>
      <c r="I574">
        <v>1</v>
      </c>
      <c r="J574">
        <v>69</v>
      </c>
      <c r="K574">
        <v>70</v>
      </c>
      <c r="L574">
        <v>58</v>
      </c>
      <c r="M574">
        <v>2</v>
      </c>
      <c r="N574" t="s">
        <v>235</v>
      </c>
      <c r="O574" t="s">
        <v>151</v>
      </c>
      <c r="P574" t="s">
        <v>236</v>
      </c>
      <c r="Q574" t="s">
        <v>237</v>
      </c>
      <c r="R574" t="s">
        <v>160</v>
      </c>
      <c r="S574" t="s">
        <v>43</v>
      </c>
      <c r="T574" t="s">
        <v>55</v>
      </c>
      <c r="U574">
        <v>1</v>
      </c>
      <c r="V574" t="s">
        <v>108</v>
      </c>
      <c r="W574" t="s">
        <v>120</v>
      </c>
      <c r="X574" t="s">
        <v>66</v>
      </c>
      <c r="Y574">
        <v>2</v>
      </c>
      <c r="Z574">
        <v>4</v>
      </c>
      <c r="AA574">
        <v>44.1</v>
      </c>
      <c r="AB574">
        <v>1.2E-2</v>
      </c>
      <c r="AC574" t="s">
        <v>55</v>
      </c>
      <c r="AD574">
        <v>1</v>
      </c>
      <c r="AE574">
        <v>1</v>
      </c>
      <c r="AF574">
        <v>1</v>
      </c>
      <c r="AG574">
        <v>3.3490000000000002</v>
      </c>
      <c r="AH574">
        <v>0.41699999999999998</v>
      </c>
      <c r="AI574">
        <v>0</v>
      </c>
      <c r="AL574" t="str">
        <f t="shared" si="51"/>
        <v/>
      </c>
      <c r="AM574">
        <f>VLOOKUP(TRIM(N574),'[1]All - Durations'!$E$2:$H$109,4,FALSE)</f>
        <v>0.85899999999999999</v>
      </c>
      <c r="AN574" t="e">
        <f t="shared" si="52"/>
        <v>#VALUE!</v>
      </c>
      <c r="AO574" t="str">
        <f t="shared" si="53"/>
        <v/>
      </c>
    </row>
    <row r="575" spans="1:41" x14ac:dyDescent="0.25">
      <c r="A575">
        <v>259</v>
      </c>
      <c r="B575" t="s">
        <v>35</v>
      </c>
      <c r="C575">
        <v>3</v>
      </c>
      <c r="D575" t="s">
        <v>36</v>
      </c>
      <c r="E575">
        <v>4</v>
      </c>
      <c r="F575" t="s">
        <v>37</v>
      </c>
      <c r="G575">
        <v>8</v>
      </c>
      <c r="H575">
        <v>13</v>
      </c>
      <c r="I575">
        <v>1</v>
      </c>
      <c r="J575">
        <v>70</v>
      </c>
      <c r="K575">
        <v>64</v>
      </c>
      <c r="L575">
        <v>20</v>
      </c>
      <c r="M575">
        <v>1</v>
      </c>
      <c r="N575" t="s">
        <v>238</v>
      </c>
      <c r="O575" t="s">
        <v>151</v>
      </c>
      <c r="P575" t="s">
        <v>239</v>
      </c>
      <c r="Q575" t="s">
        <v>240</v>
      </c>
      <c r="R575" t="s">
        <v>160</v>
      </c>
      <c r="S575" t="s">
        <v>43</v>
      </c>
      <c r="T575" t="s">
        <v>82</v>
      </c>
      <c r="U575">
        <v>5</v>
      </c>
      <c r="V575" t="s">
        <v>211</v>
      </c>
      <c r="W575" t="s">
        <v>54</v>
      </c>
      <c r="X575" t="s">
        <v>130</v>
      </c>
      <c r="Y575">
        <v>1</v>
      </c>
      <c r="Z575">
        <v>4</v>
      </c>
      <c r="AA575">
        <v>44.1</v>
      </c>
      <c r="AB575">
        <v>-1</v>
      </c>
      <c r="AC575" t="s">
        <v>82</v>
      </c>
      <c r="AD575">
        <v>1</v>
      </c>
      <c r="AE575">
        <v>5</v>
      </c>
      <c r="AF575">
        <v>1</v>
      </c>
      <c r="AG575">
        <v>0.63200000000000001</v>
      </c>
      <c r="AH575">
        <v>0.23300000000000001</v>
      </c>
      <c r="AI575">
        <v>-1</v>
      </c>
      <c r="AL575" t="str">
        <f t="shared" si="51"/>
        <v/>
      </c>
      <c r="AM575">
        <f>VLOOKUP(TRIM(N575),'[1]All - Durations'!$E$2:$H$109,4,FALSE)</f>
        <v>0.9</v>
      </c>
      <c r="AN575" t="e">
        <f t="shared" si="52"/>
        <v>#VALUE!</v>
      </c>
      <c r="AO575" t="str">
        <f t="shared" si="53"/>
        <v/>
      </c>
    </row>
    <row r="576" spans="1:41" x14ac:dyDescent="0.25">
      <c r="A576">
        <v>259</v>
      </c>
      <c r="B576" t="s">
        <v>35</v>
      </c>
      <c r="C576">
        <v>3</v>
      </c>
      <c r="D576" t="s">
        <v>36</v>
      </c>
      <c r="E576">
        <v>4</v>
      </c>
      <c r="F576" t="s">
        <v>37</v>
      </c>
      <c r="G576">
        <v>8</v>
      </c>
      <c r="H576">
        <v>13</v>
      </c>
      <c r="I576">
        <v>1</v>
      </c>
      <c r="J576">
        <v>71</v>
      </c>
      <c r="K576">
        <v>65</v>
      </c>
      <c r="L576">
        <v>53</v>
      </c>
      <c r="M576">
        <v>2</v>
      </c>
      <c r="N576" t="s">
        <v>257</v>
      </c>
      <c r="O576" t="s">
        <v>151</v>
      </c>
      <c r="P576" t="s">
        <v>249</v>
      </c>
      <c r="Q576" t="s">
        <v>250</v>
      </c>
      <c r="R576" t="s">
        <v>170</v>
      </c>
      <c r="S576" t="s">
        <v>59</v>
      </c>
      <c r="T576" t="s">
        <v>204</v>
      </c>
      <c r="U576">
        <v>4</v>
      </c>
      <c r="V576" t="s">
        <v>68</v>
      </c>
      <c r="W576" t="s">
        <v>69</v>
      </c>
      <c r="X576" t="s">
        <v>79</v>
      </c>
      <c r="Y576">
        <v>1</v>
      </c>
      <c r="Z576">
        <v>4</v>
      </c>
      <c r="AA576">
        <v>44.1</v>
      </c>
      <c r="AB576">
        <v>-1</v>
      </c>
      <c r="AC576" t="s">
        <v>83</v>
      </c>
      <c r="AD576">
        <v>0</v>
      </c>
      <c r="AE576">
        <v>0</v>
      </c>
      <c r="AF576">
        <v>0</v>
      </c>
      <c r="AG576">
        <v>-1</v>
      </c>
      <c r="AH576">
        <v>0.48299999999999998</v>
      </c>
      <c r="AI576">
        <v>-1</v>
      </c>
      <c r="AL576" t="str">
        <f t="shared" si="51"/>
        <v/>
      </c>
      <c r="AM576">
        <f>VLOOKUP(TRIM(N576),'[1]All - Durations'!$E$2:$H$109,4,FALSE)</f>
        <v>0.98299999999999998</v>
      </c>
      <c r="AN576" t="e">
        <f t="shared" si="52"/>
        <v>#VALUE!</v>
      </c>
      <c r="AO576" t="str">
        <f t="shared" si="53"/>
        <v/>
      </c>
    </row>
    <row r="577" spans="1:41" x14ac:dyDescent="0.25">
      <c r="A577">
        <v>259</v>
      </c>
      <c r="B577" t="s">
        <v>35</v>
      </c>
      <c r="C577">
        <v>3</v>
      </c>
      <c r="D577" t="s">
        <v>36</v>
      </c>
      <c r="E577">
        <v>4</v>
      </c>
      <c r="F577" t="s">
        <v>37</v>
      </c>
      <c r="G577">
        <v>8</v>
      </c>
      <c r="H577">
        <v>13</v>
      </c>
      <c r="I577">
        <v>1</v>
      </c>
      <c r="J577">
        <v>72</v>
      </c>
      <c r="K577">
        <v>72</v>
      </c>
      <c r="L577">
        <v>22</v>
      </c>
      <c r="M577">
        <v>1</v>
      </c>
      <c r="N577" t="s">
        <v>241</v>
      </c>
      <c r="O577" t="s">
        <v>151</v>
      </c>
      <c r="P577" t="s">
        <v>242</v>
      </c>
      <c r="Q577" t="s">
        <v>243</v>
      </c>
      <c r="R577" t="s">
        <v>174</v>
      </c>
      <c r="S577" t="s">
        <v>52</v>
      </c>
      <c r="T577" t="s">
        <v>132</v>
      </c>
      <c r="U577">
        <v>5</v>
      </c>
      <c r="V577" t="s">
        <v>166</v>
      </c>
      <c r="W577" t="s">
        <v>131</v>
      </c>
      <c r="X577" t="s">
        <v>107</v>
      </c>
      <c r="Y577">
        <v>2</v>
      </c>
      <c r="Z577">
        <v>4</v>
      </c>
      <c r="AA577">
        <v>44.1</v>
      </c>
      <c r="AB577">
        <v>0.49</v>
      </c>
      <c r="AC577" t="s">
        <v>132</v>
      </c>
      <c r="AD577">
        <v>1</v>
      </c>
      <c r="AE577">
        <v>5</v>
      </c>
      <c r="AF577">
        <v>1</v>
      </c>
      <c r="AG577">
        <v>2.8730000000000002</v>
      </c>
      <c r="AH577">
        <v>3.0339999999999998</v>
      </c>
      <c r="AI577">
        <v>0.48299999999999998</v>
      </c>
      <c r="AL577" t="str">
        <f t="shared" si="51"/>
        <v/>
      </c>
      <c r="AM577">
        <f>VLOOKUP(TRIM(N577),'[1]All - Durations'!$E$2:$H$109,4,FALSE)</f>
        <v>0.97099999999999997</v>
      </c>
      <c r="AN577" t="e">
        <f t="shared" si="52"/>
        <v>#VALUE!</v>
      </c>
      <c r="AO577" t="str">
        <f t="shared" si="5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W1" zoomScale="70" zoomScaleNormal="70" workbookViewId="0">
      <selection activeCell="AJ1" sqref="AJ1:AY1048576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14"/>
      <c r="AK1" s="1"/>
      <c r="AL1" s="6"/>
      <c r="AQ1" s="1"/>
      <c r="AR1" s="2"/>
    </row>
    <row r="2" spans="1:51" x14ac:dyDescent="0.25">
      <c r="A2">
        <v>259</v>
      </c>
      <c r="B2" t="s">
        <v>35</v>
      </c>
      <c r="C2">
        <v>3</v>
      </c>
      <c r="D2" t="s">
        <v>36</v>
      </c>
      <c r="E2">
        <v>1</v>
      </c>
      <c r="F2" t="s">
        <v>259</v>
      </c>
      <c r="G2">
        <v>1</v>
      </c>
      <c r="H2">
        <v>3</v>
      </c>
      <c r="I2">
        <v>1</v>
      </c>
      <c r="J2">
        <v>1</v>
      </c>
      <c r="K2">
        <v>2</v>
      </c>
      <c r="L2">
        <v>48</v>
      </c>
      <c r="M2">
        <v>2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>
        <v>5</v>
      </c>
      <c r="V2" t="s">
        <v>60</v>
      </c>
      <c r="W2" t="s">
        <v>130</v>
      </c>
      <c r="X2" t="s">
        <v>132</v>
      </c>
      <c r="Y2">
        <v>1</v>
      </c>
      <c r="Z2">
        <v>3</v>
      </c>
      <c r="AA2">
        <v>48</v>
      </c>
      <c r="AB2">
        <v>4.0000000000000001E-3</v>
      </c>
      <c r="AC2" t="s">
        <v>44</v>
      </c>
      <c r="AD2">
        <v>1</v>
      </c>
      <c r="AE2">
        <v>5</v>
      </c>
      <c r="AF2">
        <v>1</v>
      </c>
      <c r="AG2">
        <v>0.67300000000000004</v>
      </c>
      <c r="AH2">
        <v>1.766</v>
      </c>
      <c r="AI2">
        <v>0</v>
      </c>
      <c r="AJ2" s="1"/>
      <c r="AK2" s="1"/>
      <c r="AL2" s="6"/>
      <c r="AM2" s="1"/>
      <c r="AN2" s="1"/>
      <c r="AO2" s="1"/>
      <c r="AP2" s="5"/>
      <c r="AQ2" s="1"/>
      <c r="AR2" s="2"/>
    </row>
    <row r="3" spans="1:51" x14ac:dyDescent="0.25">
      <c r="A3">
        <v>259</v>
      </c>
      <c r="B3" t="s">
        <v>35</v>
      </c>
      <c r="C3">
        <v>3</v>
      </c>
      <c r="D3" t="s">
        <v>36</v>
      </c>
      <c r="E3">
        <v>1</v>
      </c>
      <c r="F3" t="s">
        <v>259</v>
      </c>
      <c r="G3">
        <v>1</v>
      </c>
      <c r="H3">
        <v>3</v>
      </c>
      <c r="I3">
        <v>1</v>
      </c>
      <c r="J3">
        <v>2</v>
      </c>
      <c r="K3">
        <v>11</v>
      </c>
      <c r="L3">
        <v>43</v>
      </c>
      <c r="M3">
        <v>2</v>
      </c>
      <c r="N3" t="s">
        <v>105</v>
      </c>
      <c r="O3" t="s">
        <v>39</v>
      </c>
      <c r="P3" t="s">
        <v>77</v>
      </c>
      <c r="Q3" t="s">
        <v>78</v>
      </c>
      <c r="R3" t="s">
        <v>91</v>
      </c>
      <c r="S3" t="s">
        <v>92</v>
      </c>
      <c r="T3" t="s">
        <v>80</v>
      </c>
      <c r="U3">
        <v>1</v>
      </c>
      <c r="V3" t="s">
        <v>79</v>
      </c>
      <c r="W3" t="s">
        <v>146</v>
      </c>
      <c r="X3" t="s">
        <v>87</v>
      </c>
      <c r="Y3">
        <v>1</v>
      </c>
      <c r="Z3">
        <v>3</v>
      </c>
      <c r="AA3">
        <v>48</v>
      </c>
      <c r="AB3">
        <v>2E-3</v>
      </c>
      <c r="AC3" t="s">
        <v>87</v>
      </c>
      <c r="AD3">
        <v>4</v>
      </c>
      <c r="AE3">
        <v>4</v>
      </c>
      <c r="AF3">
        <v>0</v>
      </c>
      <c r="AG3">
        <v>1.7569999999999999</v>
      </c>
      <c r="AH3">
        <v>1.1659999999999999</v>
      </c>
      <c r="AI3">
        <v>0</v>
      </c>
      <c r="AJ3" s="1"/>
      <c r="AK3" s="3"/>
      <c r="AL3" s="15" t="s">
        <v>334</v>
      </c>
      <c r="AM3" s="2" t="s">
        <v>361</v>
      </c>
      <c r="AN3" s="2" t="s">
        <v>362</v>
      </c>
      <c r="AO3" s="2" t="s">
        <v>363</v>
      </c>
      <c r="AP3" s="2" t="s">
        <v>364</v>
      </c>
      <c r="AQ3" s="2" t="s">
        <v>365</v>
      </c>
      <c r="AR3" s="2" t="s">
        <v>366</v>
      </c>
      <c r="AS3" s="2" t="s">
        <v>367</v>
      </c>
      <c r="AT3" s="2" t="s">
        <v>368</v>
      </c>
      <c r="AU3" s="2" t="s">
        <v>369</v>
      </c>
      <c r="AV3" s="2" t="s">
        <v>370</v>
      </c>
      <c r="AW3" s="2" t="s">
        <v>371</v>
      </c>
      <c r="AX3" s="2" t="s">
        <v>372</v>
      </c>
    </row>
    <row r="4" spans="1:51" x14ac:dyDescent="0.25">
      <c r="A4">
        <v>259</v>
      </c>
      <c r="B4" t="s">
        <v>35</v>
      </c>
      <c r="C4">
        <v>3</v>
      </c>
      <c r="D4" t="s">
        <v>36</v>
      </c>
      <c r="E4">
        <v>1</v>
      </c>
      <c r="F4" t="s">
        <v>259</v>
      </c>
      <c r="G4">
        <v>1</v>
      </c>
      <c r="H4">
        <v>3</v>
      </c>
      <c r="I4">
        <v>1</v>
      </c>
      <c r="J4">
        <v>3</v>
      </c>
      <c r="K4">
        <v>5</v>
      </c>
      <c r="L4">
        <v>37</v>
      </c>
      <c r="M4">
        <v>2</v>
      </c>
      <c r="N4" t="s">
        <v>97</v>
      </c>
      <c r="O4" t="s">
        <v>39</v>
      </c>
      <c r="P4" t="s">
        <v>49</v>
      </c>
      <c r="Q4" t="s">
        <v>50</v>
      </c>
      <c r="R4" t="s">
        <v>91</v>
      </c>
      <c r="S4" t="s">
        <v>92</v>
      </c>
      <c r="T4" t="s">
        <v>54</v>
      </c>
      <c r="U4">
        <v>4</v>
      </c>
      <c r="V4" t="s">
        <v>53</v>
      </c>
      <c r="W4" t="s">
        <v>82</v>
      </c>
      <c r="X4" t="s">
        <v>124</v>
      </c>
      <c r="Y4">
        <v>1</v>
      </c>
      <c r="Z4">
        <v>3</v>
      </c>
      <c r="AA4">
        <v>48</v>
      </c>
      <c r="AB4">
        <v>4.0000000000000001E-3</v>
      </c>
      <c r="AC4" t="s">
        <v>124</v>
      </c>
      <c r="AD4">
        <v>4</v>
      </c>
      <c r="AE4">
        <v>2</v>
      </c>
      <c r="AF4">
        <v>0</v>
      </c>
      <c r="AG4">
        <v>1.53</v>
      </c>
      <c r="AH4">
        <v>1.1659999999999999</v>
      </c>
      <c r="AI4">
        <v>0</v>
      </c>
      <c r="AJ4" s="8" t="s">
        <v>39</v>
      </c>
      <c r="AK4" s="1"/>
      <c r="AL4" s="6" t="s">
        <v>335</v>
      </c>
      <c r="AM4" s="11">
        <f>SUMIFS($AF:$AF,$G:$G,1,$I:$I,1,$O:$O,$AJ$4)/24</f>
        <v>0.33333333333333331</v>
      </c>
      <c r="AN4" s="11">
        <f>SUMIFS($AF:$AF,$G:$G,1,$I:$I,2,$O:$O,$AJ$4)/24</f>
        <v>0.29166666666666669</v>
      </c>
      <c r="AO4" s="11">
        <f>SUMIFS($AF:$AF,$G:$G,1,$I:$I,3,$O:$O,$AJ$4)/24</f>
        <v>0.25</v>
      </c>
      <c r="AP4" s="11">
        <f>SUMIFS($AF:$AF,$G:$G,2,$I:$I,1,$O:$O,$AJ$4)/24</f>
        <v>0.29166666666666669</v>
      </c>
      <c r="AQ4" s="11">
        <f>SUMIFS($AF:$AF,$G:$G,2,$I:$I,2,$O:$O,$AJ$4)/24</f>
        <v>0.33333333333333331</v>
      </c>
      <c r="AR4" s="11">
        <f>SUMIFS($AF:$AF,$G:$G,2,$I:$I,3,$O:$O,$AJ$4)/24</f>
        <v>0.41666666666666669</v>
      </c>
      <c r="AS4" s="11">
        <f>SUMIFS($AF:$AF,$G:$G,3,$I:$I,1,$O:$O,$AJ$4)/24</f>
        <v>0.45833333333333331</v>
      </c>
      <c r="AT4" s="11">
        <f>SUMIFS($AF:$AF,$G:$G,3,$I:$I,2,$O:$O,$AJ$4)/24</f>
        <v>0.54166666666666663</v>
      </c>
      <c r="AU4" s="11">
        <f>SUMIFS($AF:$AF,$G:$G,3,$I:$I,3,$O:$O,$AJ$4)/24</f>
        <v>0.625</v>
      </c>
      <c r="AV4" s="11">
        <f>SUMIFS($AF:$AF,$G:$G,4,$I:$I,1,$O:$O,$AJ$4)/24</f>
        <v>0.58333333333333337</v>
      </c>
      <c r="AW4" s="11">
        <f>SUMIFS($AF:$AF,$G:$G,4,$I:$I,2,$O:$O,$AJ$4)/24</f>
        <v>0.58333333333333337</v>
      </c>
      <c r="AX4" s="11">
        <f>SUMIFS($AF:$AF,$G:$G,4,$I:$I,3,$O:$O,$AJ$4)/24</f>
        <v>0.58333333333333337</v>
      </c>
      <c r="AY4" s="12">
        <f>AVERAGE(AM4:AX4)</f>
        <v>0.44097222222222215</v>
      </c>
    </row>
    <row r="5" spans="1:51" x14ac:dyDescent="0.25">
      <c r="A5">
        <v>259</v>
      </c>
      <c r="B5" t="s">
        <v>35</v>
      </c>
      <c r="C5">
        <v>3</v>
      </c>
      <c r="D5" t="s">
        <v>36</v>
      </c>
      <c r="E5">
        <v>1</v>
      </c>
      <c r="F5" t="s">
        <v>259</v>
      </c>
      <c r="G5">
        <v>1</v>
      </c>
      <c r="H5">
        <v>3</v>
      </c>
      <c r="I5">
        <v>1</v>
      </c>
      <c r="J5">
        <v>4</v>
      </c>
      <c r="K5">
        <v>4</v>
      </c>
      <c r="L5">
        <v>2</v>
      </c>
      <c r="M5">
        <v>1</v>
      </c>
      <c r="N5" t="s">
        <v>109</v>
      </c>
      <c r="O5" t="s">
        <v>39</v>
      </c>
      <c r="P5" t="s">
        <v>71</v>
      </c>
      <c r="Q5" t="s">
        <v>72</v>
      </c>
      <c r="R5" t="s">
        <v>91</v>
      </c>
      <c r="S5" t="s">
        <v>92</v>
      </c>
      <c r="T5" t="s">
        <v>94</v>
      </c>
      <c r="U5">
        <v>1</v>
      </c>
      <c r="V5" t="s">
        <v>54</v>
      </c>
      <c r="W5" t="s">
        <v>166</v>
      </c>
      <c r="X5" t="s">
        <v>111</v>
      </c>
      <c r="Y5">
        <v>2</v>
      </c>
      <c r="Z5">
        <v>3</v>
      </c>
      <c r="AA5">
        <v>48</v>
      </c>
      <c r="AB5">
        <v>3.0000000000000001E-3</v>
      </c>
      <c r="AC5" t="s">
        <v>94</v>
      </c>
      <c r="AD5">
        <v>1</v>
      </c>
      <c r="AE5">
        <v>1</v>
      </c>
      <c r="AF5">
        <v>1</v>
      </c>
      <c r="AG5">
        <v>1.6259999999999999</v>
      </c>
      <c r="AH5">
        <v>0.71599999999999997</v>
      </c>
      <c r="AI5">
        <v>0</v>
      </c>
      <c r="AJ5" s="8" t="s">
        <v>151</v>
      </c>
      <c r="AK5" s="1"/>
      <c r="AL5" s="6" t="s">
        <v>336</v>
      </c>
      <c r="AM5" s="11">
        <f>SUMIFS($AF:$AF,$G:$G,1,$I:$I,1,$O:$O,$AJ$5)/24</f>
        <v>0.33333333333333331</v>
      </c>
      <c r="AN5" s="11">
        <f>SUMIFS($AF:$AF,$G:$G,1,$I:$I,2,$O:$O,$AJ$5)/24</f>
        <v>0.29166666666666669</v>
      </c>
      <c r="AO5" s="11">
        <f>SUMIFS($AF:$AF,$G:$G,1,$I:$I,3,$O:$O,$AJ$5)/24</f>
        <v>0.29166666666666669</v>
      </c>
      <c r="AP5" s="11">
        <f>SUMIFS($AF:$AF,$G:$G,2,$I:$I,1,$O:$O,$AJ$5)/24</f>
        <v>0.41666666666666669</v>
      </c>
      <c r="AQ5" s="11">
        <f>SUMIFS($AF:$AF,$G:$G,2,$I:$I,2,$O:$O,$AJ$5)/24</f>
        <v>0.58333333333333337</v>
      </c>
      <c r="AR5" s="11">
        <f>SUMIFS($AF:$AF,$G:$G,2,$I:$I,3,$O:$O,$AJ$5)/24</f>
        <v>0.54166666666666663</v>
      </c>
      <c r="AS5" s="11">
        <f>SUMIFS($AF:$AF,$G:$G,3,$I:$I,1,$O:$O,$AJ$5)/24</f>
        <v>0.33333333333333331</v>
      </c>
      <c r="AT5" s="11">
        <f>SUMIFS($AF:$AF,$G:$G,3,$I:$I,2,$O:$O,$AJ$5)/24</f>
        <v>0.58333333333333337</v>
      </c>
      <c r="AU5" s="11">
        <f>SUMIFS($AF:$AF,$G:$G,3,$I:$I,3,$O:$O,$AJ$5)/24</f>
        <v>0.66666666666666663</v>
      </c>
      <c r="AV5" s="11">
        <f>SUMIFS($AF:$AF,$G:$G,4,$I:$I,1,$O:$O,$AJ$5)/24</f>
        <v>0.66666666666666663</v>
      </c>
      <c r="AW5" s="11">
        <f>SUMIFS($AF:$AF,$G:$G,4,$I:$I,2,$O:$O,$AJ$5)/24</f>
        <v>0.66666666666666663</v>
      </c>
      <c r="AX5" s="11">
        <f>SUMIFS($AF:$AF,$G:$G,4,$I:$I,3,$O:$O,$AJ$5)/24</f>
        <v>0.79166666666666663</v>
      </c>
      <c r="AY5" s="12">
        <f t="shared" ref="AY5:AY6" si="0">AVERAGE(AM5:AX5)</f>
        <v>0.51388888888888895</v>
      </c>
    </row>
    <row r="6" spans="1:51" x14ac:dyDescent="0.25">
      <c r="A6">
        <v>259</v>
      </c>
      <c r="B6" t="s">
        <v>35</v>
      </c>
      <c r="C6">
        <v>3</v>
      </c>
      <c r="D6" t="s">
        <v>36</v>
      </c>
      <c r="E6">
        <v>1</v>
      </c>
      <c r="F6" t="s">
        <v>259</v>
      </c>
      <c r="G6">
        <v>1</v>
      </c>
      <c r="H6">
        <v>3</v>
      </c>
      <c r="I6">
        <v>1</v>
      </c>
      <c r="J6">
        <v>5</v>
      </c>
      <c r="K6">
        <v>21</v>
      </c>
      <c r="L6">
        <v>45</v>
      </c>
      <c r="M6">
        <v>2</v>
      </c>
      <c r="N6" t="s">
        <v>210</v>
      </c>
      <c r="O6" t="s">
        <v>39</v>
      </c>
      <c r="P6" t="s">
        <v>190</v>
      </c>
      <c r="Q6" t="s">
        <v>191</v>
      </c>
      <c r="R6" t="s">
        <v>51</v>
      </c>
      <c r="S6" t="s">
        <v>52</v>
      </c>
      <c r="T6" t="s">
        <v>149</v>
      </c>
      <c r="U6">
        <v>5</v>
      </c>
      <c r="V6" t="s">
        <v>45</v>
      </c>
      <c r="W6" t="s">
        <v>204</v>
      </c>
      <c r="X6" t="s">
        <v>179</v>
      </c>
      <c r="Y6">
        <v>1</v>
      </c>
      <c r="Z6">
        <v>3</v>
      </c>
      <c r="AA6">
        <v>48</v>
      </c>
      <c r="AB6">
        <v>4.0000000000000001E-3</v>
      </c>
      <c r="AC6" t="s">
        <v>149</v>
      </c>
      <c r="AD6">
        <v>1</v>
      </c>
      <c r="AE6">
        <v>5</v>
      </c>
      <c r="AF6">
        <v>1</v>
      </c>
      <c r="AG6">
        <v>1.883</v>
      </c>
      <c r="AH6">
        <v>0.9</v>
      </c>
      <c r="AI6">
        <v>0</v>
      </c>
      <c r="AJ6" s="8" t="s">
        <v>113</v>
      </c>
      <c r="AK6" s="1"/>
      <c r="AL6" s="6" t="s">
        <v>337</v>
      </c>
      <c r="AM6" s="11">
        <f>SUMIFS($AF:$AF,$G:$G,1,$I:$I,1,$O:$O,$AJ$6)/24</f>
        <v>0.33333333333333331</v>
      </c>
      <c r="AN6" s="11">
        <f>SUMIFS($AF:$AF,$G:$G,1,$I:$I,2,$O:$O,$AJ$6)/24</f>
        <v>0.25</v>
      </c>
      <c r="AO6" s="11">
        <f>SUMIFS($AF:$AF,$G:$G,1,$I:$I,3,$O:$O,$AJ$6)/24</f>
        <v>0.45833333333333331</v>
      </c>
      <c r="AP6" s="11">
        <f>SUMIFS($AF:$AF,$G:$G,2,$I:$I,1,$O:$O,$AJ$6)/24</f>
        <v>0.20833333333333334</v>
      </c>
      <c r="AQ6" s="11">
        <f>SUMIFS($AF:$AF,$G:$G,2,$I:$I,2,$O:$O,$AJ$6)/24</f>
        <v>0.45833333333333331</v>
      </c>
      <c r="AR6" s="11">
        <f>SUMIFS($AF:$AF,$G:$G,2,$I:$I,3,$O:$O,$AJ$6)/24</f>
        <v>0.5</v>
      </c>
      <c r="AS6" s="11">
        <f>SUMIFS($AF:$AF,$G:$G,3,$I:$I,1,$O:$O,$AJ$6)/24</f>
        <v>0.45833333333333331</v>
      </c>
      <c r="AT6" s="11">
        <f>SUMIFS($AF:$AF,$G:$G,3,$I:$I,2,$O:$O,$AJ$6)/24</f>
        <v>0.54166666666666663</v>
      </c>
      <c r="AU6" s="11">
        <f>SUMIFS($AF:$AF,$G:$G,3,$I:$I,3,$O:$O,$AJ$6)/24</f>
        <v>0.45833333333333331</v>
      </c>
      <c r="AV6" s="11">
        <f>SUMIFS($AF:$AF,$G:$G,4,$I:$I,1,$O:$O,$AJ$6)/24</f>
        <v>0.45833333333333331</v>
      </c>
      <c r="AW6" s="11">
        <f>SUMIFS($AF:$AF,$G:$G,4,$I:$I,2,$O:$O,$AJ$6)/24</f>
        <v>0.45833333333333331</v>
      </c>
      <c r="AX6" s="11">
        <f>SUMIFS($AF:$AF,$G:$G,4,$I:$I,3,$O:$O,$AJ$6)/24</f>
        <v>0.45833333333333331</v>
      </c>
      <c r="AY6" s="12">
        <f t="shared" si="0"/>
        <v>0.42013888888888884</v>
      </c>
    </row>
    <row r="7" spans="1:51" x14ac:dyDescent="0.25">
      <c r="A7">
        <v>259</v>
      </c>
      <c r="B7" t="s">
        <v>35</v>
      </c>
      <c r="C7">
        <v>3</v>
      </c>
      <c r="D7" t="s">
        <v>36</v>
      </c>
      <c r="E7">
        <v>1</v>
      </c>
      <c r="F7" t="s">
        <v>259</v>
      </c>
      <c r="G7">
        <v>1</v>
      </c>
      <c r="H7">
        <v>3</v>
      </c>
      <c r="I7">
        <v>1</v>
      </c>
      <c r="J7">
        <v>6</v>
      </c>
      <c r="K7">
        <v>15</v>
      </c>
      <c r="L7">
        <v>7</v>
      </c>
      <c r="M7">
        <v>1</v>
      </c>
      <c r="N7" t="s">
        <v>205</v>
      </c>
      <c r="O7" t="s">
        <v>39</v>
      </c>
      <c r="P7" t="s">
        <v>196</v>
      </c>
      <c r="Q7" t="s">
        <v>197</v>
      </c>
      <c r="R7" t="s">
        <v>58</v>
      </c>
      <c r="S7" t="s">
        <v>59</v>
      </c>
      <c r="T7" t="s">
        <v>156</v>
      </c>
      <c r="U7">
        <v>2</v>
      </c>
      <c r="V7" t="s">
        <v>85</v>
      </c>
      <c r="W7" t="s">
        <v>61</v>
      </c>
      <c r="X7" t="s">
        <v>99</v>
      </c>
      <c r="Y7">
        <v>1</v>
      </c>
      <c r="Z7">
        <v>3</v>
      </c>
      <c r="AA7">
        <v>48</v>
      </c>
      <c r="AB7">
        <v>4.0000000000000001E-3</v>
      </c>
      <c r="AC7" t="s">
        <v>99</v>
      </c>
      <c r="AD7">
        <v>4</v>
      </c>
      <c r="AE7">
        <v>1</v>
      </c>
      <c r="AF7">
        <v>0</v>
      </c>
      <c r="AG7">
        <v>2.0990000000000002</v>
      </c>
      <c r="AH7">
        <v>0.83299999999999996</v>
      </c>
      <c r="AI7">
        <v>0</v>
      </c>
      <c r="AJ7" s="8"/>
      <c r="AK7" s="1"/>
      <c r="AL7" s="6"/>
      <c r="AM7" s="1"/>
      <c r="AQ7" s="1"/>
      <c r="AR7" s="2"/>
    </row>
    <row r="8" spans="1:51" x14ac:dyDescent="0.25">
      <c r="A8">
        <v>259</v>
      </c>
      <c r="B8" t="s">
        <v>35</v>
      </c>
      <c r="C8">
        <v>3</v>
      </c>
      <c r="D8" t="s">
        <v>36</v>
      </c>
      <c r="E8">
        <v>1</v>
      </c>
      <c r="F8" t="s">
        <v>259</v>
      </c>
      <c r="G8">
        <v>1</v>
      </c>
      <c r="H8">
        <v>3</v>
      </c>
      <c r="I8">
        <v>1</v>
      </c>
      <c r="J8">
        <v>7</v>
      </c>
      <c r="K8">
        <v>17</v>
      </c>
      <c r="L8">
        <v>41</v>
      </c>
      <c r="M8">
        <v>2</v>
      </c>
      <c r="N8" t="s">
        <v>198</v>
      </c>
      <c r="O8" t="s">
        <v>39</v>
      </c>
      <c r="P8" t="s">
        <v>199</v>
      </c>
      <c r="Q8" t="s">
        <v>200</v>
      </c>
      <c r="R8" t="s">
        <v>58</v>
      </c>
      <c r="S8" t="s">
        <v>59</v>
      </c>
      <c r="T8" t="s">
        <v>138</v>
      </c>
      <c r="U8">
        <v>5</v>
      </c>
      <c r="V8" t="s">
        <v>98</v>
      </c>
      <c r="W8" t="s">
        <v>47</v>
      </c>
      <c r="X8" t="s">
        <v>214</v>
      </c>
      <c r="Y8">
        <v>1</v>
      </c>
      <c r="Z8">
        <v>3</v>
      </c>
      <c r="AA8">
        <v>48</v>
      </c>
      <c r="AB8">
        <v>3.0000000000000001E-3</v>
      </c>
      <c r="AC8" t="s">
        <v>138</v>
      </c>
      <c r="AD8">
        <v>1</v>
      </c>
      <c r="AE8">
        <v>5</v>
      </c>
      <c r="AF8">
        <v>1</v>
      </c>
      <c r="AG8">
        <v>1.8</v>
      </c>
      <c r="AH8">
        <v>0.48299999999999998</v>
      </c>
      <c r="AI8">
        <v>0</v>
      </c>
      <c r="AJ8" s="8"/>
      <c r="AK8" s="1"/>
      <c r="AL8" s="15" t="s">
        <v>353</v>
      </c>
      <c r="AM8" s="2" t="s">
        <v>361</v>
      </c>
      <c r="AN8" s="2" t="s">
        <v>362</v>
      </c>
      <c r="AO8" s="2" t="s">
        <v>363</v>
      </c>
      <c r="AP8" s="2" t="s">
        <v>364</v>
      </c>
      <c r="AQ8" s="2" t="s">
        <v>365</v>
      </c>
      <c r="AR8" s="2" t="s">
        <v>366</v>
      </c>
      <c r="AS8" s="2" t="s">
        <v>367</v>
      </c>
      <c r="AT8" s="2" t="s">
        <v>368</v>
      </c>
      <c r="AU8" s="2" t="s">
        <v>369</v>
      </c>
      <c r="AV8" s="2" t="s">
        <v>370</v>
      </c>
      <c r="AW8" s="2" t="s">
        <v>371</v>
      </c>
      <c r="AX8" s="2" t="s">
        <v>372</v>
      </c>
    </row>
    <row r="9" spans="1:51" x14ac:dyDescent="0.25">
      <c r="A9">
        <v>259</v>
      </c>
      <c r="B9" t="s">
        <v>35</v>
      </c>
      <c r="C9">
        <v>3</v>
      </c>
      <c r="D9" t="s">
        <v>36</v>
      </c>
      <c r="E9">
        <v>1</v>
      </c>
      <c r="F9" t="s">
        <v>259</v>
      </c>
      <c r="G9">
        <v>1</v>
      </c>
      <c r="H9">
        <v>3</v>
      </c>
      <c r="I9">
        <v>1</v>
      </c>
      <c r="J9">
        <v>8</v>
      </c>
      <c r="K9">
        <v>8</v>
      </c>
      <c r="L9">
        <v>40</v>
      </c>
      <c r="M9">
        <v>2</v>
      </c>
      <c r="N9" t="s">
        <v>84</v>
      </c>
      <c r="O9" t="s">
        <v>39</v>
      </c>
      <c r="P9" t="s">
        <v>64</v>
      </c>
      <c r="Q9" t="s">
        <v>65</v>
      </c>
      <c r="R9" t="s">
        <v>42</v>
      </c>
      <c r="S9" t="s">
        <v>43</v>
      </c>
      <c r="T9" t="s">
        <v>67</v>
      </c>
      <c r="U9">
        <v>5</v>
      </c>
      <c r="V9" t="s">
        <v>66</v>
      </c>
      <c r="W9" t="s">
        <v>74</v>
      </c>
      <c r="X9" t="s">
        <v>141</v>
      </c>
      <c r="Y9">
        <v>1</v>
      </c>
      <c r="Z9">
        <v>3</v>
      </c>
      <c r="AA9">
        <v>48</v>
      </c>
      <c r="AB9">
        <v>3.0000000000000001E-3</v>
      </c>
      <c r="AC9" t="s">
        <v>74</v>
      </c>
      <c r="AD9">
        <v>4</v>
      </c>
      <c r="AE9">
        <v>2</v>
      </c>
      <c r="AF9">
        <v>0</v>
      </c>
      <c r="AG9">
        <v>1.8140000000000001</v>
      </c>
      <c r="AH9">
        <v>0.53300000000000003</v>
      </c>
      <c r="AI9">
        <v>0</v>
      </c>
      <c r="AJ9" s="8"/>
      <c r="AK9" s="1"/>
      <c r="AL9" s="6" t="s">
        <v>335</v>
      </c>
      <c r="AM9" s="11">
        <f>AVERAGEIFS($AG:$AG,$AF:$AF,1,$E:$E,1,$I:$I,1,$O:$O,$AJ$4)</f>
        <v>1.506375</v>
      </c>
      <c r="AN9" s="11">
        <f>AVERAGEIFS($AG:$AG,$AF:$AF,1,$E:$E,1,$I:$I,2,$O:$O,$AJ$4)</f>
        <v>2.1768571428571426</v>
      </c>
      <c r="AO9" s="11">
        <f>AVERAGEIFS($AG:$AG,$AF:$AF,1,$E:$E,1,$I:$I,3,$O:$O,$AJ$4)</f>
        <v>2.4476666666666671</v>
      </c>
      <c r="AP9" s="11">
        <f>AVERAGEIFS($AG:$AG,$AF:$AF,1,$E:$E,2,$I:$I,1,$O:$O,$AJ$4)</f>
        <v>1.8167142857142857</v>
      </c>
      <c r="AQ9" s="11">
        <f>AVERAGEIFS($AG:$AG,$AF:$AF,1,$E:$E,2,$I:$I,2,$O:$O,$AJ$4)</f>
        <v>2.1378750000000002</v>
      </c>
      <c r="AR9" s="11">
        <f>AVERAGEIFS($AG:$AG,$AF:$AF,1,$E:$E,2,$I:$I,3,$O:$O,$AJ$4)</f>
        <v>2.4797000000000002</v>
      </c>
      <c r="AS9" s="11">
        <f>AVERAGEIFS($AG:$AG,$AF:$AF,1,$E:$E,3,$I:$I,1,$O:$O,$AJ$4)</f>
        <v>2.2496363636363634</v>
      </c>
      <c r="AT9" s="11">
        <f>AVERAGEIFS($AG:$AG,$AF:$AF,1,$E:$E,3,$I:$I,2,$O:$O,$AJ$4)</f>
        <v>2.2725384615384612</v>
      </c>
      <c r="AU9" s="11">
        <f>AVERAGEIFS($AG:$AG,$AF:$AF,1,$E:$E,3,$I:$I,3,$O:$O,$AJ$4)</f>
        <v>2.0284666666666671</v>
      </c>
      <c r="AV9" s="11">
        <f>AVERAGEIFS($AG:$AG,$AF:$AF,1,$E:$E,4,$I:$I,1,$O:$O,$AJ$4)</f>
        <v>2.0016428571428571</v>
      </c>
      <c r="AW9" s="11">
        <f>AVERAGEIFS($AG:$AG,$AF:$AF,1,$E:$E,4,$I:$I,2,$O:$O,$AJ$4)</f>
        <v>1.7822857142857143</v>
      </c>
      <c r="AX9" s="11">
        <f>AVERAGEIFS($AG:$AG,$AF:$AF,1,$E:$E,4,$I:$I,3,$O:$O,$AJ$4)</f>
        <v>1.7040714285714287</v>
      </c>
      <c r="AY9" s="12">
        <f>AVERAGE(AM9:AX9)</f>
        <v>2.0503191322566319</v>
      </c>
    </row>
    <row r="10" spans="1:51" x14ac:dyDescent="0.25">
      <c r="A10">
        <v>259</v>
      </c>
      <c r="B10" t="s">
        <v>35</v>
      </c>
      <c r="C10">
        <v>3</v>
      </c>
      <c r="D10" t="s">
        <v>36</v>
      </c>
      <c r="E10">
        <v>1</v>
      </c>
      <c r="F10" t="s">
        <v>259</v>
      </c>
      <c r="G10">
        <v>1</v>
      </c>
      <c r="H10">
        <v>3</v>
      </c>
      <c r="I10">
        <v>1</v>
      </c>
      <c r="J10">
        <v>9</v>
      </c>
      <c r="K10">
        <v>3</v>
      </c>
      <c r="L10">
        <v>1</v>
      </c>
      <c r="M10">
        <v>1</v>
      </c>
      <c r="N10" t="s">
        <v>70</v>
      </c>
      <c r="O10" t="s">
        <v>39</v>
      </c>
      <c r="P10" t="s">
        <v>71</v>
      </c>
      <c r="Q10" t="s">
        <v>72</v>
      </c>
      <c r="R10" t="s">
        <v>58</v>
      </c>
      <c r="S10" t="s">
        <v>59</v>
      </c>
      <c r="T10" t="s">
        <v>73</v>
      </c>
      <c r="U10">
        <v>5</v>
      </c>
      <c r="V10" t="s">
        <v>94</v>
      </c>
      <c r="W10" t="s">
        <v>119</v>
      </c>
      <c r="X10" t="s">
        <v>55</v>
      </c>
      <c r="Y10">
        <v>1</v>
      </c>
      <c r="Z10">
        <v>3</v>
      </c>
      <c r="AA10">
        <v>48</v>
      </c>
      <c r="AB10">
        <v>3.0000000000000001E-3</v>
      </c>
      <c r="AC10" t="s">
        <v>73</v>
      </c>
      <c r="AD10">
        <v>1</v>
      </c>
      <c r="AE10">
        <v>5</v>
      </c>
      <c r="AF10">
        <v>1</v>
      </c>
      <c r="AG10">
        <v>1.5740000000000001</v>
      </c>
      <c r="AH10">
        <v>0.56699999999999995</v>
      </c>
      <c r="AI10">
        <v>0</v>
      </c>
      <c r="AJ10" s="8"/>
      <c r="AK10" s="3"/>
      <c r="AL10" s="6" t="s">
        <v>336</v>
      </c>
      <c r="AM10" s="11">
        <f>AVERAGEIFS($AG:$AG,$AF:$AF,1,$E:$E,1,$I:$I,1,$O:$O,$AJ$5)</f>
        <v>2.39175</v>
      </c>
      <c r="AN10" s="11">
        <f>AVERAGEIFS($AG:$AG,$AF:$AF,1,$E:$E,1,$I:$I,2,$O:$O,$AJ$5)</f>
        <v>1.5444285714285715</v>
      </c>
      <c r="AO10" s="11">
        <f>AVERAGEIFS($AG:$AG,$AF:$AF,1,$E:$E,1,$I:$I,3,$O:$O,$AJ$5)</f>
        <v>2.2627142857142859</v>
      </c>
      <c r="AP10" s="11">
        <f>AVERAGEIFS($AG:$AG,$AF:$AF,1,$E:$E,2,$I:$I,1,$O:$O,$AJ$5)</f>
        <v>1.8161</v>
      </c>
      <c r="AQ10" s="11">
        <f>AVERAGEIFS($AG:$AG,$AF:$AF,1,$E:$E,2,$I:$I,2,$O:$O,$AJ$5)</f>
        <v>1.8923571428571428</v>
      </c>
      <c r="AR10" s="11">
        <f>AVERAGEIFS($AG:$AG,$AF:$AF,1,$E:$E,2,$I:$I,3,$O:$O,$AJ$5)</f>
        <v>1.6099230769230766</v>
      </c>
      <c r="AS10" s="11">
        <f>AVERAGEIFS($AG:$AG,$AF:$AF,1,$E:$E,3,$I:$I,1,$O:$O,$AJ$5)</f>
        <v>1.5803750000000001</v>
      </c>
      <c r="AT10" s="11">
        <f>AVERAGEIFS($AG:$AG,$AF:$AF,1,$E:$E,3,$I:$I,2,$O:$O,$AJ$5)</f>
        <v>1.8019285714285715</v>
      </c>
      <c r="AU10" s="11">
        <f>AVERAGEIFS($AG:$AG,$AF:$AF,1,$E:$E,3,$I:$I,3,$O:$O,$AJ$5)</f>
        <v>1.6993749999999999</v>
      </c>
      <c r="AV10" s="11">
        <f>AVERAGEIFS($AG:$AG,$AF:$AF,1,$E:$E,4,$I:$I,1,$O:$O,$AJ$5)</f>
        <v>1.4418124999999999</v>
      </c>
      <c r="AW10" s="11">
        <f>AVERAGEIFS($AG:$AG,$AF:$AF,1,$E:$E,4,$I:$I,2,$O:$O,$AJ$5)</f>
        <v>1.7773750000000001</v>
      </c>
      <c r="AX10" s="11">
        <f>AVERAGEIFS($AG:$AG,$AF:$AF,1,$E:$E,4,$I:$I,3,$O:$O,$AJ$5)</f>
        <v>1.8819473684210528</v>
      </c>
      <c r="AY10" s="12">
        <f t="shared" ref="AY10:AY11" si="1">AVERAGE(AM10:AX10)</f>
        <v>1.808340543064392</v>
      </c>
    </row>
    <row r="11" spans="1:51" x14ac:dyDescent="0.25">
      <c r="A11">
        <v>259</v>
      </c>
      <c r="B11" t="s">
        <v>35</v>
      </c>
      <c r="C11">
        <v>3</v>
      </c>
      <c r="D11" t="s">
        <v>36</v>
      </c>
      <c r="E11">
        <v>1</v>
      </c>
      <c r="F11" t="s">
        <v>259</v>
      </c>
      <c r="G11">
        <v>1</v>
      </c>
      <c r="H11">
        <v>3</v>
      </c>
      <c r="I11">
        <v>1</v>
      </c>
      <c r="J11">
        <v>10</v>
      </c>
      <c r="K11">
        <v>24</v>
      </c>
      <c r="L11">
        <v>10</v>
      </c>
      <c r="M11">
        <v>1</v>
      </c>
      <c r="N11" t="s">
        <v>201</v>
      </c>
      <c r="O11" t="s">
        <v>39</v>
      </c>
      <c r="P11" t="s">
        <v>202</v>
      </c>
      <c r="Q11" t="s">
        <v>203</v>
      </c>
      <c r="R11" t="s">
        <v>51</v>
      </c>
      <c r="S11" t="s">
        <v>52</v>
      </c>
      <c r="T11" t="s">
        <v>172</v>
      </c>
      <c r="U11">
        <v>1</v>
      </c>
      <c r="V11" t="s">
        <v>147</v>
      </c>
      <c r="W11" t="s">
        <v>155</v>
      </c>
      <c r="X11" t="s">
        <v>104</v>
      </c>
      <c r="Y11">
        <v>1</v>
      </c>
      <c r="Z11">
        <v>3</v>
      </c>
      <c r="AA11">
        <v>48</v>
      </c>
      <c r="AB11">
        <v>2E-3</v>
      </c>
      <c r="AC11" t="s">
        <v>147</v>
      </c>
      <c r="AD11">
        <v>2</v>
      </c>
      <c r="AE11">
        <v>2</v>
      </c>
      <c r="AF11">
        <v>0</v>
      </c>
      <c r="AG11">
        <v>1.86</v>
      </c>
      <c r="AH11">
        <v>0.58299999999999996</v>
      </c>
      <c r="AI11">
        <v>0</v>
      </c>
      <c r="AJ11" s="8"/>
      <c r="AK11" s="1"/>
      <c r="AL11" s="6" t="s">
        <v>337</v>
      </c>
      <c r="AM11" s="11">
        <f>AVERAGEIFS($AG:$AG,$AF:$AF,1,$E:$E,1,$I:$I,1,$O:$O,$AJ$6)</f>
        <v>2.03925</v>
      </c>
      <c r="AN11" s="11">
        <f>AVERAGEIFS($AG:$AG,$AF:$AF,1,$E:$E,1,$I:$I,2,$O:$O,$AJ$6)</f>
        <v>1.8073333333333332</v>
      </c>
      <c r="AO11" s="11">
        <f>AVERAGEIFS($AG:$AG,$AF:$AF,1,$E:$E,1,$I:$I,3,$O:$O,$AJ$6)</f>
        <v>2.2580909090909089</v>
      </c>
      <c r="AP11" s="11">
        <f>AVERAGEIFS($AG:$AG,$AF:$AF,1,$E:$E,2,$I:$I,1,$O:$O,$AJ$6)</f>
        <v>1.8624000000000003</v>
      </c>
      <c r="AQ11" s="11">
        <f>AVERAGEIFS($AG:$AG,$AF:$AF,1,$E:$E,2,$I:$I,2,$O:$O,$AJ$6)</f>
        <v>1.9440909090909093</v>
      </c>
      <c r="AR11" s="11">
        <f>AVERAGEIFS($AG:$AG,$AF:$AF,1,$E:$E,2,$I:$I,3,$O:$O,$AJ$6)</f>
        <v>1.8529999999999998</v>
      </c>
      <c r="AS11" s="11">
        <f>AVERAGEIFS($AG:$AG,$AF:$AF,1,$E:$E,3,$I:$I,1,$O:$O,$AJ$6)</f>
        <v>1.9756363636363639</v>
      </c>
      <c r="AT11" s="11">
        <f>AVERAGEIFS($AG:$AG,$AF:$AF,1,$E:$E,3,$I:$I,2,$O:$O,$AJ$6)</f>
        <v>2.0186153846153845</v>
      </c>
      <c r="AU11" s="11">
        <f>AVERAGEIFS($AG:$AG,$AF:$AF,1,$E:$E,3,$I:$I,3,$O:$O,$AJ$6)</f>
        <v>2.0862727272727275</v>
      </c>
      <c r="AV11" s="11">
        <f>AVERAGEIFS($AG:$AG,$AF:$AF,1,$E:$E,4,$I:$I,1,$O:$O,$AJ$6)</f>
        <v>2.0571818181818178</v>
      </c>
      <c r="AW11" s="11">
        <f>AVERAGEIFS($AG:$AG,$AF:$AF,1,$E:$E,4,$I:$I,2,$O:$O,$AJ$6)</f>
        <v>1.734636363636364</v>
      </c>
      <c r="AX11" s="11">
        <f>AVERAGEIFS($AG:$AG,$AF:$AF,1,$E:$E,4,$I:$I,3,$O:$O,$AJ$6)</f>
        <v>2.2892727272727269</v>
      </c>
      <c r="AY11" s="12">
        <f t="shared" si="1"/>
        <v>1.9938150446775449</v>
      </c>
    </row>
    <row r="12" spans="1:51" x14ac:dyDescent="0.25">
      <c r="A12">
        <v>259</v>
      </c>
      <c r="B12" t="s">
        <v>35</v>
      </c>
      <c r="C12">
        <v>3</v>
      </c>
      <c r="D12" t="s">
        <v>36</v>
      </c>
      <c r="E12">
        <v>1</v>
      </c>
      <c r="F12" t="s">
        <v>259</v>
      </c>
      <c r="G12">
        <v>1</v>
      </c>
      <c r="H12">
        <v>3</v>
      </c>
      <c r="I12">
        <v>1</v>
      </c>
      <c r="J12">
        <v>11</v>
      </c>
      <c r="K12">
        <v>19</v>
      </c>
      <c r="L12">
        <v>5</v>
      </c>
      <c r="M12">
        <v>1</v>
      </c>
      <c r="N12" t="s">
        <v>192</v>
      </c>
      <c r="O12" t="s">
        <v>39</v>
      </c>
      <c r="P12" t="s">
        <v>193</v>
      </c>
      <c r="Q12" t="s">
        <v>194</v>
      </c>
      <c r="R12" t="s">
        <v>51</v>
      </c>
      <c r="S12" t="s">
        <v>52</v>
      </c>
      <c r="T12" t="s">
        <v>144</v>
      </c>
      <c r="U12">
        <v>5</v>
      </c>
      <c r="V12" t="s">
        <v>185</v>
      </c>
      <c r="W12" t="s">
        <v>62</v>
      </c>
      <c r="X12" t="s">
        <v>120</v>
      </c>
      <c r="Y12">
        <v>1</v>
      </c>
      <c r="Z12">
        <v>3</v>
      </c>
      <c r="AA12">
        <v>48</v>
      </c>
      <c r="AB12">
        <v>2E-3</v>
      </c>
      <c r="AC12" t="s">
        <v>185</v>
      </c>
      <c r="AD12">
        <v>2</v>
      </c>
      <c r="AE12">
        <v>4</v>
      </c>
      <c r="AF12">
        <v>0</v>
      </c>
      <c r="AG12">
        <v>2.1059999999999999</v>
      </c>
      <c r="AH12">
        <v>0.61699999999999999</v>
      </c>
      <c r="AI12">
        <v>0</v>
      </c>
      <c r="AJ12" s="8"/>
      <c r="AK12" s="1"/>
      <c r="AL12" s="6"/>
      <c r="AM12" s="1"/>
      <c r="AP12" s="11"/>
      <c r="AQ12" s="11"/>
      <c r="AR12" s="11"/>
    </row>
    <row r="13" spans="1:51" x14ac:dyDescent="0.25">
      <c r="A13">
        <v>259</v>
      </c>
      <c r="B13" t="s">
        <v>35</v>
      </c>
      <c r="C13">
        <v>3</v>
      </c>
      <c r="D13" t="s">
        <v>36</v>
      </c>
      <c r="E13">
        <v>1</v>
      </c>
      <c r="F13" t="s">
        <v>259</v>
      </c>
      <c r="G13">
        <v>1</v>
      </c>
      <c r="H13">
        <v>3</v>
      </c>
      <c r="I13">
        <v>1</v>
      </c>
      <c r="J13">
        <v>12</v>
      </c>
      <c r="K13">
        <v>23</v>
      </c>
      <c r="L13">
        <v>9</v>
      </c>
      <c r="M13">
        <v>1</v>
      </c>
      <c r="N13" t="s">
        <v>212</v>
      </c>
      <c r="O13" t="s">
        <v>39</v>
      </c>
      <c r="P13" t="s">
        <v>202</v>
      </c>
      <c r="Q13" t="s">
        <v>203</v>
      </c>
      <c r="R13" t="s">
        <v>58</v>
      </c>
      <c r="S13" t="s">
        <v>59</v>
      </c>
      <c r="T13" t="s">
        <v>147</v>
      </c>
      <c r="U13">
        <v>2</v>
      </c>
      <c r="V13" t="s">
        <v>156</v>
      </c>
      <c r="W13" t="s">
        <v>116</v>
      </c>
      <c r="X13" t="s">
        <v>121</v>
      </c>
      <c r="Y13">
        <v>2</v>
      </c>
      <c r="Z13">
        <v>3</v>
      </c>
      <c r="AA13">
        <v>48</v>
      </c>
      <c r="AB13">
        <v>2E-3</v>
      </c>
      <c r="AC13" t="s">
        <v>121</v>
      </c>
      <c r="AD13">
        <v>4</v>
      </c>
      <c r="AE13">
        <v>1</v>
      </c>
      <c r="AF13">
        <v>0</v>
      </c>
      <c r="AG13">
        <v>1.627</v>
      </c>
      <c r="AH13">
        <v>0.71699999999999997</v>
      </c>
      <c r="AI13">
        <v>0</v>
      </c>
      <c r="AJ13" s="8"/>
      <c r="AK13" s="1"/>
      <c r="AL13" s="15" t="s">
        <v>354</v>
      </c>
      <c r="AM13" s="2" t="s">
        <v>361</v>
      </c>
      <c r="AN13" s="2" t="s">
        <v>362</v>
      </c>
      <c r="AO13" s="2" t="s">
        <v>363</v>
      </c>
      <c r="AP13" s="2" t="s">
        <v>364</v>
      </c>
      <c r="AQ13" s="2" t="s">
        <v>365</v>
      </c>
      <c r="AR13" s="2" t="s">
        <v>366</v>
      </c>
      <c r="AS13" s="2" t="s">
        <v>367</v>
      </c>
      <c r="AT13" s="2" t="s">
        <v>368</v>
      </c>
      <c r="AU13" s="2" t="s">
        <v>369</v>
      </c>
      <c r="AV13" s="2" t="s">
        <v>370</v>
      </c>
      <c r="AW13" s="2" t="s">
        <v>371</v>
      </c>
      <c r="AX13" s="2" t="s">
        <v>372</v>
      </c>
    </row>
    <row r="14" spans="1:51" x14ac:dyDescent="0.25">
      <c r="A14">
        <v>259</v>
      </c>
      <c r="B14" t="s">
        <v>35</v>
      </c>
      <c r="C14">
        <v>3</v>
      </c>
      <c r="D14" t="s">
        <v>36</v>
      </c>
      <c r="E14">
        <v>1</v>
      </c>
      <c r="F14" t="s">
        <v>259</v>
      </c>
      <c r="G14">
        <v>1</v>
      </c>
      <c r="H14">
        <v>3</v>
      </c>
      <c r="I14">
        <v>1</v>
      </c>
      <c r="J14">
        <v>13</v>
      </c>
      <c r="K14">
        <v>6</v>
      </c>
      <c r="L14">
        <v>38</v>
      </c>
      <c r="M14">
        <v>2</v>
      </c>
      <c r="N14" t="s">
        <v>48</v>
      </c>
      <c r="O14" t="s">
        <v>39</v>
      </c>
      <c r="P14" t="s">
        <v>49</v>
      </c>
      <c r="Q14" t="s">
        <v>50</v>
      </c>
      <c r="R14" t="s">
        <v>51</v>
      </c>
      <c r="S14" t="s">
        <v>52</v>
      </c>
      <c r="T14" t="s">
        <v>53</v>
      </c>
      <c r="U14">
        <v>4</v>
      </c>
      <c r="V14" t="s">
        <v>172</v>
      </c>
      <c r="W14" t="s">
        <v>96</v>
      </c>
      <c r="X14" t="s">
        <v>137</v>
      </c>
      <c r="Y14">
        <v>2</v>
      </c>
      <c r="Z14">
        <v>3</v>
      </c>
      <c r="AA14">
        <v>48</v>
      </c>
      <c r="AB14">
        <v>3.0000000000000001E-3</v>
      </c>
      <c r="AC14" t="s">
        <v>137</v>
      </c>
      <c r="AD14">
        <v>4</v>
      </c>
      <c r="AE14">
        <v>2</v>
      </c>
      <c r="AF14">
        <v>0</v>
      </c>
      <c r="AG14">
        <v>2.488</v>
      </c>
      <c r="AH14">
        <v>0.83299999999999996</v>
      </c>
      <c r="AI14">
        <v>0</v>
      </c>
      <c r="AJ14" s="8"/>
      <c r="AK14" s="1"/>
      <c r="AL14" s="6" t="s">
        <v>335</v>
      </c>
      <c r="AM14" s="11">
        <f>AVERAGEIFS($AB:$AB,$E:$E,1,$I:$I,1,$O:$O,$AJ$4)</f>
        <v>2.8333333333333348E-3</v>
      </c>
      <c r="AN14" s="11">
        <f>AVERAGEIFS($AB:$AB,$E:$E,1,$I:$I,2,$O:$O,$AJ$4)</f>
        <v>2.8750000000000013E-3</v>
      </c>
      <c r="AO14" s="11">
        <f>AVERAGEIFS($AB:$AB,$E:$E,1,$I:$I,3,$O:$O,$AJ$4)</f>
        <v>3.7916666666666671E-3</v>
      </c>
      <c r="AP14" s="11">
        <f>AVERAGEIFS($AB:$AB,$E:$E,2,$I:$I,1,$O:$O,$AJ$4)</f>
        <v>0.40883333333333344</v>
      </c>
      <c r="AQ14" s="11">
        <f>AVERAGEIFS($AB:$AB,$E:$E,2,$I:$I,2,$O:$O,$AJ$4)</f>
        <v>0.36229166666666668</v>
      </c>
      <c r="AR14" s="11">
        <f>AVERAGEIFS($AB:$AB,$E:$E,2,$I:$I,3,$O:$O,$AJ$4)</f>
        <v>0.25991666666666663</v>
      </c>
      <c r="AS14" s="11">
        <f>AVERAGEIFS($AB:$AB,$E:$E,3,$I:$I,1,$O:$O,$AJ$4)</f>
        <v>-0.69720833333333321</v>
      </c>
      <c r="AT14" s="11">
        <f>AVERAGEIFS($AB:$AB,$E:$E,3,$I:$I,2,$O:$O,$AJ$4)</f>
        <v>-0.57700000000000007</v>
      </c>
      <c r="AU14" s="11">
        <f>AVERAGEIFS($AB:$AB,$E:$E,3,$I:$I,3,$O:$O,$AJ$4)</f>
        <v>-0.77141666666666664</v>
      </c>
      <c r="AV14" s="11">
        <f>AVERAGEIFS($AB:$AB,$E:$E,4,$I:$I,1,$O:$O,$AJ$4)</f>
        <v>-1</v>
      </c>
      <c r="AW14" s="11">
        <f>AVERAGEIFS($AB:$AB,$E:$E,4,$I:$I,2,$O:$O,$AJ$4)</f>
        <v>-1</v>
      </c>
      <c r="AX14" s="11">
        <f>AVERAGEIFS($AB:$AB,$E:$E,4,$I:$I,3,$O:$O,$AJ$4)</f>
        <v>-1</v>
      </c>
      <c r="AY14" s="12">
        <f>AVERAGE(AM14:AX14)</f>
        <v>-0.33375694444444443</v>
      </c>
    </row>
    <row r="15" spans="1:51" x14ac:dyDescent="0.25">
      <c r="A15">
        <v>259</v>
      </c>
      <c r="B15" t="s">
        <v>35</v>
      </c>
      <c r="C15">
        <v>3</v>
      </c>
      <c r="D15" t="s">
        <v>36</v>
      </c>
      <c r="E15">
        <v>1</v>
      </c>
      <c r="F15" t="s">
        <v>259</v>
      </c>
      <c r="G15">
        <v>1</v>
      </c>
      <c r="H15">
        <v>3</v>
      </c>
      <c r="I15">
        <v>1</v>
      </c>
      <c r="J15">
        <v>14</v>
      </c>
      <c r="K15">
        <v>12</v>
      </c>
      <c r="L15">
        <v>44</v>
      </c>
      <c r="M15">
        <v>2</v>
      </c>
      <c r="N15" t="s">
        <v>76</v>
      </c>
      <c r="O15" t="s">
        <v>39</v>
      </c>
      <c r="P15" t="s">
        <v>77</v>
      </c>
      <c r="Q15" t="s">
        <v>78</v>
      </c>
      <c r="R15" t="s">
        <v>51</v>
      </c>
      <c r="S15" t="s">
        <v>52</v>
      </c>
      <c r="T15" t="s">
        <v>79</v>
      </c>
      <c r="U15">
        <v>1</v>
      </c>
      <c r="V15" t="s">
        <v>149</v>
      </c>
      <c r="W15" t="s">
        <v>95</v>
      </c>
      <c r="X15" t="s">
        <v>103</v>
      </c>
      <c r="Y15">
        <v>2</v>
      </c>
      <c r="Z15">
        <v>3</v>
      </c>
      <c r="AA15">
        <v>48</v>
      </c>
      <c r="AB15">
        <v>3.0000000000000001E-3</v>
      </c>
      <c r="AC15" t="s">
        <v>149</v>
      </c>
      <c r="AD15">
        <v>3</v>
      </c>
      <c r="AE15">
        <v>5</v>
      </c>
      <c r="AF15">
        <v>0</v>
      </c>
      <c r="AG15">
        <v>1.575</v>
      </c>
      <c r="AH15">
        <v>1.083</v>
      </c>
      <c r="AI15">
        <v>0</v>
      </c>
      <c r="AJ15" s="8"/>
      <c r="AK15" s="1"/>
      <c r="AL15" s="6" t="s">
        <v>336</v>
      </c>
      <c r="AM15" s="11">
        <f>AVERAGEIFS($AB:$AB,$E:$E,1,$I:$I,1,$O:$O,$AJ$5)</f>
        <v>3.291666666666668E-3</v>
      </c>
      <c r="AN15" s="11">
        <f>AVERAGEIFS($AB:$AB,$E:$E,1,$I:$I,2,$O:$O,$AJ$5)</f>
        <v>3.0833333333333342E-3</v>
      </c>
      <c r="AO15" s="11">
        <f>AVERAGEIFS($AB:$AB,$E:$E,1,$I:$I,3,$O:$O,$AJ$5)</f>
        <v>2.791666666666668E-3</v>
      </c>
      <c r="AP15" s="11">
        <f>AVERAGEIFS($AB:$AB,$E:$E,2,$I:$I,1,$O:$O,$AJ$5)</f>
        <v>8.458333333333333E-2</v>
      </c>
      <c r="AQ15" s="11">
        <f>AVERAGEIFS($AB:$AB,$E:$E,2,$I:$I,2,$O:$O,$AJ$5)</f>
        <v>0.44237500000000002</v>
      </c>
      <c r="AR15" s="11">
        <f>AVERAGEIFS($AB:$AB,$E:$E,2,$I:$I,3,$O:$O,$AJ$5)</f>
        <v>0.31904166666666672</v>
      </c>
      <c r="AS15" s="11">
        <f>AVERAGEIFS($AB:$AB,$E:$E,3,$I:$I,1,$O:$O,$AJ$5)</f>
        <v>-0.5129999999999999</v>
      </c>
      <c r="AT15" s="11">
        <f>AVERAGEIFS($AB:$AB,$E:$E,3,$I:$I,2,$O:$O,$AJ$5)</f>
        <v>-0.44512499999999999</v>
      </c>
      <c r="AU15" s="11">
        <f>AVERAGEIFS($AB:$AB,$E:$E,3,$I:$I,3,$O:$O,$AJ$5)</f>
        <v>-1</v>
      </c>
      <c r="AV15" s="11">
        <f>AVERAGEIFS($AB:$AB,$E:$E,4,$I:$I,1,$O:$O,$AJ$5)</f>
        <v>-1</v>
      </c>
      <c r="AW15" s="11">
        <f>AVERAGEIFS($AB:$AB,$E:$E,4,$I:$I,2,$O:$O,$AJ$5)</f>
        <v>-1</v>
      </c>
      <c r="AX15" s="11">
        <f>AVERAGEIFS($AB:$AB,$E:$E,4,$I:$I,3,$O:$O,$AJ$5)</f>
        <v>-1</v>
      </c>
      <c r="AY15" s="12">
        <f t="shared" ref="AY15:AY16" si="2">AVERAGE(AM15:AX15)</f>
        <v>-0.34191319444444446</v>
      </c>
    </row>
    <row r="16" spans="1:51" x14ac:dyDescent="0.25">
      <c r="A16">
        <v>259</v>
      </c>
      <c r="B16" t="s">
        <v>35</v>
      </c>
      <c r="C16">
        <v>3</v>
      </c>
      <c r="D16" t="s">
        <v>36</v>
      </c>
      <c r="E16">
        <v>1</v>
      </c>
      <c r="F16" t="s">
        <v>259</v>
      </c>
      <c r="G16">
        <v>1</v>
      </c>
      <c r="H16">
        <v>3</v>
      </c>
      <c r="I16">
        <v>1</v>
      </c>
      <c r="J16">
        <v>15</v>
      </c>
      <c r="K16">
        <v>18</v>
      </c>
      <c r="L16">
        <v>42</v>
      </c>
      <c r="M16">
        <v>2</v>
      </c>
      <c r="N16" t="s">
        <v>216</v>
      </c>
      <c r="O16" t="s">
        <v>39</v>
      </c>
      <c r="P16" t="s">
        <v>199</v>
      </c>
      <c r="Q16" t="s">
        <v>200</v>
      </c>
      <c r="R16" t="s">
        <v>91</v>
      </c>
      <c r="S16" t="s">
        <v>92</v>
      </c>
      <c r="T16" t="s">
        <v>98</v>
      </c>
      <c r="U16">
        <v>2</v>
      </c>
      <c r="V16" t="s">
        <v>80</v>
      </c>
      <c r="W16" t="s">
        <v>46</v>
      </c>
      <c r="X16" t="s">
        <v>139</v>
      </c>
      <c r="Y16">
        <v>2</v>
      </c>
      <c r="Z16">
        <v>3</v>
      </c>
      <c r="AA16">
        <v>48</v>
      </c>
      <c r="AB16">
        <v>2E-3</v>
      </c>
      <c r="AC16" t="s">
        <v>46</v>
      </c>
      <c r="AD16">
        <v>4</v>
      </c>
      <c r="AE16">
        <v>4</v>
      </c>
      <c r="AF16">
        <v>0</v>
      </c>
      <c r="AG16">
        <v>1.59</v>
      </c>
      <c r="AH16">
        <v>0.88300000000000001</v>
      </c>
      <c r="AI16">
        <v>0</v>
      </c>
      <c r="AJ16" s="8"/>
      <c r="AK16" s="1"/>
      <c r="AL16" s="6" t="s">
        <v>337</v>
      </c>
      <c r="AM16" s="11">
        <f>AVERAGEIFS($AB:$AB,$E:$E,1,$I:$I,1,$O:$O,$AJ$6)</f>
        <v>2.9583333333333349E-3</v>
      </c>
      <c r="AN16" s="11">
        <f>AVERAGEIFS($AB:$AB,$E:$E,1,$I:$I,2,$O:$O,$AJ$6)</f>
        <v>3.4583333333333345E-3</v>
      </c>
      <c r="AO16" s="11">
        <f>AVERAGEIFS($AB:$AB,$E:$E,1,$I:$I,3,$O:$O,$AJ$6)</f>
        <v>3.0000000000000014E-3</v>
      </c>
      <c r="AP16" s="11">
        <f>AVERAGEIFS($AB:$AB,$E:$E,2,$I:$I,1,$O:$O,$AJ$6)</f>
        <v>0.26308333333333334</v>
      </c>
      <c r="AQ16" s="11">
        <f>AVERAGEIFS($AB:$AB,$E:$E,2,$I:$I,2,$O:$O,$AJ$6)</f>
        <v>0.46599999999999997</v>
      </c>
      <c r="AR16" s="11">
        <f>AVERAGEIFS($AB:$AB,$E:$E,2,$I:$I,3,$O:$O,$AJ$6)</f>
        <v>0.33858333333333324</v>
      </c>
      <c r="AS16" s="11">
        <f>AVERAGEIFS($AB:$AB,$E:$E,3,$I:$I,1,$O:$O,$AJ$6)</f>
        <v>-0.80333333333333334</v>
      </c>
      <c r="AT16" s="11">
        <f>AVERAGEIFS($AB:$AB,$E:$E,3,$I:$I,2,$O:$O,$AJ$6)</f>
        <v>-0.73020833333333324</v>
      </c>
      <c r="AU16" s="11">
        <f>AVERAGEIFS($AB:$AB,$E:$E,3,$I:$I,3,$O:$O,$AJ$6)</f>
        <v>-1</v>
      </c>
      <c r="AV16" s="11">
        <f>AVERAGEIFS($AB:$AB,$E:$E,4,$I:$I,1,$O:$O,$AJ$6)</f>
        <v>-1</v>
      </c>
      <c r="AW16" s="11">
        <f>AVERAGEIFS($AB:$AB,$E:$E,4,$I:$I,2,$O:$O,$AJ$6)</f>
        <v>-1</v>
      </c>
      <c r="AX16" s="11">
        <f>AVERAGEIFS($AB:$AB,$E:$E,4,$I:$I,3,$O:$O,$AJ$6)</f>
        <v>-1</v>
      </c>
      <c r="AY16" s="12">
        <f t="shared" si="2"/>
        <v>-0.37137152777777782</v>
      </c>
    </row>
    <row r="17" spans="1:51" x14ac:dyDescent="0.25">
      <c r="A17">
        <v>259</v>
      </c>
      <c r="B17" t="s">
        <v>35</v>
      </c>
      <c r="C17">
        <v>3</v>
      </c>
      <c r="D17" t="s">
        <v>36</v>
      </c>
      <c r="E17">
        <v>1</v>
      </c>
      <c r="F17" t="s">
        <v>259</v>
      </c>
      <c r="G17">
        <v>1</v>
      </c>
      <c r="H17">
        <v>3</v>
      </c>
      <c r="I17">
        <v>1</v>
      </c>
      <c r="J17">
        <v>16</v>
      </c>
      <c r="K17">
        <v>16</v>
      </c>
      <c r="L17">
        <v>8</v>
      </c>
      <c r="M17">
        <v>1</v>
      </c>
      <c r="N17" t="s">
        <v>195</v>
      </c>
      <c r="O17" t="s">
        <v>39</v>
      </c>
      <c r="P17" t="s">
        <v>196</v>
      </c>
      <c r="Q17" t="s">
        <v>197</v>
      </c>
      <c r="R17" t="s">
        <v>42</v>
      </c>
      <c r="S17" t="s">
        <v>43</v>
      </c>
      <c r="T17" t="s">
        <v>85</v>
      </c>
      <c r="U17">
        <v>5</v>
      </c>
      <c r="V17" t="s">
        <v>44</v>
      </c>
      <c r="W17" t="s">
        <v>162</v>
      </c>
      <c r="X17" t="s">
        <v>211</v>
      </c>
      <c r="Y17">
        <v>2</v>
      </c>
      <c r="Z17">
        <v>3</v>
      </c>
      <c r="AA17">
        <v>48</v>
      </c>
      <c r="AB17">
        <v>3.0000000000000001E-3</v>
      </c>
      <c r="AC17" t="s">
        <v>85</v>
      </c>
      <c r="AD17">
        <v>1</v>
      </c>
      <c r="AE17">
        <v>5</v>
      </c>
      <c r="AF17">
        <v>1</v>
      </c>
      <c r="AG17">
        <v>1.1140000000000001</v>
      </c>
      <c r="AH17">
        <v>0.58299999999999996</v>
      </c>
      <c r="AI17">
        <v>0</v>
      </c>
      <c r="AJ17" s="8"/>
      <c r="AK17" s="3"/>
      <c r="AL17" s="6"/>
      <c r="AQ17" s="1"/>
      <c r="AR17" s="2"/>
      <c r="AU17" s="11"/>
      <c r="AX17" s="11"/>
    </row>
    <row r="18" spans="1:51" x14ac:dyDescent="0.25">
      <c r="A18">
        <v>259</v>
      </c>
      <c r="B18" t="s">
        <v>35</v>
      </c>
      <c r="C18">
        <v>3</v>
      </c>
      <c r="D18" t="s">
        <v>36</v>
      </c>
      <c r="E18">
        <v>1</v>
      </c>
      <c r="F18" t="s">
        <v>259</v>
      </c>
      <c r="G18">
        <v>1</v>
      </c>
      <c r="H18">
        <v>3</v>
      </c>
      <c r="I18">
        <v>1</v>
      </c>
      <c r="J18">
        <v>17</v>
      </c>
      <c r="K18">
        <v>22</v>
      </c>
      <c r="L18">
        <v>46</v>
      </c>
      <c r="M18">
        <v>2</v>
      </c>
      <c r="N18" t="s">
        <v>189</v>
      </c>
      <c r="O18" t="s">
        <v>39</v>
      </c>
      <c r="P18" t="s">
        <v>190</v>
      </c>
      <c r="Q18" t="s">
        <v>191</v>
      </c>
      <c r="R18" t="s">
        <v>42</v>
      </c>
      <c r="S18" t="s">
        <v>43</v>
      </c>
      <c r="T18" t="s">
        <v>45</v>
      </c>
      <c r="U18">
        <v>5</v>
      </c>
      <c r="V18" t="s">
        <v>67</v>
      </c>
      <c r="W18" t="s">
        <v>127</v>
      </c>
      <c r="X18" t="s">
        <v>187</v>
      </c>
      <c r="Y18">
        <v>2</v>
      </c>
      <c r="Z18">
        <v>3</v>
      </c>
      <c r="AA18">
        <v>48</v>
      </c>
      <c r="AB18">
        <v>3.0000000000000001E-3</v>
      </c>
      <c r="AC18" t="s">
        <v>45</v>
      </c>
      <c r="AD18">
        <v>1</v>
      </c>
      <c r="AE18">
        <v>5</v>
      </c>
      <c r="AF18">
        <v>1</v>
      </c>
      <c r="AG18">
        <v>1.74</v>
      </c>
      <c r="AH18">
        <v>0.83299999999999996</v>
      </c>
      <c r="AI18">
        <v>0</v>
      </c>
      <c r="AJ18" s="8"/>
      <c r="AK18" s="1"/>
      <c r="AL18" s="6"/>
      <c r="AQ18" s="1"/>
      <c r="AR18" s="2"/>
      <c r="AU18" s="11"/>
      <c r="AX18" s="11"/>
    </row>
    <row r="19" spans="1:51" x14ac:dyDescent="0.25">
      <c r="A19">
        <v>259</v>
      </c>
      <c r="B19" t="s">
        <v>35</v>
      </c>
      <c r="C19">
        <v>3</v>
      </c>
      <c r="D19" t="s">
        <v>36</v>
      </c>
      <c r="E19">
        <v>1</v>
      </c>
      <c r="F19" t="s">
        <v>259</v>
      </c>
      <c r="G19">
        <v>1</v>
      </c>
      <c r="H19">
        <v>3</v>
      </c>
      <c r="I19">
        <v>1</v>
      </c>
      <c r="J19">
        <v>18</v>
      </c>
      <c r="K19">
        <v>13</v>
      </c>
      <c r="L19">
        <v>11</v>
      </c>
      <c r="M19">
        <v>1</v>
      </c>
      <c r="N19" t="s">
        <v>213</v>
      </c>
      <c r="O19" t="s">
        <v>39</v>
      </c>
      <c r="P19" t="s">
        <v>207</v>
      </c>
      <c r="Q19" t="s">
        <v>208</v>
      </c>
      <c r="R19" t="s">
        <v>91</v>
      </c>
      <c r="S19" t="s">
        <v>92</v>
      </c>
      <c r="T19" t="s">
        <v>106</v>
      </c>
      <c r="U19">
        <v>2</v>
      </c>
      <c r="V19" t="s">
        <v>93</v>
      </c>
      <c r="W19" t="s">
        <v>107</v>
      </c>
      <c r="X19" t="s">
        <v>110</v>
      </c>
      <c r="Y19">
        <v>2</v>
      </c>
      <c r="Z19">
        <v>3</v>
      </c>
      <c r="AA19">
        <v>48</v>
      </c>
      <c r="AB19">
        <v>3.0000000000000001E-3</v>
      </c>
      <c r="AC19" t="s">
        <v>106</v>
      </c>
      <c r="AD19">
        <v>1</v>
      </c>
      <c r="AE19">
        <v>2</v>
      </c>
      <c r="AF19">
        <v>1</v>
      </c>
      <c r="AG19">
        <v>1.641</v>
      </c>
      <c r="AH19">
        <v>0.45</v>
      </c>
      <c r="AI19">
        <v>0</v>
      </c>
      <c r="AJ19" s="1"/>
      <c r="AK19" s="1"/>
      <c r="AL19" s="6"/>
      <c r="AM19" s="4" t="s">
        <v>332</v>
      </c>
      <c r="AO19" s="1"/>
      <c r="AQ19" s="1"/>
      <c r="AR19" s="2"/>
    </row>
    <row r="20" spans="1:51" x14ac:dyDescent="0.25">
      <c r="A20">
        <v>259</v>
      </c>
      <c r="B20" t="s">
        <v>35</v>
      </c>
      <c r="C20">
        <v>3</v>
      </c>
      <c r="D20" t="s">
        <v>36</v>
      </c>
      <c r="E20">
        <v>1</v>
      </c>
      <c r="F20" t="s">
        <v>259</v>
      </c>
      <c r="G20">
        <v>1</v>
      </c>
      <c r="H20">
        <v>3</v>
      </c>
      <c r="I20">
        <v>1</v>
      </c>
      <c r="J20">
        <v>19</v>
      </c>
      <c r="K20">
        <v>20</v>
      </c>
      <c r="L20">
        <v>6</v>
      </c>
      <c r="M20">
        <v>1</v>
      </c>
      <c r="N20" t="s">
        <v>215</v>
      </c>
      <c r="O20" t="s">
        <v>39</v>
      </c>
      <c r="P20" t="s">
        <v>193</v>
      </c>
      <c r="Q20" t="s">
        <v>194</v>
      </c>
      <c r="R20" t="s">
        <v>42</v>
      </c>
      <c r="S20" t="s">
        <v>43</v>
      </c>
      <c r="T20" t="s">
        <v>185</v>
      </c>
      <c r="U20">
        <v>4</v>
      </c>
      <c r="V20" t="s">
        <v>131</v>
      </c>
      <c r="W20" t="s">
        <v>209</v>
      </c>
      <c r="X20" t="s">
        <v>86</v>
      </c>
      <c r="Y20">
        <v>2</v>
      </c>
      <c r="Z20">
        <v>3</v>
      </c>
      <c r="AA20">
        <v>48</v>
      </c>
      <c r="AB20">
        <v>2E-3</v>
      </c>
      <c r="AC20" t="s">
        <v>86</v>
      </c>
      <c r="AD20">
        <v>4</v>
      </c>
      <c r="AE20">
        <v>5</v>
      </c>
      <c r="AF20">
        <v>0</v>
      </c>
      <c r="AG20">
        <v>1.7889999999999999</v>
      </c>
      <c r="AH20">
        <v>0.65</v>
      </c>
      <c r="AI20">
        <v>0</v>
      </c>
      <c r="AJ20" s="1"/>
      <c r="AK20" s="1"/>
      <c r="AL20" s="7" t="s">
        <v>335</v>
      </c>
      <c r="AM20" s="2" t="s">
        <v>361</v>
      </c>
      <c r="AN20" s="2" t="s">
        <v>362</v>
      </c>
      <c r="AO20" s="2" t="s">
        <v>363</v>
      </c>
      <c r="AP20" s="2" t="s">
        <v>364</v>
      </c>
      <c r="AQ20" s="2" t="s">
        <v>365</v>
      </c>
      <c r="AR20" s="2" t="s">
        <v>366</v>
      </c>
      <c r="AS20" s="2" t="s">
        <v>367</v>
      </c>
      <c r="AT20" s="2" t="s">
        <v>368</v>
      </c>
      <c r="AU20" s="2" t="s">
        <v>369</v>
      </c>
      <c r="AV20" s="2" t="s">
        <v>370</v>
      </c>
      <c r="AW20" s="2" t="s">
        <v>371</v>
      </c>
      <c r="AX20" s="2" t="s">
        <v>372</v>
      </c>
    </row>
    <row r="21" spans="1:51" x14ac:dyDescent="0.25">
      <c r="A21">
        <v>259</v>
      </c>
      <c r="B21" t="s">
        <v>35</v>
      </c>
      <c r="C21">
        <v>3</v>
      </c>
      <c r="D21" t="s">
        <v>36</v>
      </c>
      <c r="E21">
        <v>1</v>
      </c>
      <c r="F21" t="s">
        <v>259</v>
      </c>
      <c r="G21">
        <v>1</v>
      </c>
      <c r="H21">
        <v>3</v>
      </c>
      <c r="I21">
        <v>1</v>
      </c>
      <c r="J21">
        <v>20</v>
      </c>
      <c r="K21">
        <v>7</v>
      </c>
      <c r="L21">
        <v>39</v>
      </c>
      <c r="M21">
        <v>2</v>
      </c>
      <c r="N21" t="s">
        <v>63</v>
      </c>
      <c r="O21" t="s">
        <v>39</v>
      </c>
      <c r="P21" t="s">
        <v>64</v>
      </c>
      <c r="Q21" t="s">
        <v>65</v>
      </c>
      <c r="R21" t="s">
        <v>58</v>
      </c>
      <c r="S21" t="s">
        <v>59</v>
      </c>
      <c r="T21" t="s">
        <v>66</v>
      </c>
      <c r="U21">
        <v>5</v>
      </c>
      <c r="V21" t="s">
        <v>73</v>
      </c>
      <c r="W21" t="s">
        <v>161</v>
      </c>
      <c r="X21" t="s">
        <v>69</v>
      </c>
      <c r="Y21">
        <v>2</v>
      </c>
      <c r="Z21">
        <v>3</v>
      </c>
      <c r="AA21">
        <v>48</v>
      </c>
      <c r="AB21">
        <v>2E-3</v>
      </c>
      <c r="AC21" t="s">
        <v>161</v>
      </c>
      <c r="AD21">
        <v>4</v>
      </c>
      <c r="AE21">
        <v>2</v>
      </c>
      <c r="AF21">
        <v>0</v>
      </c>
      <c r="AG21">
        <v>1.6379999999999999</v>
      </c>
      <c r="AH21">
        <v>0.56699999999999995</v>
      </c>
      <c r="AI21">
        <v>0</v>
      </c>
      <c r="AJ21" s="1"/>
      <c r="AK21" s="1"/>
      <c r="AL21" s="6" t="s">
        <v>338</v>
      </c>
      <c r="AM21" s="11">
        <f>COUNTIFS($E:$E,1,$I:$I,1,$O:$O,$AJ$4,$Y:$Y,1,$AF:$AF,1)/12</f>
        <v>0.33333333333333331</v>
      </c>
      <c r="AN21" s="11">
        <f>COUNTIFS($E:$E,1,$I:$I,2,$O:$O,$AJ$4,$Y:$Y,1,$AF:$AF,1)/12</f>
        <v>0.16666666666666666</v>
      </c>
      <c r="AO21" s="11">
        <f>COUNTIFS($E:$E,1,$I:$I,3,$O:$O,$AJ$4,$Y:$Y,1,$AF:$AF,1)/12</f>
        <v>0.16666666666666666</v>
      </c>
      <c r="AP21" s="11">
        <f>COUNTIFS($E:$E,2,$I:$I,1,$O:$O,$AJ$4,$Y:$Y,1,$AF:$AF,1)/12</f>
        <v>0.25</v>
      </c>
      <c r="AQ21" s="11">
        <f>COUNTIFS($E:$E,2,$I:$I,2,$O:$O,$AJ$4,$Y:$Y,1,$AF:$AF,1)/12</f>
        <v>0.33333333333333331</v>
      </c>
      <c r="AR21" s="11">
        <f>COUNTIFS($E:$E,2,$I:$I,3,$O:$O,$AJ$4,$Y:$Y,1,$AF:$AF,1)/12</f>
        <v>0.33333333333333331</v>
      </c>
      <c r="AS21" s="11">
        <f>COUNTIFS($E:$E,3,$I:$I,1,$O:$O,$AJ$4,$Y:$Y,1,$AF:$AF,1)/12</f>
        <v>0.41666666666666669</v>
      </c>
      <c r="AT21" s="11">
        <f>COUNTIFS($E:$E,3,$I:$I,2,$O:$O,$AJ$4,$Y:$Y,1,$AF:$AF,1)/12</f>
        <v>0.5</v>
      </c>
      <c r="AU21" s="11">
        <f>COUNTIFS($E:$E,3,$I:$I,3,$O:$O,$AJ$4,$Y:$Y,1,$AF:$AF,1)/12</f>
        <v>0.66666666666666663</v>
      </c>
      <c r="AV21" s="11">
        <f>COUNTIFS($E:$E,4,$I:$I,1,$O:$O,$AJ$4,$Y:$Y,1,$AF:$AF,1)/12</f>
        <v>0.5</v>
      </c>
      <c r="AW21" s="11">
        <f>COUNTIFS($E:$E,4,$I:$I,2,$O:$O,$AJ$4,$Y:$Y,1,$AF:$AF,1)/12</f>
        <v>0.5</v>
      </c>
      <c r="AX21" s="11">
        <f>COUNTIFS($E:$E,4,$I:$I,3,$O:$O,$AJ$4,$Y:$Y,1,$AF:$AF,1)/12</f>
        <v>0.5</v>
      </c>
      <c r="AY21" s="12">
        <f>AVERAGE(AM21:AX21)</f>
        <v>0.38888888888888884</v>
      </c>
    </row>
    <row r="22" spans="1:51" x14ac:dyDescent="0.25">
      <c r="A22">
        <v>259</v>
      </c>
      <c r="B22" t="s">
        <v>35</v>
      </c>
      <c r="C22">
        <v>3</v>
      </c>
      <c r="D22" t="s">
        <v>36</v>
      </c>
      <c r="E22">
        <v>1</v>
      </c>
      <c r="F22" t="s">
        <v>259</v>
      </c>
      <c r="G22">
        <v>1</v>
      </c>
      <c r="H22">
        <v>3</v>
      </c>
      <c r="I22">
        <v>1</v>
      </c>
      <c r="J22">
        <v>21</v>
      </c>
      <c r="K22">
        <v>10</v>
      </c>
      <c r="L22">
        <v>4</v>
      </c>
      <c r="M22">
        <v>1</v>
      </c>
      <c r="N22" t="s">
        <v>101</v>
      </c>
      <c r="O22" t="s">
        <v>39</v>
      </c>
      <c r="P22" t="s">
        <v>89</v>
      </c>
      <c r="Q22" t="s">
        <v>90</v>
      </c>
      <c r="R22" t="s">
        <v>51</v>
      </c>
      <c r="S22" t="s">
        <v>52</v>
      </c>
      <c r="T22" t="s">
        <v>102</v>
      </c>
      <c r="U22">
        <v>1</v>
      </c>
      <c r="V22" t="s">
        <v>144</v>
      </c>
      <c r="W22" t="s">
        <v>183</v>
      </c>
      <c r="X22" t="s">
        <v>56</v>
      </c>
      <c r="Y22">
        <v>2</v>
      </c>
      <c r="Z22">
        <v>3</v>
      </c>
      <c r="AA22">
        <v>48</v>
      </c>
      <c r="AB22">
        <v>4.0000000000000001E-3</v>
      </c>
      <c r="AC22" t="s">
        <v>144</v>
      </c>
      <c r="AD22">
        <v>3</v>
      </c>
      <c r="AE22">
        <v>5</v>
      </c>
      <c r="AF22">
        <v>0</v>
      </c>
      <c r="AG22">
        <v>1.573</v>
      </c>
      <c r="AH22">
        <v>0.46700000000000003</v>
      </c>
      <c r="AI22">
        <v>0</v>
      </c>
      <c r="AJ22" s="1"/>
      <c r="AK22" s="1"/>
      <c r="AL22" s="6" t="s">
        <v>339</v>
      </c>
      <c r="AM22" s="11">
        <f>COUNTIFS($E:$E,1,$I:$I,1,$O:$O,$AJ$4,$AD:$AD,2)/12</f>
        <v>0.16666666666666666</v>
      </c>
      <c r="AN22" s="11">
        <f>COUNTIFS($E:$E,1,$I:$I,2,$O:$O,$AJ$4,$AD:$AD,2)/12</f>
        <v>0.25</v>
      </c>
      <c r="AO22" s="11">
        <f>COUNTIFS($E:$E,1,$I:$I,3,$O:$O,$AJ$4,$AD:$AD,2)/12</f>
        <v>0.5</v>
      </c>
      <c r="AP22" s="11">
        <f>COUNTIFS($E:$E,2,$I:$I,1,$O:$O,$AJ$4,$AD:$AD,2)/12</f>
        <v>0.5</v>
      </c>
      <c r="AQ22" s="11">
        <f>COUNTIFS($E:$E,2,$I:$I,2,$O:$O,$AJ$4,$AD:$AD,2)/12</f>
        <v>0.16666666666666666</v>
      </c>
      <c r="AR22" s="11">
        <f>COUNTIFS($E:$E,2,$I:$I,3,$O:$O,$AJ$4,$AD:$AD,2)/12</f>
        <v>0.33333333333333331</v>
      </c>
      <c r="AS22" s="11">
        <f>COUNTIFS($E:$E,3,$I:$I,1,$O:$O,$AJ$4,$AD:$AD,2)/12</f>
        <v>0.41666666666666669</v>
      </c>
      <c r="AT22" s="11">
        <f>COUNTIFS($E:$E,3,$I:$I,2,$O:$O,$AJ$4,$AD:$AD,2)/12</f>
        <v>0.33333333333333331</v>
      </c>
      <c r="AU22" s="11">
        <f>COUNTIFS($E:$E,3,$I:$I,3,$O:$O,$AJ$4,$AD:$AD,2)/12</f>
        <v>0.25</v>
      </c>
      <c r="AV22" s="11">
        <f>COUNTIFS($E:$E,4,$I:$I,1,$O:$O,$AJ$4,$AD:$AD,2)/12</f>
        <v>0.33333333333333331</v>
      </c>
      <c r="AW22" s="11">
        <f>COUNTIFS($E:$E,4,$I:$I,2,$O:$O,$AJ$4,$AD:$AD,2)/12</f>
        <v>0.33333333333333331</v>
      </c>
      <c r="AX22" s="11">
        <f>COUNTIFS($E:$E,4,$I:$I,3,$O:$O,$AJ$4,$AD:$AD,2)/12</f>
        <v>0.33333333333333331</v>
      </c>
      <c r="AY22" s="12">
        <f t="shared" ref="AY22:AY23" si="3">AVERAGE(AM22:AX22)</f>
        <v>0.3263888888888889</v>
      </c>
    </row>
    <row r="23" spans="1:51" x14ac:dyDescent="0.25">
      <c r="A23">
        <v>259</v>
      </c>
      <c r="B23" t="s">
        <v>35</v>
      </c>
      <c r="C23">
        <v>3</v>
      </c>
      <c r="D23" t="s">
        <v>36</v>
      </c>
      <c r="E23">
        <v>1</v>
      </c>
      <c r="F23" t="s">
        <v>259</v>
      </c>
      <c r="G23">
        <v>1</v>
      </c>
      <c r="H23">
        <v>3</v>
      </c>
      <c r="I23">
        <v>1</v>
      </c>
      <c r="J23">
        <v>22</v>
      </c>
      <c r="K23">
        <v>14</v>
      </c>
      <c r="L23">
        <v>12</v>
      </c>
      <c r="M23">
        <v>1</v>
      </c>
      <c r="N23" t="s">
        <v>206</v>
      </c>
      <c r="O23" t="s">
        <v>39</v>
      </c>
      <c r="P23" t="s">
        <v>207</v>
      </c>
      <c r="Q23" t="s">
        <v>208</v>
      </c>
      <c r="R23" t="s">
        <v>42</v>
      </c>
      <c r="S23" t="s">
        <v>43</v>
      </c>
      <c r="T23" t="s">
        <v>131</v>
      </c>
      <c r="U23">
        <v>4</v>
      </c>
      <c r="V23" t="s">
        <v>106</v>
      </c>
      <c r="W23" t="s">
        <v>75</v>
      </c>
      <c r="X23" t="s">
        <v>128</v>
      </c>
      <c r="Y23">
        <v>1</v>
      </c>
      <c r="Z23">
        <v>3</v>
      </c>
      <c r="AA23">
        <v>48</v>
      </c>
      <c r="AB23">
        <v>2E-3</v>
      </c>
      <c r="AC23" t="s">
        <v>75</v>
      </c>
      <c r="AD23">
        <v>4</v>
      </c>
      <c r="AE23">
        <v>5</v>
      </c>
      <c r="AF23">
        <v>0</v>
      </c>
      <c r="AG23">
        <v>1.423</v>
      </c>
      <c r="AH23">
        <v>0.78300000000000003</v>
      </c>
      <c r="AI23">
        <v>0</v>
      </c>
      <c r="AJ23" s="8"/>
      <c r="AK23" s="1"/>
      <c r="AL23" s="6" t="s">
        <v>341</v>
      </c>
      <c r="AM23" s="11">
        <f t="shared" ref="AM23:AX23" si="4">SUM(AM21,AM22)</f>
        <v>0.5</v>
      </c>
      <c r="AN23" s="11">
        <f t="shared" si="4"/>
        <v>0.41666666666666663</v>
      </c>
      <c r="AO23" s="11">
        <f t="shared" si="4"/>
        <v>0.66666666666666663</v>
      </c>
      <c r="AP23" s="11">
        <f t="shared" si="4"/>
        <v>0.75</v>
      </c>
      <c r="AQ23" s="11">
        <f t="shared" si="4"/>
        <v>0.5</v>
      </c>
      <c r="AR23" s="11">
        <f t="shared" si="4"/>
        <v>0.66666666666666663</v>
      </c>
      <c r="AS23" s="11">
        <f t="shared" si="4"/>
        <v>0.83333333333333337</v>
      </c>
      <c r="AT23" s="11">
        <f t="shared" si="4"/>
        <v>0.83333333333333326</v>
      </c>
      <c r="AU23" s="11">
        <f t="shared" si="4"/>
        <v>0.91666666666666663</v>
      </c>
      <c r="AV23" s="11">
        <f t="shared" si="4"/>
        <v>0.83333333333333326</v>
      </c>
      <c r="AW23" s="11">
        <f t="shared" si="4"/>
        <v>0.83333333333333326</v>
      </c>
      <c r="AX23" s="11">
        <f t="shared" si="4"/>
        <v>0.83333333333333326</v>
      </c>
      <c r="AY23" s="12">
        <f t="shared" si="3"/>
        <v>0.71527777777777768</v>
      </c>
    </row>
    <row r="24" spans="1:51" x14ac:dyDescent="0.25">
      <c r="A24">
        <v>259</v>
      </c>
      <c r="B24" t="s">
        <v>35</v>
      </c>
      <c r="C24">
        <v>3</v>
      </c>
      <c r="D24" t="s">
        <v>36</v>
      </c>
      <c r="E24">
        <v>1</v>
      </c>
      <c r="F24" t="s">
        <v>259</v>
      </c>
      <c r="G24">
        <v>1</v>
      </c>
      <c r="H24">
        <v>3</v>
      </c>
      <c r="I24">
        <v>1</v>
      </c>
      <c r="J24">
        <v>23</v>
      </c>
      <c r="K24">
        <v>1</v>
      </c>
      <c r="L24">
        <v>47</v>
      </c>
      <c r="M24">
        <v>2</v>
      </c>
      <c r="N24" t="s">
        <v>57</v>
      </c>
      <c r="O24" t="s">
        <v>39</v>
      </c>
      <c r="P24" t="s">
        <v>40</v>
      </c>
      <c r="Q24" t="s">
        <v>41</v>
      </c>
      <c r="R24" t="s">
        <v>58</v>
      </c>
      <c r="S24" t="s">
        <v>59</v>
      </c>
      <c r="T24" t="s">
        <v>60</v>
      </c>
      <c r="U24">
        <v>5</v>
      </c>
      <c r="V24" t="s">
        <v>138</v>
      </c>
      <c r="W24" t="s">
        <v>81</v>
      </c>
      <c r="X24" t="s">
        <v>68</v>
      </c>
      <c r="Y24">
        <v>2</v>
      </c>
      <c r="Z24">
        <v>3</v>
      </c>
      <c r="AA24">
        <v>48</v>
      </c>
      <c r="AB24">
        <v>2E-3</v>
      </c>
      <c r="AC24" t="s">
        <v>68</v>
      </c>
      <c r="AD24">
        <v>4</v>
      </c>
      <c r="AE24">
        <v>2</v>
      </c>
      <c r="AF24">
        <v>0</v>
      </c>
      <c r="AG24">
        <v>1.18</v>
      </c>
      <c r="AH24">
        <v>3.0329999999999999</v>
      </c>
      <c r="AI24">
        <v>0</v>
      </c>
      <c r="AJ24" s="8"/>
      <c r="AK24" s="1"/>
      <c r="AL24" s="6"/>
      <c r="AM24" s="2"/>
      <c r="AQ24" s="1"/>
      <c r="AR24" s="2"/>
    </row>
    <row r="25" spans="1:51" x14ac:dyDescent="0.25">
      <c r="A25">
        <v>259</v>
      </c>
      <c r="B25" t="s">
        <v>35</v>
      </c>
      <c r="C25">
        <v>3</v>
      </c>
      <c r="D25" t="s">
        <v>36</v>
      </c>
      <c r="E25">
        <v>1</v>
      </c>
      <c r="F25" t="s">
        <v>259</v>
      </c>
      <c r="G25">
        <v>1</v>
      </c>
      <c r="H25">
        <v>3</v>
      </c>
      <c r="I25">
        <v>1</v>
      </c>
      <c r="J25">
        <v>24</v>
      </c>
      <c r="K25">
        <v>9</v>
      </c>
      <c r="L25">
        <v>3</v>
      </c>
      <c r="M25">
        <v>1</v>
      </c>
      <c r="N25" t="s">
        <v>88</v>
      </c>
      <c r="O25" t="s">
        <v>39</v>
      </c>
      <c r="P25" t="s">
        <v>89</v>
      </c>
      <c r="Q25" t="s">
        <v>90</v>
      </c>
      <c r="R25" t="s">
        <v>91</v>
      </c>
      <c r="S25" t="s">
        <v>92</v>
      </c>
      <c r="T25" t="s">
        <v>93</v>
      </c>
      <c r="U25">
        <v>2</v>
      </c>
      <c r="V25" t="s">
        <v>102</v>
      </c>
      <c r="W25" t="s">
        <v>108</v>
      </c>
      <c r="X25" t="s">
        <v>100</v>
      </c>
      <c r="Y25">
        <v>1</v>
      </c>
      <c r="Z25">
        <v>3</v>
      </c>
      <c r="AA25">
        <v>48</v>
      </c>
      <c r="AB25">
        <v>3.0000000000000001E-3</v>
      </c>
      <c r="AC25" t="s">
        <v>108</v>
      </c>
      <c r="AD25">
        <v>4</v>
      </c>
      <c r="AE25">
        <v>4</v>
      </c>
      <c r="AF25">
        <v>0</v>
      </c>
      <c r="AG25">
        <v>1.274</v>
      </c>
      <c r="AH25">
        <v>3.0329999999999999</v>
      </c>
      <c r="AI25">
        <v>0</v>
      </c>
      <c r="AJ25" s="8"/>
      <c r="AK25" s="1"/>
      <c r="AL25" s="16" t="s">
        <v>336</v>
      </c>
      <c r="AM25" s="2" t="s">
        <v>361</v>
      </c>
      <c r="AN25" s="2" t="s">
        <v>362</v>
      </c>
      <c r="AO25" s="2" t="s">
        <v>363</v>
      </c>
      <c r="AP25" s="2" t="s">
        <v>364</v>
      </c>
      <c r="AQ25" s="2" t="s">
        <v>365</v>
      </c>
      <c r="AR25" s="2" t="s">
        <v>366</v>
      </c>
      <c r="AS25" s="2" t="s">
        <v>367</v>
      </c>
      <c r="AT25" s="2" t="s">
        <v>368</v>
      </c>
      <c r="AU25" s="2" t="s">
        <v>369</v>
      </c>
      <c r="AV25" s="2" t="s">
        <v>370</v>
      </c>
      <c r="AW25" s="2" t="s">
        <v>371</v>
      </c>
      <c r="AX25" s="2" t="s">
        <v>372</v>
      </c>
    </row>
    <row r="26" spans="1:51" x14ac:dyDescent="0.25">
      <c r="A26">
        <v>259</v>
      </c>
      <c r="B26" t="s">
        <v>35</v>
      </c>
      <c r="C26">
        <v>3</v>
      </c>
      <c r="D26" t="s">
        <v>36</v>
      </c>
      <c r="E26">
        <v>1</v>
      </c>
      <c r="F26" t="s">
        <v>259</v>
      </c>
      <c r="G26">
        <v>1</v>
      </c>
      <c r="H26">
        <v>3</v>
      </c>
      <c r="I26">
        <v>1</v>
      </c>
      <c r="J26">
        <v>25</v>
      </c>
      <c r="K26">
        <v>35</v>
      </c>
      <c r="L26">
        <v>67</v>
      </c>
      <c r="M26">
        <v>2</v>
      </c>
      <c r="N26" t="s">
        <v>145</v>
      </c>
      <c r="O26" t="s">
        <v>113</v>
      </c>
      <c r="P26" t="s">
        <v>114</v>
      </c>
      <c r="Q26" t="s">
        <v>136</v>
      </c>
      <c r="R26" t="s">
        <v>114</v>
      </c>
      <c r="S26" t="s">
        <v>92</v>
      </c>
      <c r="T26" t="s">
        <v>137</v>
      </c>
      <c r="U26">
        <v>5</v>
      </c>
      <c r="V26" t="s">
        <v>74</v>
      </c>
      <c r="W26" t="s">
        <v>147</v>
      </c>
      <c r="X26" t="s">
        <v>55</v>
      </c>
      <c r="Y26">
        <v>1</v>
      </c>
      <c r="Z26">
        <v>3</v>
      </c>
      <c r="AA26">
        <v>48</v>
      </c>
      <c r="AB26">
        <v>3.0000000000000001E-3</v>
      </c>
      <c r="AC26" t="s">
        <v>147</v>
      </c>
      <c r="AD26">
        <v>4</v>
      </c>
      <c r="AE26">
        <v>2</v>
      </c>
      <c r="AF26">
        <v>0</v>
      </c>
      <c r="AG26">
        <v>1.3149999999999999</v>
      </c>
      <c r="AH26">
        <v>3.0329999999999999</v>
      </c>
      <c r="AI26">
        <v>0</v>
      </c>
      <c r="AJ26" s="8"/>
      <c r="AK26" s="1"/>
      <c r="AL26" s="6" t="s">
        <v>338</v>
      </c>
      <c r="AM26" s="11">
        <f>COUNTIFS($E:$E,1,$I:$I,1,$O:$O,$AJ$5,$Y:$Y,1,$AF:$AF,1)/12</f>
        <v>0.25</v>
      </c>
      <c r="AN26" s="11">
        <f>COUNTIFS($E:$E,1,$I:$I,2,$O:$O,$AJ$5,$Y:$Y,1,$AF:$AF,1)/12</f>
        <v>0.33333333333333331</v>
      </c>
      <c r="AO26" s="11">
        <f>COUNTIFS($E:$E,1,$I:$I,3,$O:$O,$AJ$5,$Y:$Y,1,$AF:$AF,1)/12</f>
        <v>0.41666666666666669</v>
      </c>
      <c r="AP26" s="11">
        <f>COUNTIFS($E:$E,2,$I:$I,1,$O:$O,$AJ$5,$Y:$Y,1,$AF:$AF,1)/12</f>
        <v>0.41666666666666669</v>
      </c>
      <c r="AQ26" s="11">
        <f>COUNTIFS($E:$E,2,$I:$I,2,$O:$O,$AJ$5,$Y:$Y,1,$AF:$AF,1)/12</f>
        <v>0.58333333333333337</v>
      </c>
      <c r="AR26" s="11">
        <f>COUNTIFS($E:$E,2,$I:$I,3,$O:$O,$AJ$5,$Y:$Y,1,$AF:$AF,1)/12</f>
        <v>0.58333333333333337</v>
      </c>
      <c r="AS26" s="11">
        <f>COUNTIFS($E:$E,3,$I:$I,1,$O:$O,$AJ$5,$Y:$Y,1,$AF:$AF,1)/12</f>
        <v>0.33333333333333331</v>
      </c>
      <c r="AT26" s="11">
        <f>COUNTIFS($E:$E,3,$I:$I,2,$O:$O,$AJ$5,$Y:$Y,1,$AF:$AF,1)/12</f>
        <v>0.5</v>
      </c>
      <c r="AU26" s="11">
        <f>COUNTIFS($E:$E,3,$I:$I,3,$O:$O,$AJ$5,$Y:$Y,1,$AF:$AF,1)/12</f>
        <v>0.5</v>
      </c>
      <c r="AV26" s="11">
        <f>COUNTIFS($E:$E,4,$I:$I,1,$O:$O,$AJ$5,$Y:$Y,1,$AF:$AF,1)/12</f>
        <v>0.75</v>
      </c>
      <c r="AW26" s="11">
        <f>COUNTIFS($E:$E,4,$I:$I,2,$O:$O,$AJ$5,$Y:$Y,1,$AF:$AF,1)/12</f>
        <v>0.66666666666666663</v>
      </c>
      <c r="AX26" s="11">
        <f>COUNTIFS($E:$E,4,$I:$I,3,$O:$O,$AJ$5,$Y:$Y,1,$AF:$AF,1)/12</f>
        <v>0.66666666666666663</v>
      </c>
      <c r="AY26" s="12">
        <f>AVERAGE(AM26:AX26)</f>
        <v>0.50000000000000011</v>
      </c>
    </row>
    <row r="27" spans="1:51" x14ac:dyDescent="0.25">
      <c r="A27">
        <v>259</v>
      </c>
      <c r="B27" t="s">
        <v>35</v>
      </c>
      <c r="C27">
        <v>3</v>
      </c>
      <c r="D27" t="s">
        <v>36</v>
      </c>
      <c r="E27">
        <v>1</v>
      </c>
      <c r="F27" t="s">
        <v>259</v>
      </c>
      <c r="G27">
        <v>1</v>
      </c>
      <c r="H27">
        <v>3</v>
      </c>
      <c r="I27">
        <v>1</v>
      </c>
      <c r="J27">
        <v>26</v>
      </c>
      <c r="K27">
        <v>46</v>
      </c>
      <c r="L27">
        <v>70</v>
      </c>
      <c r="M27">
        <v>2</v>
      </c>
      <c r="N27" t="s">
        <v>232</v>
      </c>
      <c r="O27" t="s">
        <v>113</v>
      </c>
      <c r="P27" t="s">
        <v>114</v>
      </c>
      <c r="Q27" t="s">
        <v>222</v>
      </c>
      <c r="R27" t="s">
        <v>114</v>
      </c>
      <c r="S27" t="s">
        <v>43</v>
      </c>
      <c r="T27" t="s">
        <v>81</v>
      </c>
      <c r="U27">
        <v>1</v>
      </c>
      <c r="V27" t="s">
        <v>104</v>
      </c>
      <c r="W27" t="s">
        <v>47</v>
      </c>
      <c r="X27" t="s">
        <v>54</v>
      </c>
      <c r="Y27">
        <v>2</v>
      </c>
      <c r="Z27">
        <v>3</v>
      </c>
      <c r="AA27">
        <v>48</v>
      </c>
      <c r="AB27">
        <v>2E-3</v>
      </c>
      <c r="AC27" t="s">
        <v>81</v>
      </c>
      <c r="AD27">
        <v>1</v>
      </c>
      <c r="AE27">
        <v>1</v>
      </c>
      <c r="AF27">
        <v>1</v>
      </c>
      <c r="AG27">
        <v>1.49</v>
      </c>
      <c r="AH27">
        <v>3.0329999999999999</v>
      </c>
      <c r="AI27">
        <v>0</v>
      </c>
      <c r="AJ27" s="8"/>
      <c r="AK27" s="1"/>
      <c r="AL27" s="6" t="s">
        <v>339</v>
      </c>
      <c r="AM27" s="11">
        <f>COUNTIFS($E:$E,1,$I:$I,1,$O:$O,$AJ$5,$AD:$AD,2)/12</f>
        <v>0.33333333333333331</v>
      </c>
      <c r="AN27" s="11">
        <f>COUNTIFS($E:$E,1,$I:$I,2,$O:$O,$AJ$5,$AD:$AD,2)/12</f>
        <v>0.16666666666666666</v>
      </c>
      <c r="AO27" s="11">
        <f>COUNTIFS($E:$E,1,$I:$I,3,$O:$O,$AJ$5,$AD:$AD,2)/12</f>
        <v>0.41666666666666669</v>
      </c>
      <c r="AP27" s="11">
        <f>COUNTIFS($E:$E,2,$I:$I,1,$O:$O,$AJ$5,$AD:$AD,2)/12</f>
        <v>8.3333333333333329E-2</v>
      </c>
      <c r="AQ27" s="11">
        <f>COUNTIFS($E:$E,2,$I:$I,2,$O:$O,$AJ$5,$AD:$AD,2)/12</f>
        <v>8.3333333333333329E-2</v>
      </c>
      <c r="AR27" s="11">
        <f>COUNTIFS($E:$E,2,$I:$I,3,$O:$O,$AJ$5,$AD:$AD,2)/12</f>
        <v>0.25</v>
      </c>
      <c r="AS27" s="11">
        <f>COUNTIFS($E:$E,3,$I:$I,1,$O:$O,$AJ$5,$AD:$AD,2)/12</f>
        <v>0.25</v>
      </c>
      <c r="AT27" s="11">
        <f>COUNTIFS($E:$E,3,$I:$I,2,$O:$O,$AJ$5,$AD:$AD,2)/12</f>
        <v>0.25</v>
      </c>
      <c r="AU27" s="11">
        <f>COUNTIFS($E:$E,3,$I:$I,3,$O:$O,$AJ$5,$AD:$AD,2)/12</f>
        <v>0.33333333333333331</v>
      </c>
      <c r="AV27" s="11">
        <f>COUNTIFS($E:$E,4,$I:$I,1,$O:$O,$AJ$5,$AD:$AD,2)/12</f>
        <v>8.3333333333333329E-2</v>
      </c>
      <c r="AW27" s="11">
        <f>COUNTIFS($E:$E,4,$I:$I,2,$O:$O,$AJ$5,$AD:$AD,2)/12</f>
        <v>0.33333333333333331</v>
      </c>
      <c r="AX27" s="11">
        <f>COUNTIFS($E:$E,4,$I:$I,3,$O:$O,$AJ$5,$AD:$AD,2)/12</f>
        <v>0.25</v>
      </c>
      <c r="AY27" s="12">
        <f t="shared" ref="AY27:AY28" si="5">AVERAGE(AM27:AX27)</f>
        <v>0.23611111111111113</v>
      </c>
    </row>
    <row r="28" spans="1:51" x14ac:dyDescent="0.25">
      <c r="A28">
        <v>259</v>
      </c>
      <c r="B28" t="s">
        <v>35</v>
      </c>
      <c r="C28">
        <v>3</v>
      </c>
      <c r="D28" t="s">
        <v>36</v>
      </c>
      <c r="E28">
        <v>1</v>
      </c>
      <c r="F28" t="s">
        <v>259</v>
      </c>
      <c r="G28">
        <v>1</v>
      </c>
      <c r="H28">
        <v>3</v>
      </c>
      <c r="I28">
        <v>1</v>
      </c>
      <c r="J28">
        <v>27</v>
      </c>
      <c r="K28">
        <v>34</v>
      </c>
      <c r="L28">
        <v>28</v>
      </c>
      <c r="M28">
        <v>1</v>
      </c>
      <c r="N28" t="s">
        <v>117</v>
      </c>
      <c r="O28" t="s">
        <v>113</v>
      </c>
      <c r="P28" t="s">
        <v>114</v>
      </c>
      <c r="Q28" t="s">
        <v>118</v>
      </c>
      <c r="R28" t="s">
        <v>114</v>
      </c>
      <c r="S28" t="s">
        <v>52</v>
      </c>
      <c r="T28" t="s">
        <v>119</v>
      </c>
      <c r="U28">
        <v>1</v>
      </c>
      <c r="V28" t="s">
        <v>214</v>
      </c>
      <c r="W28" t="s">
        <v>98</v>
      </c>
      <c r="X28" t="s">
        <v>86</v>
      </c>
      <c r="Y28">
        <v>2</v>
      </c>
      <c r="Z28">
        <v>3</v>
      </c>
      <c r="AA28">
        <v>48</v>
      </c>
      <c r="AB28">
        <v>3.0000000000000001E-3</v>
      </c>
      <c r="AC28" t="s">
        <v>98</v>
      </c>
      <c r="AD28">
        <v>4</v>
      </c>
      <c r="AE28">
        <v>4</v>
      </c>
      <c r="AF28">
        <v>0</v>
      </c>
      <c r="AG28">
        <v>1.526</v>
      </c>
      <c r="AH28">
        <v>1.3</v>
      </c>
      <c r="AI28">
        <v>0</v>
      </c>
      <c r="AJ28" s="8"/>
      <c r="AK28" s="1"/>
      <c r="AL28" s="6" t="s">
        <v>341</v>
      </c>
      <c r="AM28" s="11">
        <f t="shared" ref="AM28:AX28" si="6">SUM(AM26,AM27)</f>
        <v>0.58333333333333326</v>
      </c>
      <c r="AN28" s="11">
        <f t="shared" si="6"/>
        <v>0.5</v>
      </c>
      <c r="AO28" s="11">
        <f t="shared" si="6"/>
        <v>0.83333333333333337</v>
      </c>
      <c r="AP28" s="11">
        <f t="shared" si="6"/>
        <v>0.5</v>
      </c>
      <c r="AQ28" s="11">
        <f t="shared" si="6"/>
        <v>0.66666666666666674</v>
      </c>
      <c r="AR28" s="11">
        <f t="shared" si="6"/>
        <v>0.83333333333333337</v>
      </c>
      <c r="AS28" s="11">
        <f t="shared" si="6"/>
        <v>0.58333333333333326</v>
      </c>
      <c r="AT28" s="11">
        <f t="shared" si="6"/>
        <v>0.75</v>
      </c>
      <c r="AU28" s="11">
        <f t="shared" si="6"/>
        <v>0.83333333333333326</v>
      </c>
      <c r="AV28" s="11">
        <f t="shared" si="6"/>
        <v>0.83333333333333337</v>
      </c>
      <c r="AW28" s="11">
        <f t="shared" si="6"/>
        <v>1</v>
      </c>
      <c r="AX28" s="11">
        <f t="shared" si="6"/>
        <v>0.91666666666666663</v>
      </c>
      <c r="AY28" s="12">
        <f t="shared" si="5"/>
        <v>0.73611111111111105</v>
      </c>
    </row>
    <row r="29" spans="1:51" x14ac:dyDescent="0.25">
      <c r="A29">
        <v>259</v>
      </c>
      <c r="B29" t="s">
        <v>35</v>
      </c>
      <c r="C29">
        <v>3</v>
      </c>
      <c r="D29" t="s">
        <v>36</v>
      </c>
      <c r="E29">
        <v>1</v>
      </c>
      <c r="F29" t="s">
        <v>259</v>
      </c>
      <c r="G29">
        <v>1</v>
      </c>
      <c r="H29">
        <v>3</v>
      </c>
      <c r="I29">
        <v>1</v>
      </c>
      <c r="J29">
        <v>28</v>
      </c>
      <c r="K29">
        <v>37</v>
      </c>
      <c r="L29">
        <v>35</v>
      </c>
      <c r="M29">
        <v>1</v>
      </c>
      <c r="N29" t="s">
        <v>219</v>
      </c>
      <c r="O29" t="s">
        <v>113</v>
      </c>
      <c r="P29" t="s">
        <v>114</v>
      </c>
      <c r="Q29" t="s">
        <v>220</v>
      </c>
      <c r="R29" t="s">
        <v>114</v>
      </c>
      <c r="S29" t="s">
        <v>92</v>
      </c>
      <c r="T29" t="s">
        <v>179</v>
      </c>
      <c r="U29">
        <v>5</v>
      </c>
      <c r="V29" t="s">
        <v>116</v>
      </c>
      <c r="W29" t="s">
        <v>204</v>
      </c>
      <c r="X29" t="s">
        <v>73</v>
      </c>
      <c r="Y29">
        <v>1</v>
      </c>
      <c r="Z29">
        <v>3</v>
      </c>
      <c r="AA29">
        <v>48</v>
      </c>
      <c r="AB29">
        <v>3.0000000000000001E-3</v>
      </c>
      <c r="AC29" t="s">
        <v>73</v>
      </c>
      <c r="AD29">
        <v>4</v>
      </c>
      <c r="AE29">
        <v>4</v>
      </c>
      <c r="AF29">
        <v>0</v>
      </c>
      <c r="AG29">
        <v>2.7280000000000002</v>
      </c>
      <c r="AH29">
        <v>0.61699999999999999</v>
      </c>
      <c r="AI29">
        <v>0</v>
      </c>
      <c r="AJ29" s="8"/>
      <c r="AK29" s="1"/>
      <c r="AL29" s="6"/>
      <c r="AM29" s="2"/>
      <c r="AQ29" s="1"/>
      <c r="AR29" s="2"/>
    </row>
    <row r="30" spans="1:51" x14ac:dyDescent="0.25">
      <c r="A30">
        <v>259</v>
      </c>
      <c r="B30" t="s">
        <v>35</v>
      </c>
      <c r="C30">
        <v>3</v>
      </c>
      <c r="D30" t="s">
        <v>36</v>
      </c>
      <c r="E30">
        <v>1</v>
      </c>
      <c r="F30" t="s">
        <v>259</v>
      </c>
      <c r="G30">
        <v>1</v>
      </c>
      <c r="H30">
        <v>3</v>
      </c>
      <c r="I30">
        <v>1</v>
      </c>
      <c r="J30">
        <v>29</v>
      </c>
      <c r="K30">
        <v>43</v>
      </c>
      <c r="L30">
        <v>29</v>
      </c>
      <c r="M30">
        <v>1</v>
      </c>
      <c r="N30" t="s">
        <v>217</v>
      </c>
      <c r="O30" t="s">
        <v>113</v>
      </c>
      <c r="P30" t="s">
        <v>114</v>
      </c>
      <c r="Q30" t="s">
        <v>218</v>
      </c>
      <c r="R30" t="s">
        <v>114</v>
      </c>
      <c r="S30" t="s">
        <v>52</v>
      </c>
      <c r="T30" t="s">
        <v>214</v>
      </c>
      <c r="U30">
        <v>4</v>
      </c>
      <c r="V30" t="s">
        <v>107</v>
      </c>
      <c r="W30" t="s">
        <v>94</v>
      </c>
      <c r="X30" t="s">
        <v>211</v>
      </c>
      <c r="Y30">
        <v>1</v>
      </c>
      <c r="Z30">
        <v>3</v>
      </c>
      <c r="AA30">
        <v>48</v>
      </c>
      <c r="AB30">
        <v>4.0000000000000001E-3</v>
      </c>
      <c r="AC30" t="s">
        <v>214</v>
      </c>
      <c r="AD30">
        <v>1</v>
      </c>
      <c r="AE30">
        <v>4</v>
      </c>
      <c r="AF30">
        <v>1</v>
      </c>
      <c r="AG30">
        <v>2.2610000000000001</v>
      </c>
      <c r="AH30">
        <v>0.53300000000000003</v>
      </c>
      <c r="AI30">
        <v>0</v>
      </c>
      <c r="AJ30" s="8"/>
      <c r="AK30" s="1"/>
      <c r="AL30" s="7" t="s">
        <v>337</v>
      </c>
      <c r="AM30" s="2" t="s">
        <v>361</v>
      </c>
      <c r="AN30" s="2" t="s">
        <v>362</v>
      </c>
      <c r="AO30" s="2" t="s">
        <v>363</v>
      </c>
      <c r="AP30" s="2" t="s">
        <v>364</v>
      </c>
      <c r="AQ30" s="2" t="s">
        <v>365</v>
      </c>
      <c r="AR30" s="2" t="s">
        <v>366</v>
      </c>
      <c r="AS30" s="2" t="s">
        <v>367</v>
      </c>
      <c r="AT30" s="2" t="s">
        <v>368</v>
      </c>
      <c r="AU30" s="2" t="s">
        <v>369</v>
      </c>
      <c r="AV30" s="2" t="s">
        <v>370</v>
      </c>
      <c r="AW30" s="2" t="s">
        <v>371</v>
      </c>
      <c r="AX30" s="2" t="s">
        <v>372</v>
      </c>
    </row>
    <row r="31" spans="1:51" x14ac:dyDescent="0.25">
      <c r="A31">
        <v>259</v>
      </c>
      <c r="B31" t="s">
        <v>35</v>
      </c>
      <c r="C31">
        <v>3</v>
      </c>
      <c r="D31" t="s">
        <v>36</v>
      </c>
      <c r="E31">
        <v>1</v>
      </c>
      <c r="F31" t="s">
        <v>259</v>
      </c>
      <c r="G31">
        <v>1</v>
      </c>
      <c r="H31">
        <v>3</v>
      </c>
      <c r="I31">
        <v>1</v>
      </c>
      <c r="J31">
        <v>30</v>
      </c>
      <c r="K31">
        <v>26</v>
      </c>
      <c r="L31">
        <v>72</v>
      </c>
      <c r="M31">
        <v>2</v>
      </c>
      <c r="N31" t="s">
        <v>112</v>
      </c>
      <c r="O31" t="s">
        <v>113</v>
      </c>
      <c r="P31" t="s">
        <v>114</v>
      </c>
      <c r="Q31" t="s">
        <v>115</v>
      </c>
      <c r="R31" t="s">
        <v>114</v>
      </c>
      <c r="S31" t="s">
        <v>43</v>
      </c>
      <c r="T31" t="s">
        <v>104</v>
      </c>
      <c r="U31">
        <v>2</v>
      </c>
      <c r="V31" t="s">
        <v>46</v>
      </c>
      <c r="W31" t="s">
        <v>53</v>
      </c>
      <c r="X31" t="s">
        <v>99</v>
      </c>
      <c r="Y31">
        <v>1</v>
      </c>
      <c r="Z31">
        <v>3</v>
      </c>
      <c r="AA31">
        <v>48</v>
      </c>
      <c r="AB31">
        <v>2E-3</v>
      </c>
      <c r="AC31" t="s">
        <v>104</v>
      </c>
      <c r="AD31">
        <v>1</v>
      </c>
      <c r="AE31">
        <v>2</v>
      </c>
      <c r="AF31">
        <v>1</v>
      </c>
      <c r="AG31">
        <v>2.363</v>
      </c>
      <c r="AH31">
        <v>0.65</v>
      </c>
      <c r="AI31">
        <v>0</v>
      </c>
      <c r="AJ31" s="8"/>
      <c r="AK31" s="1"/>
      <c r="AL31" s="6" t="s">
        <v>338</v>
      </c>
      <c r="AM31" s="11">
        <f>COUNTIFS($E:$E,1,$I:$I,1,$O:$O,$AJ$6,$Y:$Y,1,$AF:$AF,1)/12</f>
        <v>0.33333333333333331</v>
      </c>
      <c r="AN31" s="11">
        <f>COUNTIFS($E:$E,1,$I:$I,2,$O:$O,$AJ$6,$Y:$Y,1,$AF:$AF,1)/12</f>
        <v>0.33333333333333331</v>
      </c>
      <c r="AO31" s="11">
        <f>COUNTIFS($E:$E,1,$I:$I,3,$O:$O,$AJ$6,$Y:$Y,1,$AF:$AF,1)/12</f>
        <v>0.41666666666666669</v>
      </c>
      <c r="AP31" s="11">
        <f>COUNTIFS($E:$E,2,$I:$I,1,$O:$O,$AJ$6,$Y:$Y,1,$AF:$AF,1)/12</f>
        <v>0.33333333333333331</v>
      </c>
      <c r="AQ31" s="11">
        <f>COUNTIFS($E:$E,2,$I:$I,2,$O:$O,$AJ$6,$Y:$Y,1,$AF:$AF,1)/12</f>
        <v>0.41666666666666669</v>
      </c>
      <c r="AR31" s="11">
        <f>COUNTIFS($E:$E,2,$I:$I,3,$O:$O,$AJ$6,$Y:$Y,1,$AF:$AF,1)/12</f>
        <v>0.58333333333333337</v>
      </c>
      <c r="AS31" s="11">
        <f>COUNTIFS($E:$E,3,$I:$I,1,$O:$O,$AJ$6,$Y:$Y,1,$AF:$AF,1)/12</f>
        <v>0.41666666666666669</v>
      </c>
      <c r="AT31" s="11">
        <f>COUNTIFS($E:$E,3,$I:$I,2,$O:$O,$AJ$6,$Y:$Y,1,$AF:$AF,1)/12</f>
        <v>0.5</v>
      </c>
      <c r="AU31" s="11">
        <f>COUNTIFS($E:$E,3,$I:$I,3,$O:$O,$AJ$6,$Y:$Y,1,$AF:$AF,1)/12</f>
        <v>0.33333333333333331</v>
      </c>
      <c r="AV31" s="11">
        <f>COUNTIFS($E:$E,4,$I:$I,1,$O:$O,$AJ$6,$Y:$Y,1,$AF:$AF,1)/12</f>
        <v>0.33333333333333331</v>
      </c>
      <c r="AW31" s="11">
        <f>COUNTIFS($E:$E,4,$I:$I,2,$O:$O,$AJ$6,$Y:$Y,1,$AF:$AF,1)/12</f>
        <v>0.58333333333333337</v>
      </c>
      <c r="AX31" s="11">
        <f>COUNTIFS($E:$E,4,$I:$I,3,$O:$O,$AJ$6,$Y:$Y,1,$AF:$AF,1)/12</f>
        <v>0.41666666666666669</v>
      </c>
      <c r="AY31" s="12">
        <f>AVERAGE(AM31:AX31)</f>
        <v>0.41666666666666669</v>
      </c>
    </row>
    <row r="32" spans="1:51" x14ac:dyDescent="0.25">
      <c r="A32">
        <v>259</v>
      </c>
      <c r="B32" t="s">
        <v>35</v>
      </c>
      <c r="C32">
        <v>3</v>
      </c>
      <c r="D32" t="s">
        <v>36</v>
      </c>
      <c r="E32">
        <v>1</v>
      </c>
      <c r="F32" t="s">
        <v>259</v>
      </c>
      <c r="G32">
        <v>1</v>
      </c>
      <c r="H32">
        <v>3</v>
      </c>
      <c r="I32">
        <v>1</v>
      </c>
      <c r="J32">
        <v>31</v>
      </c>
      <c r="K32">
        <v>47</v>
      </c>
      <c r="L32">
        <v>33</v>
      </c>
      <c r="M32">
        <v>1</v>
      </c>
      <c r="N32" t="s">
        <v>223</v>
      </c>
      <c r="O32" t="s">
        <v>113</v>
      </c>
      <c r="P32" t="s">
        <v>114</v>
      </c>
      <c r="Q32" t="s">
        <v>224</v>
      </c>
      <c r="R32" t="s">
        <v>114</v>
      </c>
      <c r="S32" t="s">
        <v>59</v>
      </c>
      <c r="T32" t="s">
        <v>56</v>
      </c>
      <c r="U32">
        <v>2</v>
      </c>
      <c r="V32" t="s">
        <v>61</v>
      </c>
      <c r="W32" t="s">
        <v>183</v>
      </c>
      <c r="X32" t="s">
        <v>44</v>
      </c>
      <c r="Y32">
        <v>1</v>
      </c>
      <c r="Z32">
        <v>3</v>
      </c>
      <c r="AA32">
        <v>48</v>
      </c>
      <c r="AB32">
        <v>3.0000000000000001E-3</v>
      </c>
      <c r="AC32" t="s">
        <v>44</v>
      </c>
      <c r="AD32">
        <v>4</v>
      </c>
      <c r="AE32">
        <v>5</v>
      </c>
      <c r="AF32">
        <v>0</v>
      </c>
      <c r="AG32">
        <v>1.4990000000000001</v>
      </c>
      <c r="AH32">
        <v>0.5</v>
      </c>
      <c r="AI32">
        <v>0</v>
      </c>
      <c r="AJ32" s="8"/>
      <c r="AK32" s="1"/>
      <c r="AL32" s="6" t="s">
        <v>339</v>
      </c>
      <c r="AM32" s="11">
        <f>COUNTIFS($E:$E,1,$I:$I,1,$O:$O,$AJ$6,$AD:$AD,2)/12</f>
        <v>0.16666666666666666</v>
      </c>
      <c r="AN32" s="11">
        <f>COUNTIFS($E:$E,1,$I:$I,2,$O:$O,$AJ$6,$AD:$AD,2)/12</f>
        <v>0.25</v>
      </c>
      <c r="AO32" s="11">
        <f>COUNTIFS($E:$E,1,$I:$I,3,$O:$O,$AJ$6,$AD:$AD,2)/12</f>
        <v>0.33333333333333331</v>
      </c>
      <c r="AP32" s="11">
        <f>COUNTIFS($E:$E,2,$I:$I,1,$O:$O,$AJ$6,$AD:$AD,2)/12</f>
        <v>0.16666666666666666</v>
      </c>
      <c r="AQ32" s="11">
        <f>COUNTIFS($E:$E,2,$I:$I,2,$O:$O,$AJ$6,$AD:$AD,2)/12</f>
        <v>0.25</v>
      </c>
      <c r="AR32" s="11">
        <f>COUNTIFS($E:$E,2,$I:$I,3,$O:$O,$AJ$6,$AD:$AD,2)/12</f>
        <v>0.16666666666666666</v>
      </c>
      <c r="AS32" s="11">
        <f>COUNTIFS($E:$E,3,$I:$I,1,$O:$O,$AJ$6,$AD:$AD,2)/12</f>
        <v>0.41666666666666669</v>
      </c>
      <c r="AT32" s="11">
        <f>COUNTIFS($E:$E,3,$I:$I,2,$O:$O,$AJ$6,$AD:$AD,2)/12</f>
        <v>0.25</v>
      </c>
      <c r="AU32" s="11">
        <f>COUNTIFS($E:$E,3,$I:$I,3,$O:$O,$AJ$6,$AD:$AD,2)/12</f>
        <v>0.41666666666666669</v>
      </c>
      <c r="AV32" s="11">
        <f>COUNTIFS($E:$E,4,$I:$I,1,$O:$O,$AJ$6,$AD:$AD,2)/12</f>
        <v>0.41666666666666669</v>
      </c>
      <c r="AW32" s="11">
        <f>COUNTIFS($E:$E,4,$I:$I,2,$O:$O,$AJ$6,$AD:$AD,2)/12</f>
        <v>0.25</v>
      </c>
      <c r="AX32" s="11">
        <f>COUNTIFS($E:$E,4,$I:$I,3,$O:$O,$AJ$6,$AD:$AD,2)/12</f>
        <v>0.25</v>
      </c>
      <c r="AY32" s="12">
        <f t="shared" ref="AY32:AY33" si="7">AVERAGE(AM32:AX32)</f>
        <v>0.27777777777777773</v>
      </c>
    </row>
    <row r="33" spans="1:51" x14ac:dyDescent="0.25">
      <c r="A33">
        <v>259</v>
      </c>
      <c r="B33" t="s">
        <v>35</v>
      </c>
      <c r="C33">
        <v>3</v>
      </c>
      <c r="D33" t="s">
        <v>36</v>
      </c>
      <c r="E33">
        <v>1</v>
      </c>
      <c r="F33" t="s">
        <v>259</v>
      </c>
      <c r="G33">
        <v>1</v>
      </c>
      <c r="H33">
        <v>3</v>
      </c>
      <c r="I33">
        <v>1</v>
      </c>
      <c r="J33">
        <v>32</v>
      </c>
      <c r="K33">
        <v>45</v>
      </c>
      <c r="L33">
        <v>69</v>
      </c>
      <c r="M33">
        <v>2</v>
      </c>
      <c r="N33" t="s">
        <v>221</v>
      </c>
      <c r="O33" t="s">
        <v>113</v>
      </c>
      <c r="P33" t="s">
        <v>114</v>
      </c>
      <c r="Q33" t="s">
        <v>222</v>
      </c>
      <c r="R33" t="s">
        <v>114</v>
      </c>
      <c r="S33" t="s">
        <v>52</v>
      </c>
      <c r="T33" t="s">
        <v>69</v>
      </c>
      <c r="U33">
        <v>1</v>
      </c>
      <c r="V33" t="s">
        <v>81</v>
      </c>
      <c r="W33" t="s">
        <v>66</v>
      </c>
      <c r="X33" t="s">
        <v>139</v>
      </c>
      <c r="Y33">
        <v>1</v>
      </c>
      <c r="Z33">
        <v>3</v>
      </c>
      <c r="AA33">
        <v>48</v>
      </c>
      <c r="AB33">
        <v>3.0000000000000001E-3</v>
      </c>
      <c r="AC33" t="s">
        <v>81</v>
      </c>
      <c r="AD33">
        <v>2</v>
      </c>
      <c r="AE33">
        <v>2</v>
      </c>
      <c r="AF33">
        <v>0</v>
      </c>
      <c r="AG33">
        <v>2.835</v>
      </c>
      <c r="AH33">
        <v>0.66700000000000004</v>
      </c>
      <c r="AI33">
        <v>0</v>
      </c>
      <c r="AJ33" s="8"/>
      <c r="AK33" s="1"/>
      <c r="AL33" s="6" t="s">
        <v>341</v>
      </c>
      <c r="AM33" s="11">
        <f t="shared" ref="AM33:AX33" si="8">SUM(AM31,AM32)</f>
        <v>0.5</v>
      </c>
      <c r="AN33" s="11">
        <f t="shared" si="8"/>
        <v>0.58333333333333326</v>
      </c>
      <c r="AO33" s="11">
        <f t="shared" si="8"/>
        <v>0.75</v>
      </c>
      <c r="AP33" s="11">
        <f t="shared" si="8"/>
        <v>0.5</v>
      </c>
      <c r="AQ33" s="11">
        <f t="shared" si="8"/>
        <v>0.66666666666666674</v>
      </c>
      <c r="AR33" s="11">
        <f t="shared" si="8"/>
        <v>0.75</v>
      </c>
      <c r="AS33" s="11">
        <f t="shared" si="8"/>
        <v>0.83333333333333337</v>
      </c>
      <c r="AT33" s="11">
        <f t="shared" si="8"/>
        <v>0.75</v>
      </c>
      <c r="AU33" s="11">
        <f t="shared" si="8"/>
        <v>0.75</v>
      </c>
      <c r="AV33" s="11">
        <f t="shared" si="8"/>
        <v>0.75</v>
      </c>
      <c r="AW33" s="11">
        <f t="shared" si="8"/>
        <v>0.83333333333333337</v>
      </c>
      <c r="AX33" s="11">
        <f t="shared" si="8"/>
        <v>0.66666666666666674</v>
      </c>
      <c r="AY33" s="12">
        <f t="shared" si="7"/>
        <v>0.69444444444444431</v>
      </c>
    </row>
    <row r="34" spans="1:51" x14ac:dyDescent="0.25">
      <c r="A34">
        <v>259</v>
      </c>
      <c r="B34" t="s">
        <v>35</v>
      </c>
      <c r="C34">
        <v>3</v>
      </c>
      <c r="D34" t="s">
        <v>36</v>
      </c>
      <c r="E34">
        <v>1</v>
      </c>
      <c r="F34" t="s">
        <v>259</v>
      </c>
      <c r="G34">
        <v>1</v>
      </c>
      <c r="H34">
        <v>3</v>
      </c>
      <c r="I34">
        <v>1</v>
      </c>
      <c r="J34">
        <v>33</v>
      </c>
      <c r="K34">
        <v>29</v>
      </c>
      <c r="L34">
        <v>61</v>
      </c>
      <c r="M34">
        <v>2</v>
      </c>
      <c r="N34" t="s">
        <v>125</v>
      </c>
      <c r="O34" t="s">
        <v>113</v>
      </c>
      <c r="P34" t="s">
        <v>114</v>
      </c>
      <c r="Q34" t="s">
        <v>126</v>
      </c>
      <c r="R34" t="s">
        <v>114</v>
      </c>
      <c r="S34" t="s">
        <v>92</v>
      </c>
      <c r="T34" t="s">
        <v>127</v>
      </c>
      <c r="U34">
        <v>4</v>
      </c>
      <c r="V34" t="s">
        <v>179</v>
      </c>
      <c r="W34" t="s">
        <v>96</v>
      </c>
      <c r="X34" t="s">
        <v>131</v>
      </c>
      <c r="Y34">
        <v>2</v>
      </c>
      <c r="Z34">
        <v>3</v>
      </c>
      <c r="AA34">
        <v>48</v>
      </c>
      <c r="AB34">
        <v>4.0000000000000001E-3</v>
      </c>
      <c r="AC34" t="s">
        <v>127</v>
      </c>
      <c r="AD34">
        <v>1</v>
      </c>
      <c r="AE34">
        <v>4</v>
      </c>
      <c r="AF34">
        <v>1</v>
      </c>
      <c r="AG34">
        <v>1.1539999999999999</v>
      </c>
      <c r="AH34">
        <v>0.86599999999999999</v>
      </c>
      <c r="AI34">
        <v>0</v>
      </c>
      <c r="AJ34" s="8"/>
      <c r="AK34" s="1"/>
      <c r="AL34" s="6"/>
      <c r="AQ34" s="1"/>
      <c r="AR34" s="2"/>
    </row>
    <row r="35" spans="1:51" x14ac:dyDescent="0.25">
      <c r="A35">
        <v>259</v>
      </c>
      <c r="B35" t="s">
        <v>35</v>
      </c>
      <c r="C35">
        <v>3</v>
      </c>
      <c r="D35" t="s">
        <v>36</v>
      </c>
      <c r="E35">
        <v>1</v>
      </c>
      <c r="F35" t="s">
        <v>259</v>
      </c>
      <c r="G35">
        <v>1</v>
      </c>
      <c r="H35">
        <v>3</v>
      </c>
      <c r="I35">
        <v>1</v>
      </c>
      <c r="J35">
        <v>34</v>
      </c>
      <c r="K35">
        <v>44</v>
      </c>
      <c r="L35">
        <v>30</v>
      </c>
      <c r="M35">
        <v>1</v>
      </c>
      <c r="N35" t="s">
        <v>233</v>
      </c>
      <c r="O35" t="s">
        <v>113</v>
      </c>
      <c r="P35" t="s">
        <v>114</v>
      </c>
      <c r="Q35" t="s">
        <v>218</v>
      </c>
      <c r="R35" t="s">
        <v>114</v>
      </c>
      <c r="S35" t="s">
        <v>43</v>
      </c>
      <c r="T35" t="s">
        <v>107</v>
      </c>
      <c r="U35">
        <v>1</v>
      </c>
      <c r="V35" t="s">
        <v>111</v>
      </c>
      <c r="W35" t="s">
        <v>102</v>
      </c>
      <c r="X35" t="s">
        <v>187</v>
      </c>
      <c r="Y35">
        <v>2</v>
      </c>
      <c r="Z35">
        <v>3</v>
      </c>
      <c r="AA35">
        <v>48</v>
      </c>
      <c r="AB35">
        <v>3.0000000000000001E-3</v>
      </c>
      <c r="AC35" t="s">
        <v>102</v>
      </c>
      <c r="AD35">
        <v>4</v>
      </c>
      <c r="AE35">
        <v>2</v>
      </c>
      <c r="AF35">
        <v>0</v>
      </c>
      <c r="AG35">
        <v>1.1080000000000001</v>
      </c>
      <c r="AH35">
        <v>0.66700000000000004</v>
      </c>
      <c r="AI35">
        <v>0</v>
      </c>
      <c r="AJ35" s="1"/>
      <c r="AK35" s="1"/>
      <c r="AL35" s="6"/>
      <c r="AQ35" s="1"/>
      <c r="AR35" s="2"/>
    </row>
    <row r="36" spans="1:51" x14ac:dyDescent="0.25">
      <c r="A36">
        <v>259</v>
      </c>
      <c r="B36" t="s">
        <v>35</v>
      </c>
      <c r="C36">
        <v>3</v>
      </c>
      <c r="D36" t="s">
        <v>36</v>
      </c>
      <c r="E36">
        <v>1</v>
      </c>
      <c r="F36" t="s">
        <v>259</v>
      </c>
      <c r="G36">
        <v>1</v>
      </c>
      <c r="H36">
        <v>3</v>
      </c>
      <c r="I36">
        <v>1</v>
      </c>
      <c r="J36">
        <v>35</v>
      </c>
      <c r="K36">
        <v>40</v>
      </c>
      <c r="L36">
        <v>32</v>
      </c>
      <c r="M36">
        <v>1</v>
      </c>
      <c r="N36" t="s">
        <v>234</v>
      </c>
      <c r="O36" t="s">
        <v>113</v>
      </c>
      <c r="P36" t="s">
        <v>114</v>
      </c>
      <c r="Q36" t="s">
        <v>231</v>
      </c>
      <c r="R36" t="s">
        <v>114</v>
      </c>
      <c r="S36" t="s">
        <v>43</v>
      </c>
      <c r="T36" t="s">
        <v>111</v>
      </c>
      <c r="U36">
        <v>5</v>
      </c>
      <c r="V36" t="s">
        <v>162</v>
      </c>
      <c r="W36" t="s">
        <v>79</v>
      </c>
      <c r="X36" t="s">
        <v>68</v>
      </c>
      <c r="Y36">
        <v>1</v>
      </c>
      <c r="Z36">
        <v>3</v>
      </c>
      <c r="AA36">
        <v>48</v>
      </c>
      <c r="AB36">
        <v>3.0000000000000001E-3</v>
      </c>
      <c r="AC36" t="s">
        <v>111</v>
      </c>
      <c r="AD36">
        <v>1</v>
      </c>
      <c r="AE36">
        <v>5</v>
      </c>
      <c r="AF36">
        <v>1</v>
      </c>
      <c r="AG36">
        <v>1.6319999999999999</v>
      </c>
      <c r="AH36">
        <v>0.65</v>
      </c>
      <c r="AI36">
        <v>0</v>
      </c>
      <c r="AJ36" s="1"/>
      <c r="AL36" s="6"/>
      <c r="AM36" s="4" t="s">
        <v>373</v>
      </c>
      <c r="AQ36" s="1"/>
      <c r="AR36" s="2"/>
    </row>
    <row r="37" spans="1:51" x14ac:dyDescent="0.25">
      <c r="A37">
        <v>259</v>
      </c>
      <c r="B37" t="s">
        <v>35</v>
      </c>
      <c r="C37">
        <v>3</v>
      </c>
      <c r="D37" t="s">
        <v>36</v>
      </c>
      <c r="E37">
        <v>1</v>
      </c>
      <c r="F37" t="s">
        <v>259</v>
      </c>
      <c r="G37">
        <v>1</v>
      </c>
      <c r="H37">
        <v>3</v>
      </c>
      <c r="I37">
        <v>1</v>
      </c>
      <c r="J37">
        <v>36</v>
      </c>
      <c r="K37">
        <v>48</v>
      </c>
      <c r="L37">
        <v>34</v>
      </c>
      <c r="M37">
        <v>1</v>
      </c>
      <c r="N37" t="s">
        <v>228</v>
      </c>
      <c r="O37" t="s">
        <v>113</v>
      </c>
      <c r="P37" t="s">
        <v>114</v>
      </c>
      <c r="Q37" t="s">
        <v>224</v>
      </c>
      <c r="R37" t="s">
        <v>114</v>
      </c>
      <c r="S37" t="s">
        <v>52</v>
      </c>
      <c r="T37" t="s">
        <v>61</v>
      </c>
      <c r="U37">
        <v>5</v>
      </c>
      <c r="V37" t="s">
        <v>69</v>
      </c>
      <c r="W37" t="s">
        <v>108</v>
      </c>
      <c r="X37" t="s">
        <v>138</v>
      </c>
      <c r="Y37">
        <v>2</v>
      </c>
      <c r="Z37">
        <v>3</v>
      </c>
      <c r="AA37">
        <v>48</v>
      </c>
      <c r="AB37">
        <v>3.0000000000000001E-3</v>
      </c>
      <c r="AC37" t="s">
        <v>61</v>
      </c>
      <c r="AD37">
        <v>1</v>
      </c>
      <c r="AE37">
        <v>5</v>
      </c>
      <c r="AF37">
        <v>1</v>
      </c>
      <c r="AG37">
        <v>2.8580000000000001</v>
      </c>
      <c r="AH37">
        <v>1</v>
      </c>
      <c r="AI37">
        <v>0</v>
      </c>
      <c r="AJ37" s="1"/>
      <c r="AL37" s="7" t="s">
        <v>335</v>
      </c>
      <c r="AM37" s="2" t="s">
        <v>361</v>
      </c>
      <c r="AN37" s="2" t="s">
        <v>362</v>
      </c>
      <c r="AO37" s="2" t="s">
        <v>363</v>
      </c>
      <c r="AP37" s="2" t="s">
        <v>364</v>
      </c>
      <c r="AQ37" s="2" t="s">
        <v>365</v>
      </c>
      <c r="AR37" s="2" t="s">
        <v>366</v>
      </c>
      <c r="AS37" s="2" t="s">
        <v>367</v>
      </c>
      <c r="AT37" s="2" t="s">
        <v>368</v>
      </c>
      <c r="AU37" s="2" t="s">
        <v>369</v>
      </c>
      <c r="AV37" s="2" t="s">
        <v>370</v>
      </c>
      <c r="AW37" s="2" t="s">
        <v>371</v>
      </c>
      <c r="AX37" s="2" t="s">
        <v>372</v>
      </c>
    </row>
    <row r="38" spans="1:51" x14ac:dyDescent="0.25">
      <c r="A38">
        <v>259</v>
      </c>
      <c r="B38" t="s">
        <v>35</v>
      </c>
      <c r="C38">
        <v>3</v>
      </c>
      <c r="D38" t="s">
        <v>36</v>
      </c>
      <c r="E38">
        <v>1</v>
      </c>
      <c r="F38" t="s">
        <v>259</v>
      </c>
      <c r="G38">
        <v>1</v>
      </c>
      <c r="H38">
        <v>3</v>
      </c>
      <c r="I38">
        <v>1</v>
      </c>
      <c r="J38">
        <v>37</v>
      </c>
      <c r="K38">
        <v>39</v>
      </c>
      <c r="L38">
        <v>31</v>
      </c>
      <c r="M38">
        <v>1</v>
      </c>
      <c r="N38" t="s">
        <v>230</v>
      </c>
      <c r="O38" t="s">
        <v>113</v>
      </c>
      <c r="P38" t="s">
        <v>114</v>
      </c>
      <c r="Q38" t="s">
        <v>231</v>
      </c>
      <c r="R38" t="s">
        <v>114</v>
      </c>
      <c r="S38" t="s">
        <v>59</v>
      </c>
      <c r="T38" t="s">
        <v>162</v>
      </c>
      <c r="U38">
        <v>1</v>
      </c>
      <c r="V38" t="s">
        <v>56</v>
      </c>
      <c r="W38" t="s">
        <v>106</v>
      </c>
      <c r="X38" t="s">
        <v>141</v>
      </c>
      <c r="Y38">
        <v>2</v>
      </c>
      <c r="Z38">
        <v>3</v>
      </c>
      <c r="AA38">
        <v>48</v>
      </c>
      <c r="AB38">
        <v>3.0000000000000001E-3</v>
      </c>
      <c r="AC38" t="s">
        <v>141</v>
      </c>
      <c r="AD38">
        <v>4</v>
      </c>
      <c r="AE38">
        <v>2</v>
      </c>
      <c r="AF38">
        <v>0</v>
      </c>
      <c r="AG38">
        <v>1.92</v>
      </c>
      <c r="AH38">
        <v>0.56699999999999995</v>
      </c>
      <c r="AI38">
        <v>0</v>
      </c>
      <c r="AJ38" s="1"/>
      <c r="AL38" s="6" t="s">
        <v>342</v>
      </c>
      <c r="AM38" s="11">
        <f>COUNTIFS($E:$E,1,$I:$I,1,$O:$O,$AJ$4,$Y:$Y,2,$AF:$AF,1)/12</f>
        <v>0.33333333333333331</v>
      </c>
      <c r="AN38" s="11">
        <f>COUNTIFS($E:$E,1,$I:$I,2,$O:$O,$AJ$4,$Y:$Y,2,$AF:$AF,1)/12</f>
        <v>0.41666666666666669</v>
      </c>
      <c r="AO38" s="11">
        <f>COUNTIFS($E:$E,1,$I:$I,3,$O:$O,$AJ$4,$Y:$Y,2,$AF:$AF,1)/12</f>
        <v>0.33333333333333331</v>
      </c>
      <c r="AP38" s="11">
        <f>COUNTIFS($E:$E,2,$I:$I,1,$O:$O,$AJ$4,$Y:$Y,2,$AF:$AF,1)/12</f>
        <v>0.33333333333333331</v>
      </c>
      <c r="AQ38" s="11">
        <f>COUNTIFS($E:$E,2,$I:$I,2,$O:$O,$AJ$4,$Y:$Y,2,$AF:$AF,1)/12</f>
        <v>0.33333333333333331</v>
      </c>
      <c r="AR38" s="11">
        <f>COUNTIFS($E:$E,2,$I:$I,3,$O:$O,$AJ$4,$Y:$Y,2,$AF:$AF,1)/12</f>
        <v>0.5</v>
      </c>
      <c r="AS38" s="11">
        <f>COUNTIFS($E:$E,3,$I:$I,1,$O:$O,$AJ$4,$Y:$Y,2,$AF:$AF,1)/12</f>
        <v>0.5</v>
      </c>
      <c r="AT38" s="11">
        <f>COUNTIFS($E:$E,3,$I:$I,2,$O:$O,$AJ$4,$Y:$Y,2,$AF:$AF,1)/12</f>
        <v>0.58333333333333337</v>
      </c>
      <c r="AU38" s="11">
        <f>COUNTIFS($E:$E,3,$I:$I,3,$O:$O,$AJ$4,$Y:$Y,2,$AF:$AF,1)/12</f>
        <v>0.58333333333333337</v>
      </c>
      <c r="AV38" s="11">
        <f>COUNTIFS($E:$E,4,$I:$I,1,$O:$O,$AJ$4,$Y:$Y,2,$AF:$AF,1)/12</f>
        <v>0.66666666666666663</v>
      </c>
      <c r="AW38" s="11">
        <f>COUNTIFS($E:$E,4,$I:$I,2,$O:$O,$AJ$4,$Y:$Y,2,$AF:$AF,1)/12</f>
        <v>0.66666666666666663</v>
      </c>
      <c r="AX38" s="11">
        <f>COUNTIFS($E:$E,4,$I:$I,3,$O:$O,$AJ$4,$Y:$Y,2,$AF:$AF,1)/12</f>
        <v>0.66666666666666663</v>
      </c>
      <c r="AY38" s="12">
        <f>AVERAGE(AM38:AX38)</f>
        <v>0.49305555555555564</v>
      </c>
    </row>
    <row r="39" spans="1:51" x14ac:dyDescent="0.25">
      <c r="A39">
        <v>259</v>
      </c>
      <c r="B39" t="s">
        <v>35</v>
      </c>
      <c r="C39">
        <v>3</v>
      </c>
      <c r="D39" t="s">
        <v>36</v>
      </c>
      <c r="E39">
        <v>1</v>
      </c>
      <c r="F39" t="s">
        <v>259</v>
      </c>
      <c r="G39">
        <v>1</v>
      </c>
      <c r="H39">
        <v>3</v>
      </c>
      <c r="I39">
        <v>1</v>
      </c>
      <c r="J39">
        <v>38</v>
      </c>
      <c r="K39">
        <v>36</v>
      </c>
      <c r="L39">
        <v>68</v>
      </c>
      <c r="M39">
        <v>2</v>
      </c>
      <c r="N39" t="s">
        <v>135</v>
      </c>
      <c r="O39" t="s">
        <v>113</v>
      </c>
      <c r="P39" t="s">
        <v>114</v>
      </c>
      <c r="Q39" t="s">
        <v>136</v>
      </c>
      <c r="R39" t="s">
        <v>114</v>
      </c>
      <c r="S39" t="s">
        <v>52</v>
      </c>
      <c r="T39" t="s">
        <v>74</v>
      </c>
      <c r="U39">
        <v>5</v>
      </c>
      <c r="V39" t="s">
        <v>128</v>
      </c>
      <c r="W39" t="s">
        <v>85</v>
      </c>
      <c r="X39" t="s">
        <v>121</v>
      </c>
      <c r="Y39">
        <v>2</v>
      </c>
      <c r="Z39">
        <v>3</v>
      </c>
      <c r="AA39">
        <v>48</v>
      </c>
      <c r="AB39">
        <v>3.0000000000000001E-3</v>
      </c>
      <c r="AC39" t="s">
        <v>74</v>
      </c>
      <c r="AD39">
        <v>1</v>
      </c>
      <c r="AE39">
        <v>5</v>
      </c>
      <c r="AF39">
        <v>1</v>
      </c>
      <c r="AG39">
        <v>1.887</v>
      </c>
      <c r="AH39">
        <v>0.65</v>
      </c>
      <c r="AI39">
        <v>0</v>
      </c>
      <c r="AJ39" s="1"/>
      <c r="AL39" s="6" t="s">
        <v>343</v>
      </c>
      <c r="AM39" s="11">
        <f>COUNTIFS($E:$E,1,$I:$I,1,$O:$O,$AJ$4,$AD:$AD,3)/12</f>
        <v>0.16666666666666666</v>
      </c>
      <c r="AN39" s="11">
        <f>COUNTIFS($E:$E,1,$I:$I,2,$O:$O,$AJ$4,$AD:$AD,3)/12</f>
        <v>0.16666666666666666</v>
      </c>
      <c r="AO39" s="11">
        <f>COUNTIFS($E:$E,1,$I:$I,3,$O:$O,$AJ$4,$AD:$AD,3)/12</f>
        <v>0.16666666666666666</v>
      </c>
      <c r="AP39" s="11">
        <f>COUNTIFS($E:$E,2,$I:$I,1,$O:$O,$AJ$4,$AD:$AD,3)/12</f>
        <v>0.16666666666666666</v>
      </c>
      <c r="AQ39" s="11">
        <f>COUNTIFS($E:$E,2,$I:$I,2,$O:$O,$AJ$4,$AD:$AD,3)/12</f>
        <v>0.25</v>
      </c>
      <c r="AR39" s="11">
        <f>COUNTIFS($E:$E,2,$I:$I,3,$O:$O,$AJ$4,$AD:$AD,3)/12</f>
        <v>8.3333333333333329E-2</v>
      </c>
      <c r="AS39" s="11">
        <f>COUNTIFS($E:$E,3,$I:$I,1,$O:$O,$AJ$4,$AD:$AD,3)/12</f>
        <v>0.25</v>
      </c>
      <c r="AT39" s="11">
        <f>COUNTIFS($E:$E,3,$I:$I,2,$O:$O,$AJ$4,$AD:$AD,3)/12</f>
        <v>8.3333333333333329E-2</v>
      </c>
      <c r="AU39" s="11">
        <f>COUNTIFS($E:$E,3,$I:$I,3,$O:$O,$AJ$4,$AD:$AD,3)/12</f>
        <v>0.25</v>
      </c>
      <c r="AV39" s="11">
        <f>COUNTIFS($E:$E,4,$I:$I,1,$O:$O,$AJ$4,$AD:$AD,3)/12</f>
        <v>8.3333333333333329E-2</v>
      </c>
      <c r="AW39" s="11">
        <f>COUNTIFS($E:$E,4,$I:$I,2,$O:$O,$AJ$4,$AD:$AD,3)/12</f>
        <v>8.3333333333333329E-2</v>
      </c>
      <c r="AX39" s="11">
        <f>COUNTIFS($E:$E,4,$I:$I,3,$O:$O,$AJ$4,$AD:$AD,3)/12</f>
        <v>0</v>
      </c>
      <c r="AY39" s="12">
        <f t="shared" ref="AY39:AY40" si="9">AVERAGE(AM39:AX39)</f>
        <v>0.14583333333333331</v>
      </c>
    </row>
    <row r="40" spans="1:51" x14ac:dyDescent="0.25">
      <c r="A40">
        <v>259</v>
      </c>
      <c r="B40" t="s">
        <v>35</v>
      </c>
      <c r="C40">
        <v>3</v>
      </c>
      <c r="D40" t="s">
        <v>36</v>
      </c>
      <c r="E40">
        <v>1</v>
      </c>
      <c r="F40" t="s">
        <v>259</v>
      </c>
      <c r="G40">
        <v>1</v>
      </c>
      <c r="H40">
        <v>3</v>
      </c>
      <c r="I40">
        <v>1</v>
      </c>
      <c r="J40">
        <v>39</v>
      </c>
      <c r="K40">
        <v>25</v>
      </c>
      <c r="L40">
        <v>71</v>
      </c>
      <c r="M40">
        <v>2</v>
      </c>
      <c r="N40" t="s">
        <v>143</v>
      </c>
      <c r="O40" t="s">
        <v>113</v>
      </c>
      <c r="P40" t="s">
        <v>114</v>
      </c>
      <c r="Q40" t="s">
        <v>115</v>
      </c>
      <c r="R40" t="s">
        <v>114</v>
      </c>
      <c r="S40" t="s">
        <v>59</v>
      </c>
      <c r="T40" t="s">
        <v>46</v>
      </c>
      <c r="U40">
        <v>5</v>
      </c>
      <c r="V40" t="s">
        <v>87</v>
      </c>
      <c r="W40" t="s">
        <v>45</v>
      </c>
      <c r="X40" t="s">
        <v>110</v>
      </c>
      <c r="Y40">
        <v>2</v>
      </c>
      <c r="Z40">
        <v>3</v>
      </c>
      <c r="AA40">
        <v>48</v>
      </c>
      <c r="AB40">
        <v>4.0000000000000001E-3</v>
      </c>
      <c r="AC40" t="s">
        <v>45</v>
      </c>
      <c r="AD40">
        <v>4</v>
      </c>
      <c r="AE40">
        <v>1</v>
      </c>
      <c r="AF40">
        <v>0</v>
      </c>
      <c r="AG40">
        <v>2.2440000000000002</v>
      </c>
      <c r="AH40">
        <v>0.38300000000000001</v>
      </c>
      <c r="AI40">
        <v>0</v>
      </c>
      <c r="AJ40" s="1"/>
      <c r="AL40" s="6" t="s">
        <v>344</v>
      </c>
      <c r="AM40" s="11">
        <f t="shared" ref="AM40:AX40" si="10">SUM(AM38,AM39)</f>
        <v>0.5</v>
      </c>
      <c r="AN40" s="11">
        <f t="shared" si="10"/>
        <v>0.58333333333333337</v>
      </c>
      <c r="AO40" s="11">
        <f t="shared" si="10"/>
        <v>0.5</v>
      </c>
      <c r="AP40" s="11">
        <f t="shared" si="10"/>
        <v>0.5</v>
      </c>
      <c r="AQ40" s="11">
        <f t="shared" si="10"/>
        <v>0.58333333333333326</v>
      </c>
      <c r="AR40" s="11">
        <f t="shared" si="10"/>
        <v>0.58333333333333337</v>
      </c>
      <c r="AS40" s="11">
        <f t="shared" si="10"/>
        <v>0.75</v>
      </c>
      <c r="AT40" s="11">
        <f t="shared" si="10"/>
        <v>0.66666666666666674</v>
      </c>
      <c r="AU40" s="11">
        <f t="shared" si="10"/>
        <v>0.83333333333333337</v>
      </c>
      <c r="AV40" s="11">
        <f t="shared" si="10"/>
        <v>0.75</v>
      </c>
      <c r="AW40" s="11">
        <f t="shared" si="10"/>
        <v>0.75</v>
      </c>
      <c r="AX40" s="11">
        <f t="shared" si="10"/>
        <v>0.66666666666666663</v>
      </c>
      <c r="AY40" s="12">
        <f t="shared" si="9"/>
        <v>0.63888888888888895</v>
      </c>
    </row>
    <row r="41" spans="1:51" x14ac:dyDescent="0.25">
      <c r="A41">
        <v>259</v>
      </c>
      <c r="B41" t="s">
        <v>35</v>
      </c>
      <c r="C41">
        <v>3</v>
      </c>
      <c r="D41" t="s">
        <v>36</v>
      </c>
      <c r="E41">
        <v>1</v>
      </c>
      <c r="F41" t="s">
        <v>259</v>
      </c>
      <c r="G41">
        <v>1</v>
      </c>
      <c r="H41">
        <v>3</v>
      </c>
      <c r="I41">
        <v>1</v>
      </c>
      <c r="J41">
        <v>40</v>
      </c>
      <c r="K41">
        <v>41</v>
      </c>
      <c r="L41">
        <v>65</v>
      </c>
      <c r="M41">
        <v>2</v>
      </c>
      <c r="N41" t="s">
        <v>225</v>
      </c>
      <c r="O41" t="s">
        <v>113</v>
      </c>
      <c r="P41" t="s">
        <v>114</v>
      </c>
      <c r="Q41" t="s">
        <v>226</v>
      </c>
      <c r="R41" t="s">
        <v>114</v>
      </c>
      <c r="S41" t="s">
        <v>59</v>
      </c>
      <c r="T41" t="s">
        <v>87</v>
      </c>
      <c r="U41">
        <v>1</v>
      </c>
      <c r="V41" t="s">
        <v>209</v>
      </c>
      <c r="W41" t="s">
        <v>75</v>
      </c>
      <c r="X41" t="s">
        <v>172</v>
      </c>
      <c r="Y41">
        <v>1</v>
      </c>
      <c r="Z41">
        <v>3</v>
      </c>
      <c r="AA41">
        <v>48</v>
      </c>
      <c r="AB41">
        <v>2E-3</v>
      </c>
      <c r="AC41" t="s">
        <v>209</v>
      </c>
      <c r="AD41">
        <v>2</v>
      </c>
      <c r="AE41">
        <v>5</v>
      </c>
      <c r="AF41">
        <v>0</v>
      </c>
      <c r="AG41">
        <v>1.385</v>
      </c>
      <c r="AH41">
        <v>1.1659999999999999</v>
      </c>
      <c r="AI41">
        <v>0</v>
      </c>
      <c r="AJ41" s="1"/>
      <c r="AL41" s="6"/>
      <c r="AQ41" s="1"/>
      <c r="AR41" s="2"/>
      <c r="AS41" s="17"/>
      <c r="AT41" s="17"/>
      <c r="AU41" s="17"/>
      <c r="AV41" s="17"/>
      <c r="AW41" s="17"/>
      <c r="AX41" s="17"/>
    </row>
    <row r="42" spans="1:51" x14ac:dyDescent="0.25">
      <c r="A42">
        <v>259</v>
      </c>
      <c r="B42" t="s">
        <v>35</v>
      </c>
      <c r="C42">
        <v>3</v>
      </c>
      <c r="D42" t="s">
        <v>36</v>
      </c>
      <c r="E42">
        <v>1</v>
      </c>
      <c r="F42" t="s">
        <v>259</v>
      </c>
      <c r="G42">
        <v>1</v>
      </c>
      <c r="H42">
        <v>3</v>
      </c>
      <c r="I42">
        <v>1</v>
      </c>
      <c r="J42">
        <v>41</v>
      </c>
      <c r="K42">
        <v>32</v>
      </c>
      <c r="L42">
        <v>64</v>
      </c>
      <c r="M42">
        <v>2</v>
      </c>
      <c r="N42" t="s">
        <v>133</v>
      </c>
      <c r="O42" t="s">
        <v>113</v>
      </c>
      <c r="P42" t="s">
        <v>114</v>
      </c>
      <c r="Q42" t="s">
        <v>134</v>
      </c>
      <c r="R42" t="s">
        <v>114</v>
      </c>
      <c r="S42" t="s">
        <v>43</v>
      </c>
      <c r="T42" t="s">
        <v>100</v>
      </c>
      <c r="U42">
        <v>5</v>
      </c>
      <c r="V42" t="s">
        <v>95</v>
      </c>
      <c r="W42" t="s">
        <v>62</v>
      </c>
      <c r="X42" t="s">
        <v>93</v>
      </c>
      <c r="Y42">
        <v>1</v>
      </c>
      <c r="Z42">
        <v>3</v>
      </c>
      <c r="AA42">
        <v>48</v>
      </c>
      <c r="AB42">
        <v>3.0000000000000001E-3</v>
      </c>
      <c r="AC42" t="s">
        <v>100</v>
      </c>
      <c r="AD42">
        <v>1</v>
      </c>
      <c r="AE42">
        <v>5</v>
      </c>
      <c r="AF42">
        <v>1</v>
      </c>
      <c r="AG42">
        <v>2.669</v>
      </c>
      <c r="AH42">
        <v>0.55000000000000004</v>
      </c>
      <c r="AI42">
        <v>0</v>
      </c>
      <c r="AJ42" s="1"/>
      <c r="AL42" s="16" t="s">
        <v>336</v>
      </c>
      <c r="AM42" s="2" t="s">
        <v>361</v>
      </c>
      <c r="AN42" s="2" t="s">
        <v>362</v>
      </c>
      <c r="AO42" s="2" t="s">
        <v>363</v>
      </c>
      <c r="AP42" s="2" t="s">
        <v>364</v>
      </c>
      <c r="AQ42" s="2" t="s">
        <v>365</v>
      </c>
      <c r="AR42" s="2" t="s">
        <v>366</v>
      </c>
      <c r="AS42" s="2" t="s">
        <v>367</v>
      </c>
      <c r="AT42" s="2" t="s">
        <v>368</v>
      </c>
      <c r="AU42" s="2" t="s">
        <v>369</v>
      </c>
      <c r="AV42" s="2" t="s">
        <v>370</v>
      </c>
      <c r="AW42" s="2" t="s">
        <v>371</v>
      </c>
      <c r="AX42" s="2" t="s">
        <v>372</v>
      </c>
    </row>
    <row r="43" spans="1:51" x14ac:dyDescent="0.25">
      <c r="A43">
        <v>259</v>
      </c>
      <c r="B43" t="s">
        <v>35</v>
      </c>
      <c r="C43">
        <v>3</v>
      </c>
      <c r="D43" t="s">
        <v>36</v>
      </c>
      <c r="E43">
        <v>1</v>
      </c>
      <c r="F43" t="s">
        <v>259</v>
      </c>
      <c r="G43">
        <v>1</v>
      </c>
      <c r="H43">
        <v>3</v>
      </c>
      <c r="I43">
        <v>1</v>
      </c>
      <c r="J43">
        <v>42</v>
      </c>
      <c r="K43">
        <v>38</v>
      </c>
      <c r="L43">
        <v>36</v>
      </c>
      <c r="M43">
        <v>1</v>
      </c>
      <c r="N43" t="s">
        <v>227</v>
      </c>
      <c r="O43" t="s">
        <v>113</v>
      </c>
      <c r="P43" t="s">
        <v>114</v>
      </c>
      <c r="Q43" t="s">
        <v>220</v>
      </c>
      <c r="R43" t="s">
        <v>114</v>
      </c>
      <c r="S43" t="s">
        <v>43</v>
      </c>
      <c r="T43" t="s">
        <v>116</v>
      </c>
      <c r="U43">
        <v>4</v>
      </c>
      <c r="V43" t="s">
        <v>100</v>
      </c>
      <c r="W43" t="s">
        <v>155</v>
      </c>
      <c r="X43" t="s">
        <v>80</v>
      </c>
      <c r="Y43">
        <v>2</v>
      </c>
      <c r="Z43">
        <v>3</v>
      </c>
      <c r="AA43">
        <v>48</v>
      </c>
      <c r="AB43">
        <v>3.0000000000000001E-3</v>
      </c>
      <c r="AC43" t="s">
        <v>80</v>
      </c>
      <c r="AD43">
        <v>4</v>
      </c>
      <c r="AE43">
        <v>2</v>
      </c>
      <c r="AF43">
        <v>0</v>
      </c>
      <c r="AG43">
        <v>2.6680000000000001</v>
      </c>
      <c r="AH43">
        <v>0.6</v>
      </c>
      <c r="AI43">
        <v>0</v>
      </c>
      <c r="AJ43" s="1"/>
      <c r="AL43" s="6" t="s">
        <v>342</v>
      </c>
      <c r="AM43" s="11">
        <f>COUNTIFS($E:$E,1,$I:$I,1,$O:$O,$AJ$5,$Y:$Y,2,$AF:$AF,1)/12</f>
        <v>0.41666666666666669</v>
      </c>
      <c r="AN43" s="11">
        <f>COUNTIFS($E:$E,1,$I:$I,2,$O:$O,$AJ$5,$Y:$Y,2,$AF:$AF,1)/12</f>
        <v>0.25</v>
      </c>
      <c r="AO43" s="11">
        <f>COUNTIFS($E:$E,1,$I:$I,3,$O:$O,$AJ$5,$Y:$Y,2,$AF:$AF,1)/12</f>
        <v>0.16666666666666666</v>
      </c>
      <c r="AP43" s="11">
        <f>COUNTIFS($E:$E,2,$I:$I,1,$O:$O,$AJ$5,$Y:$Y,2,$AF:$AF,1)/12</f>
        <v>0.41666666666666669</v>
      </c>
      <c r="AQ43" s="11">
        <f>COUNTIFS($E:$E,2,$I:$I,2,$O:$O,$AJ$5,$Y:$Y,2,$AF:$AF,1)/12</f>
        <v>0.58333333333333337</v>
      </c>
      <c r="AR43" s="11">
        <f>COUNTIFS($E:$E,2,$I:$I,3,$O:$O,$AJ$5,$Y:$Y,2,$AF:$AF,1)/12</f>
        <v>0.5</v>
      </c>
      <c r="AS43" s="11">
        <f>COUNTIFS($E:$E,3,$I:$I,1,$O:$O,$AJ$5,$Y:$Y,2,$AF:$AF,1)/12</f>
        <v>0.33333333333333331</v>
      </c>
      <c r="AT43" s="11">
        <f>COUNTIFS($E:$E,3,$I:$I,2,$O:$O,$AJ$5,$Y:$Y,2,$AF:$AF,1)/12</f>
        <v>0.66666666666666663</v>
      </c>
      <c r="AU43" s="11">
        <f>COUNTIFS($E:$E,3,$I:$I,3,$O:$O,$AJ$5,$Y:$Y,2,$AF:$AF,1)/12</f>
        <v>0.83333333333333337</v>
      </c>
      <c r="AV43" s="11">
        <f>COUNTIFS($E:$E,4,$I:$I,1,$O:$O,$AJ$5,$Y:$Y,2,$AF:$AF,1)/12</f>
        <v>0.58333333333333337</v>
      </c>
      <c r="AW43" s="11">
        <f>COUNTIFS($E:$E,4,$I:$I,2,$O:$O,$AJ$5,$Y:$Y,2,$AF:$AF,1)/12</f>
        <v>0.66666666666666663</v>
      </c>
      <c r="AX43" s="11">
        <f>COUNTIFS($E:$E,4,$I:$I,3,$O:$O,$AJ$5,$Y:$Y,2,$AF:$AF,1)/12</f>
        <v>0.91666666666666663</v>
      </c>
      <c r="AY43" s="12">
        <f>AVERAGE(AM43:AX43)</f>
        <v>0.52777777777777779</v>
      </c>
    </row>
    <row r="44" spans="1:51" x14ac:dyDescent="0.25">
      <c r="A44">
        <v>259</v>
      </c>
      <c r="B44" t="s">
        <v>35</v>
      </c>
      <c r="C44">
        <v>3</v>
      </c>
      <c r="D44" t="s">
        <v>36</v>
      </c>
      <c r="E44">
        <v>1</v>
      </c>
      <c r="F44" t="s">
        <v>259</v>
      </c>
      <c r="G44">
        <v>1</v>
      </c>
      <c r="H44">
        <v>3</v>
      </c>
      <c r="I44">
        <v>1</v>
      </c>
      <c r="J44">
        <v>43</v>
      </c>
      <c r="K44">
        <v>30</v>
      </c>
      <c r="L44">
        <v>62</v>
      </c>
      <c r="M44">
        <v>2</v>
      </c>
      <c r="N44" t="s">
        <v>142</v>
      </c>
      <c r="O44" t="s">
        <v>113</v>
      </c>
      <c r="P44" t="s">
        <v>114</v>
      </c>
      <c r="Q44" t="s">
        <v>126</v>
      </c>
      <c r="R44" t="s">
        <v>114</v>
      </c>
      <c r="S44" t="s">
        <v>52</v>
      </c>
      <c r="T44" t="s">
        <v>128</v>
      </c>
      <c r="U44">
        <v>5</v>
      </c>
      <c r="V44" t="s">
        <v>127</v>
      </c>
      <c r="W44" t="s">
        <v>146</v>
      </c>
      <c r="X44" t="s">
        <v>67</v>
      </c>
      <c r="Y44">
        <v>1</v>
      </c>
      <c r="Z44">
        <v>3</v>
      </c>
      <c r="AA44">
        <v>48</v>
      </c>
      <c r="AB44">
        <v>4.0000000000000001E-3</v>
      </c>
      <c r="AC44" t="s">
        <v>146</v>
      </c>
      <c r="AD44">
        <v>4</v>
      </c>
      <c r="AE44">
        <v>4</v>
      </c>
      <c r="AF44">
        <v>0</v>
      </c>
      <c r="AG44">
        <v>2.0670000000000002</v>
      </c>
      <c r="AH44">
        <v>0.5</v>
      </c>
      <c r="AI44">
        <v>0</v>
      </c>
      <c r="AJ44" s="1"/>
      <c r="AL44" s="6" t="s">
        <v>343</v>
      </c>
      <c r="AM44" s="11">
        <f>COUNTIFS($E:$E,1,$I:$I,1,$O:$O,$AJ$5,$AD:$AD,3)/12</f>
        <v>0.16666666666666666</v>
      </c>
      <c r="AN44" s="11">
        <f>COUNTIFS($E:$E,1,$I:$I,2,$O:$O,$AJ$5,$AD:$AD,3)/12</f>
        <v>0.16666666666666666</v>
      </c>
      <c r="AO44" s="11">
        <f>COUNTIFS($E:$E,1,$I:$I,3,$O:$O,$AJ$5,$AD:$AD,3)/12</f>
        <v>0.25</v>
      </c>
      <c r="AP44" s="11">
        <f>COUNTIFS($E:$E,2,$I:$I,1,$O:$O,$AJ$5,$AD:$AD,3)/12</f>
        <v>0.16666666666666666</v>
      </c>
      <c r="AQ44" s="11">
        <f>COUNTIFS($E:$E,2,$I:$I,2,$O:$O,$AJ$5,$AD:$AD,3)/12</f>
        <v>0</v>
      </c>
      <c r="AR44" s="11">
        <f>COUNTIFS($E:$E,2,$I:$I,3,$O:$O,$AJ$5,$AD:$AD,3)/12</f>
        <v>0.25</v>
      </c>
      <c r="AS44" s="11">
        <f>COUNTIFS($E:$E,3,$I:$I,1,$O:$O,$AJ$5,$AD:$AD,3)/12</f>
        <v>8.3333333333333329E-2</v>
      </c>
      <c r="AT44" s="11">
        <f>COUNTIFS($E:$E,3,$I:$I,2,$O:$O,$AJ$5,$AD:$AD,3)/12</f>
        <v>0</v>
      </c>
      <c r="AU44" s="11">
        <f>COUNTIFS($E:$E,3,$I:$I,3,$O:$O,$AJ$5,$AD:$AD,3)/12</f>
        <v>0</v>
      </c>
      <c r="AV44" s="11">
        <f>COUNTIFS($E:$E,4,$I:$I,1,$O:$O,$AJ$5,$AD:$AD,3)/12</f>
        <v>0</v>
      </c>
      <c r="AW44" s="11">
        <f>COUNTIFS($E:$E,4,$I:$I,2,$O:$O,$AJ$5,$AD:$AD,3)/12</f>
        <v>8.3333333333333329E-2</v>
      </c>
      <c r="AX44" s="11">
        <f>COUNTIFS($E:$E,4,$I:$I,3,$O:$O,$AJ$5,$AD:$AD,3)/12</f>
        <v>0</v>
      </c>
      <c r="AY44" s="12">
        <f t="shared" ref="AY44:AY45" si="11">AVERAGE(AM44:AX44)</f>
        <v>9.722222222222221E-2</v>
      </c>
    </row>
    <row r="45" spans="1:51" x14ac:dyDescent="0.25">
      <c r="A45">
        <v>259</v>
      </c>
      <c r="B45" t="s">
        <v>35</v>
      </c>
      <c r="C45">
        <v>3</v>
      </c>
      <c r="D45" t="s">
        <v>36</v>
      </c>
      <c r="E45">
        <v>1</v>
      </c>
      <c r="F45" t="s">
        <v>259</v>
      </c>
      <c r="G45">
        <v>1</v>
      </c>
      <c r="H45">
        <v>3</v>
      </c>
      <c r="I45">
        <v>1</v>
      </c>
      <c r="J45">
        <v>44</v>
      </c>
      <c r="K45">
        <v>27</v>
      </c>
      <c r="L45">
        <v>25</v>
      </c>
      <c r="M45">
        <v>1</v>
      </c>
      <c r="N45" t="s">
        <v>122</v>
      </c>
      <c r="O45" t="s">
        <v>113</v>
      </c>
      <c r="P45" t="s">
        <v>114</v>
      </c>
      <c r="Q45" t="s">
        <v>123</v>
      </c>
      <c r="R45" t="s">
        <v>114</v>
      </c>
      <c r="S45" t="s">
        <v>59</v>
      </c>
      <c r="T45" t="s">
        <v>124</v>
      </c>
      <c r="U45">
        <v>2</v>
      </c>
      <c r="V45" t="s">
        <v>130</v>
      </c>
      <c r="W45" t="s">
        <v>166</v>
      </c>
      <c r="X45" t="s">
        <v>144</v>
      </c>
      <c r="Y45">
        <v>1</v>
      </c>
      <c r="Z45">
        <v>3</v>
      </c>
      <c r="AA45">
        <v>48</v>
      </c>
      <c r="AB45">
        <v>2E-3</v>
      </c>
      <c r="AC45" t="s">
        <v>166</v>
      </c>
      <c r="AD45">
        <v>4</v>
      </c>
      <c r="AE45">
        <v>5</v>
      </c>
      <c r="AF45">
        <v>0</v>
      </c>
      <c r="AG45">
        <v>2.137</v>
      </c>
      <c r="AH45">
        <v>0.48299999999999998</v>
      </c>
      <c r="AI45">
        <v>0</v>
      </c>
      <c r="AJ45" s="1"/>
      <c r="AL45" s="6" t="s">
        <v>344</v>
      </c>
      <c r="AM45" s="11">
        <f t="shared" ref="AM45:AX45" si="12">SUM(AM43,AM44)</f>
        <v>0.58333333333333337</v>
      </c>
      <c r="AN45" s="11">
        <f t="shared" si="12"/>
        <v>0.41666666666666663</v>
      </c>
      <c r="AO45" s="11">
        <f t="shared" si="12"/>
        <v>0.41666666666666663</v>
      </c>
      <c r="AP45" s="11">
        <f t="shared" si="12"/>
        <v>0.58333333333333337</v>
      </c>
      <c r="AQ45" s="11">
        <f t="shared" si="12"/>
        <v>0.58333333333333337</v>
      </c>
      <c r="AR45" s="11">
        <f t="shared" si="12"/>
        <v>0.75</v>
      </c>
      <c r="AS45" s="11">
        <f t="shared" si="12"/>
        <v>0.41666666666666663</v>
      </c>
      <c r="AT45" s="11">
        <f t="shared" si="12"/>
        <v>0.66666666666666663</v>
      </c>
      <c r="AU45" s="11">
        <f t="shared" si="12"/>
        <v>0.83333333333333337</v>
      </c>
      <c r="AV45" s="11">
        <f t="shared" si="12"/>
        <v>0.58333333333333337</v>
      </c>
      <c r="AW45" s="11">
        <f t="shared" si="12"/>
        <v>0.75</v>
      </c>
      <c r="AX45" s="11">
        <f t="shared" si="12"/>
        <v>0.91666666666666663</v>
      </c>
      <c r="AY45" s="12">
        <f t="shared" si="11"/>
        <v>0.625</v>
      </c>
    </row>
    <row r="46" spans="1:51" x14ac:dyDescent="0.25">
      <c r="A46">
        <v>259</v>
      </c>
      <c r="B46" t="s">
        <v>35</v>
      </c>
      <c r="C46">
        <v>3</v>
      </c>
      <c r="D46" t="s">
        <v>36</v>
      </c>
      <c r="E46">
        <v>1</v>
      </c>
      <c r="F46" t="s">
        <v>259</v>
      </c>
      <c r="G46">
        <v>1</v>
      </c>
      <c r="H46">
        <v>3</v>
      </c>
      <c r="I46">
        <v>1</v>
      </c>
      <c r="J46">
        <v>45</v>
      </c>
      <c r="K46">
        <v>33</v>
      </c>
      <c r="L46">
        <v>27</v>
      </c>
      <c r="M46">
        <v>1</v>
      </c>
      <c r="N46" t="s">
        <v>129</v>
      </c>
      <c r="O46" t="s">
        <v>113</v>
      </c>
      <c r="P46" t="s">
        <v>114</v>
      </c>
      <c r="Q46" t="s">
        <v>118</v>
      </c>
      <c r="R46" t="s">
        <v>114</v>
      </c>
      <c r="S46" t="s">
        <v>92</v>
      </c>
      <c r="T46" t="s">
        <v>120</v>
      </c>
      <c r="U46">
        <v>5</v>
      </c>
      <c r="V46" t="s">
        <v>119</v>
      </c>
      <c r="W46" t="s">
        <v>161</v>
      </c>
      <c r="X46" t="s">
        <v>156</v>
      </c>
      <c r="Y46">
        <v>1</v>
      </c>
      <c r="Z46">
        <v>3</v>
      </c>
      <c r="AA46">
        <v>48</v>
      </c>
      <c r="AB46">
        <v>3.0000000000000001E-3</v>
      </c>
      <c r="AC46" t="s">
        <v>156</v>
      </c>
      <c r="AD46">
        <v>4</v>
      </c>
      <c r="AE46">
        <v>2</v>
      </c>
      <c r="AF46">
        <v>0</v>
      </c>
      <c r="AG46">
        <v>2.0659999999999998</v>
      </c>
      <c r="AH46">
        <v>0.53300000000000003</v>
      </c>
      <c r="AI46">
        <v>0</v>
      </c>
      <c r="AJ46" s="1"/>
      <c r="AL46" s="6"/>
      <c r="AQ46" s="1"/>
      <c r="AR46" s="2"/>
      <c r="AS46" s="17"/>
      <c r="AT46" s="17"/>
      <c r="AU46" s="17"/>
      <c r="AV46" s="17"/>
      <c r="AW46" s="17"/>
      <c r="AX46" s="17"/>
    </row>
    <row r="47" spans="1:51" x14ac:dyDescent="0.25">
      <c r="A47">
        <v>259</v>
      </c>
      <c r="B47" t="s">
        <v>35</v>
      </c>
      <c r="C47">
        <v>3</v>
      </c>
      <c r="D47" t="s">
        <v>36</v>
      </c>
      <c r="E47">
        <v>1</v>
      </c>
      <c r="F47" t="s">
        <v>259</v>
      </c>
      <c r="G47">
        <v>1</v>
      </c>
      <c r="H47">
        <v>3</v>
      </c>
      <c r="I47">
        <v>1</v>
      </c>
      <c r="J47">
        <v>46</v>
      </c>
      <c r="K47">
        <v>42</v>
      </c>
      <c r="L47">
        <v>66</v>
      </c>
      <c r="M47">
        <v>2</v>
      </c>
      <c r="N47" t="s">
        <v>229</v>
      </c>
      <c r="O47" t="s">
        <v>113</v>
      </c>
      <c r="P47" t="s">
        <v>114</v>
      </c>
      <c r="Q47" t="s">
        <v>226</v>
      </c>
      <c r="R47" t="s">
        <v>114</v>
      </c>
      <c r="S47" t="s">
        <v>92</v>
      </c>
      <c r="T47" t="s">
        <v>209</v>
      </c>
      <c r="U47">
        <v>5</v>
      </c>
      <c r="V47" t="s">
        <v>120</v>
      </c>
      <c r="W47" t="s">
        <v>185</v>
      </c>
      <c r="X47" t="s">
        <v>103</v>
      </c>
      <c r="Y47">
        <v>2</v>
      </c>
      <c r="Z47">
        <v>3</v>
      </c>
      <c r="AA47">
        <v>48</v>
      </c>
      <c r="AB47">
        <v>2E-3</v>
      </c>
      <c r="AC47" t="s">
        <v>120</v>
      </c>
      <c r="AD47">
        <v>3</v>
      </c>
      <c r="AE47">
        <v>4</v>
      </c>
      <c r="AF47">
        <v>0</v>
      </c>
      <c r="AG47">
        <v>1.998</v>
      </c>
      <c r="AH47">
        <v>0.41699999999999998</v>
      </c>
      <c r="AI47">
        <v>0</v>
      </c>
      <c r="AJ47" s="1"/>
      <c r="AL47" s="7" t="s">
        <v>337</v>
      </c>
      <c r="AM47" s="2" t="s">
        <v>361</v>
      </c>
      <c r="AN47" s="2" t="s">
        <v>362</v>
      </c>
      <c r="AO47" s="2" t="s">
        <v>363</v>
      </c>
      <c r="AP47" s="2" t="s">
        <v>364</v>
      </c>
      <c r="AQ47" s="2" t="s">
        <v>365</v>
      </c>
      <c r="AR47" s="2" t="s">
        <v>366</v>
      </c>
      <c r="AS47" s="2" t="s">
        <v>367</v>
      </c>
      <c r="AT47" s="2" t="s">
        <v>368</v>
      </c>
      <c r="AU47" s="2" t="s">
        <v>369</v>
      </c>
      <c r="AV47" s="2" t="s">
        <v>370</v>
      </c>
      <c r="AW47" s="2" t="s">
        <v>371</v>
      </c>
      <c r="AX47" s="2" t="s">
        <v>372</v>
      </c>
    </row>
    <row r="48" spans="1:51" x14ac:dyDescent="0.25">
      <c r="A48">
        <v>259</v>
      </c>
      <c r="B48" t="s">
        <v>35</v>
      </c>
      <c r="C48">
        <v>3</v>
      </c>
      <c r="D48" t="s">
        <v>36</v>
      </c>
      <c r="E48">
        <v>1</v>
      </c>
      <c r="F48" t="s">
        <v>259</v>
      </c>
      <c r="G48">
        <v>1</v>
      </c>
      <c r="H48">
        <v>3</v>
      </c>
      <c r="I48">
        <v>1</v>
      </c>
      <c r="J48">
        <v>47</v>
      </c>
      <c r="K48">
        <v>31</v>
      </c>
      <c r="L48">
        <v>63</v>
      </c>
      <c r="M48">
        <v>2</v>
      </c>
      <c r="N48" t="s">
        <v>140</v>
      </c>
      <c r="O48" t="s">
        <v>113</v>
      </c>
      <c r="P48" t="s">
        <v>114</v>
      </c>
      <c r="Q48" t="s">
        <v>134</v>
      </c>
      <c r="R48" t="s">
        <v>114</v>
      </c>
      <c r="S48" t="s">
        <v>59</v>
      </c>
      <c r="T48" t="s">
        <v>95</v>
      </c>
      <c r="U48">
        <v>5</v>
      </c>
      <c r="V48" t="s">
        <v>124</v>
      </c>
      <c r="W48" t="s">
        <v>82</v>
      </c>
      <c r="X48" t="s">
        <v>149</v>
      </c>
      <c r="Y48">
        <v>2</v>
      </c>
      <c r="Z48">
        <v>3</v>
      </c>
      <c r="AA48">
        <v>48</v>
      </c>
      <c r="AB48">
        <v>3.0000000000000001E-3</v>
      </c>
      <c r="AC48" t="s">
        <v>149</v>
      </c>
      <c r="AD48">
        <v>4</v>
      </c>
      <c r="AE48">
        <v>4</v>
      </c>
      <c r="AF48">
        <v>0</v>
      </c>
      <c r="AG48">
        <v>0.93600000000000005</v>
      </c>
      <c r="AH48">
        <v>0.3</v>
      </c>
      <c r="AI48">
        <v>0</v>
      </c>
      <c r="AJ48" s="1"/>
      <c r="AL48" s="6" t="s">
        <v>342</v>
      </c>
      <c r="AM48" s="11">
        <f>COUNTIFS($E:$E,1,$I:$I,1,$O:$O,$AJ$6,$Y:$Y,2,$AF:$AF,1)/12</f>
        <v>0.33333333333333331</v>
      </c>
      <c r="AN48" s="11">
        <f>COUNTIFS($E:$E,1,$I:$I,2,$O:$O,$AJ$6,$Y:$Y,2,$AF:$AF,1)/12</f>
        <v>0.16666666666666666</v>
      </c>
      <c r="AO48" s="11">
        <f>COUNTIFS($E:$E,1,$I:$I,3,$O:$O,$AJ$6,$Y:$Y,2,$AF:$AF,1)/12</f>
        <v>0.5</v>
      </c>
      <c r="AP48" s="11">
        <f>COUNTIFS($E:$E,2,$I:$I,1,$O:$O,$AJ$6,$Y:$Y,2,$AF:$AF,1)/12</f>
        <v>8.3333333333333329E-2</v>
      </c>
      <c r="AQ48" s="11">
        <f>COUNTIFS($E:$E,2,$I:$I,2,$O:$O,$AJ$6,$Y:$Y,2,$AF:$AF,1)/12</f>
        <v>0.5</v>
      </c>
      <c r="AR48" s="11">
        <f>COUNTIFS($E:$E,2,$I:$I,3,$O:$O,$AJ$6,$Y:$Y,2,$AF:$AF,1)/12</f>
        <v>0.41666666666666669</v>
      </c>
      <c r="AS48" s="11">
        <f>COUNTIFS($E:$E,3,$I:$I,1,$O:$O,$AJ$6,$Y:$Y,2,$AF:$AF,1)/12</f>
        <v>0.5</v>
      </c>
      <c r="AT48" s="11">
        <f>COUNTIFS($E:$E,3,$I:$I,2,$O:$O,$AJ$6,$Y:$Y,2,$AF:$AF,1)/12</f>
        <v>0.58333333333333337</v>
      </c>
      <c r="AU48" s="11">
        <f>COUNTIFS($E:$E,3,$I:$I,3,$O:$O,$AJ$6,$Y:$Y,2,$AF:$AF,1)/12</f>
        <v>0.58333333333333337</v>
      </c>
      <c r="AV48" s="11">
        <f>COUNTIFS($E:$E,4,$I:$I,1,$O:$O,$AJ$6,$Y:$Y,2,$AF:$AF,1)/12</f>
        <v>0.58333333333333337</v>
      </c>
      <c r="AW48" s="11">
        <f>COUNTIFS($E:$E,4,$I:$I,2,$O:$O,$AJ$6,$Y:$Y,2,$AF:$AF,1)/12</f>
        <v>0.33333333333333331</v>
      </c>
      <c r="AX48" s="11">
        <f>COUNTIFS($E:$E,4,$I:$I,3,$O:$O,$AJ$6,$Y:$Y,2,$AF:$AF,1)/12</f>
        <v>0.5</v>
      </c>
      <c r="AY48" s="12">
        <f>AVERAGE(AM48:AX48)</f>
        <v>0.4236111111111111</v>
      </c>
    </row>
    <row r="49" spans="1:51" x14ac:dyDescent="0.25">
      <c r="A49">
        <v>259</v>
      </c>
      <c r="B49" t="s">
        <v>35</v>
      </c>
      <c r="C49">
        <v>3</v>
      </c>
      <c r="D49" t="s">
        <v>36</v>
      </c>
      <c r="E49">
        <v>1</v>
      </c>
      <c r="F49" t="s">
        <v>259</v>
      </c>
      <c r="G49">
        <v>1</v>
      </c>
      <c r="H49">
        <v>3</v>
      </c>
      <c r="I49">
        <v>1</v>
      </c>
      <c r="J49">
        <v>48</v>
      </c>
      <c r="K49">
        <v>28</v>
      </c>
      <c r="L49">
        <v>26</v>
      </c>
      <c r="M49">
        <v>1</v>
      </c>
      <c r="N49" t="s">
        <v>148</v>
      </c>
      <c r="O49" t="s">
        <v>113</v>
      </c>
      <c r="P49" t="s">
        <v>114</v>
      </c>
      <c r="Q49" t="s">
        <v>123</v>
      </c>
      <c r="R49" t="s">
        <v>114</v>
      </c>
      <c r="S49" t="s">
        <v>92</v>
      </c>
      <c r="T49" t="s">
        <v>130</v>
      </c>
      <c r="U49">
        <v>1</v>
      </c>
      <c r="V49" t="s">
        <v>137</v>
      </c>
      <c r="W49" t="s">
        <v>60</v>
      </c>
      <c r="X49" t="s">
        <v>132</v>
      </c>
      <c r="Y49">
        <v>2</v>
      </c>
      <c r="Z49">
        <v>3</v>
      </c>
      <c r="AA49">
        <v>48</v>
      </c>
      <c r="AB49">
        <v>3.0000000000000001E-3</v>
      </c>
      <c r="AC49" t="s">
        <v>60</v>
      </c>
      <c r="AD49">
        <v>4</v>
      </c>
      <c r="AE49">
        <v>5</v>
      </c>
      <c r="AF49">
        <v>0</v>
      </c>
      <c r="AG49">
        <v>0.60099999999999998</v>
      </c>
      <c r="AH49">
        <v>0.33300000000000002</v>
      </c>
      <c r="AI49">
        <v>0</v>
      </c>
      <c r="AJ49" s="1"/>
      <c r="AL49" s="6" t="s">
        <v>343</v>
      </c>
      <c r="AM49" s="11">
        <f>COUNTIFS($E:$E,1,$I:$I,1,$O:$O,$AJ$6,$AD:$AD,3)/12</f>
        <v>8.3333333333333329E-2</v>
      </c>
      <c r="AN49" s="11">
        <f>COUNTIFS($E:$E,1,$I:$I,2,$O:$O,$AJ$6,$AD:$AD,3)/12</f>
        <v>0.33333333333333331</v>
      </c>
      <c r="AO49" s="11">
        <f>COUNTIFS($E:$E,1,$I:$I,3,$O:$O,$AJ$6,$AD:$AD,3)/12</f>
        <v>8.3333333333333329E-2</v>
      </c>
      <c r="AP49" s="11">
        <f>COUNTIFS($E:$E,2,$I:$I,1,$O:$O,$AJ$6,$AD:$AD,3)/12</f>
        <v>0.16666666666666666</v>
      </c>
      <c r="AQ49" s="11">
        <f>COUNTIFS($E:$E,2,$I:$I,2,$O:$O,$AJ$6,$AD:$AD,3)/12</f>
        <v>0</v>
      </c>
      <c r="AR49" s="11">
        <f>COUNTIFS($E:$E,2,$I:$I,3,$O:$O,$AJ$6,$AD:$AD,3)/12</f>
        <v>0.16666666666666666</v>
      </c>
      <c r="AS49" s="11">
        <f>COUNTIFS($E:$E,3,$I:$I,1,$O:$O,$AJ$6,$AD:$AD,3)/12</f>
        <v>0</v>
      </c>
      <c r="AT49" s="11">
        <f>COUNTIFS($E:$E,3,$I:$I,2,$O:$O,$AJ$6,$AD:$AD,3)/12</f>
        <v>0.16666666666666666</v>
      </c>
      <c r="AU49" s="11">
        <f>COUNTIFS($E:$E,3,$I:$I,3,$O:$O,$AJ$6,$AD:$AD,3)/12</f>
        <v>8.3333333333333329E-2</v>
      </c>
      <c r="AV49" s="11">
        <f>COUNTIFS($E:$E,4,$I:$I,1,$O:$O,$AJ$6,$AD:$AD,3)/12</f>
        <v>0.16666666666666666</v>
      </c>
      <c r="AW49" s="11">
        <f>COUNTIFS($E:$E,4,$I:$I,2,$O:$O,$AJ$6,$AD:$AD,3)/12</f>
        <v>0.16666666666666666</v>
      </c>
      <c r="AX49" s="11">
        <f>COUNTIFS($E:$E,4,$I:$I,3,$O:$O,$AJ$6,$AD:$AD,3)/12</f>
        <v>0.16666666666666666</v>
      </c>
      <c r="AY49" s="12">
        <f t="shared" ref="AY49:AY50" si="13">AVERAGE(AM49:AX49)</f>
        <v>0.13194444444444445</v>
      </c>
    </row>
    <row r="50" spans="1:51" x14ac:dyDescent="0.25">
      <c r="A50">
        <v>259</v>
      </c>
      <c r="B50" t="s">
        <v>35</v>
      </c>
      <c r="C50">
        <v>3</v>
      </c>
      <c r="D50" t="s">
        <v>36</v>
      </c>
      <c r="E50">
        <v>1</v>
      </c>
      <c r="F50" t="s">
        <v>259</v>
      </c>
      <c r="G50">
        <v>1</v>
      </c>
      <c r="H50">
        <v>3</v>
      </c>
      <c r="I50">
        <v>1</v>
      </c>
      <c r="J50">
        <v>49</v>
      </c>
      <c r="K50">
        <v>63</v>
      </c>
      <c r="L50">
        <v>19</v>
      </c>
      <c r="M50">
        <v>1</v>
      </c>
      <c r="N50" t="s">
        <v>253</v>
      </c>
      <c r="O50" t="s">
        <v>151</v>
      </c>
      <c r="P50" t="s">
        <v>239</v>
      </c>
      <c r="Q50" t="s">
        <v>240</v>
      </c>
      <c r="R50" t="s">
        <v>170</v>
      </c>
      <c r="S50" t="s">
        <v>59</v>
      </c>
      <c r="T50" t="s">
        <v>211</v>
      </c>
      <c r="U50">
        <v>4</v>
      </c>
      <c r="V50" t="s">
        <v>96</v>
      </c>
      <c r="W50" t="s">
        <v>137</v>
      </c>
      <c r="X50" t="s">
        <v>53</v>
      </c>
      <c r="Y50">
        <v>2</v>
      </c>
      <c r="Z50">
        <v>3</v>
      </c>
      <c r="AA50">
        <v>48</v>
      </c>
      <c r="AB50">
        <v>3.0000000000000001E-3</v>
      </c>
      <c r="AC50" t="s">
        <v>53</v>
      </c>
      <c r="AD50">
        <v>4</v>
      </c>
      <c r="AE50">
        <v>2</v>
      </c>
      <c r="AF50">
        <v>0</v>
      </c>
      <c r="AG50">
        <v>0.95</v>
      </c>
      <c r="AH50">
        <v>0.76700000000000002</v>
      </c>
      <c r="AI50">
        <v>0</v>
      </c>
      <c r="AJ50" s="1"/>
      <c r="AL50" s="6" t="s">
        <v>344</v>
      </c>
      <c r="AM50" s="11">
        <f t="shared" ref="AM50:AX50" si="14">SUM(AM48,AM49)</f>
        <v>0.41666666666666663</v>
      </c>
      <c r="AN50" s="11">
        <f t="shared" si="14"/>
        <v>0.5</v>
      </c>
      <c r="AO50" s="11">
        <f t="shared" si="14"/>
        <v>0.58333333333333337</v>
      </c>
      <c r="AP50" s="11">
        <f t="shared" si="14"/>
        <v>0.25</v>
      </c>
      <c r="AQ50" s="11">
        <f t="shared" si="14"/>
        <v>0.5</v>
      </c>
      <c r="AR50" s="11">
        <f t="shared" si="14"/>
        <v>0.58333333333333337</v>
      </c>
      <c r="AS50" s="11">
        <f t="shared" si="14"/>
        <v>0.5</v>
      </c>
      <c r="AT50" s="11">
        <f t="shared" si="14"/>
        <v>0.75</v>
      </c>
      <c r="AU50" s="11">
        <f t="shared" si="14"/>
        <v>0.66666666666666674</v>
      </c>
      <c r="AV50" s="11">
        <f t="shared" si="14"/>
        <v>0.75</v>
      </c>
      <c r="AW50" s="11">
        <f t="shared" si="14"/>
        <v>0.5</v>
      </c>
      <c r="AX50" s="11">
        <f t="shared" si="14"/>
        <v>0.66666666666666663</v>
      </c>
      <c r="AY50" s="12">
        <f t="shared" si="13"/>
        <v>0.55555555555555569</v>
      </c>
    </row>
    <row r="51" spans="1:51" x14ac:dyDescent="0.25">
      <c r="A51">
        <v>259</v>
      </c>
      <c r="B51" t="s">
        <v>35</v>
      </c>
      <c r="C51">
        <v>3</v>
      </c>
      <c r="D51" t="s">
        <v>36</v>
      </c>
      <c r="E51">
        <v>1</v>
      </c>
      <c r="F51" t="s">
        <v>259</v>
      </c>
      <c r="G51">
        <v>1</v>
      </c>
      <c r="H51">
        <v>3</v>
      </c>
      <c r="I51">
        <v>1</v>
      </c>
      <c r="J51">
        <v>50</v>
      </c>
      <c r="K51">
        <v>57</v>
      </c>
      <c r="L51">
        <v>15</v>
      </c>
      <c r="M51">
        <v>1</v>
      </c>
      <c r="N51" t="s">
        <v>150</v>
      </c>
      <c r="O51" t="s">
        <v>151</v>
      </c>
      <c r="P51" t="s">
        <v>152</v>
      </c>
      <c r="Q51" t="s">
        <v>153</v>
      </c>
      <c r="R51" t="s">
        <v>154</v>
      </c>
      <c r="S51" t="s">
        <v>92</v>
      </c>
      <c r="T51" t="s">
        <v>155</v>
      </c>
      <c r="U51">
        <v>1</v>
      </c>
      <c r="V51" t="s">
        <v>99</v>
      </c>
      <c r="W51" t="s">
        <v>104</v>
      </c>
      <c r="X51" t="s">
        <v>60</v>
      </c>
      <c r="Y51">
        <v>1</v>
      </c>
      <c r="Z51">
        <v>3</v>
      </c>
      <c r="AA51">
        <v>48</v>
      </c>
      <c r="AB51">
        <v>3.0000000000000001E-3</v>
      </c>
      <c r="AC51" t="s">
        <v>155</v>
      </c>
      <c r="AD51">
        <v>1</v>
      </c>
      <c r="AE51">
        <v>1</v>
      </c>
      <c r="AF51">
        <v>1</v>
      </c>
      <c r="AG51">
        <v>1.911</v>
      </c>
      <c r="AH51">
        <v>0.433</v>
      </c>
      <c r="AI51">
        <v>0</v>
      </c>
    </row>
    <row r="52" spans="1:51" x14ac:dyDescent="0.25">
      <c r="A52">
        <v>259</v>
      </c>
      <c r="B52" t="s">
        <v>35</v>
      </c>
      <c r="C52">
        <v>3</v>
      </c>
      <c r="D52" t="s">
        <v>36</v>
      </c>
      <c r="E52">
        <v>1</v>
      </c>
      <c r="F52" t="s">
        <v>259</v>
      </c>
      <c r="G52">
        <v>1</v>
      </c>
      <c r="H52">
        <v>3</v>
      </c>
      <c r="I52">
        <v>1</v>
      </c>
      <c r="J52">
        <v>51</v>
      </c>
      <c r="K52">
        <v>71</v>
      </c>
      <c r="L52">
        <v>21</v>
      </c>
      <c r="M52">
        <v>1</v>
      </c>
      <c r="N52" t="s">
        <v>252</v>
      </c>
      <c r="O52" t="s">
        <v>151</v>
      </c>
      <c r="P52" t="s">
        <v>242</v>
      </c>
      <c r="Q52" t="s">
        <v>243</v>
      </c>
      <c r="R52" t="s">
        <v>170</v>
      </c>
      <c r="S52" t="s">
        <v>59</v>
      </c>
      <c r="T52" t="s">
        <v>146</v>
      </c>
      <c r="U52">
        <v>5</v>
      </c>
      <c r="V52" t="s">
        <v>132</v>
      </c>
      <c r="W52" t="s">
        <v>80</v>
      </c>
      <c r="X52" t="s">
        <v>209</v>
      </c>
      <c r="Y52">
        <v>1</v>
      </c>
      <c r="Z52">
        <v>3</v>
      </c>
      <c r="AA52">
        <v>48</v>
      </c>
      <c r="AB52">
        <v>4.0000000000000001E-3</v>
      </c>
      <c r="AC52" t="s">
        <v>146</v>
      </c>
      <c r="AD52">
        <v>1</v>
      </c>
      <c r="AE52">
        <v>5</v>
      </c>
      <c r="AF52">
        <v>1</v>
      </c>
      <c r="AG52">
        <v>1.357</v>
      </c>
      <c r="AH52">
        <v>0.36599999999999999</v>
      </c>
      <c r="AI52">
        <v>0</v>
      </c>
    </row>
    <row r="53" spans="1:51" x14ac:dyDescent="0.25">
      <c r="A53">
        <v>259</v>
      </c>
      <c r="B53" t="s">
        <v>35</v>
      </c>
      <c r="C53">
        <v>3</v>
      </c>
      <c r="D53" t="s">
        <v>36</v>
      </c>
      <c r="E53">
        <v>1</v>
      </c>
      <c r="F53" t="s">
        <v>259</v>
      </c>
      <c r="G53">
        <v>1</v>
      </c>
      <c r="H53">
        <v>3</v>
      </c>
      <c r="I53">
        <v>1</v>
      </c>
      <c r="J53">
        <v>52</v>
      </c>
      <c r="K53">
        <v>55</v>
      </c>
      <c r="L53">
        <v>51</v>
      </c>
      <c r="M53">
        <v>2</v>
      </c>
      <c r="N53" t="s">
        <v>176</v>
      </c>
      <c r="O53" t="s">
        <v>151</v>
      </c>
      <c r="P53" t="s">
        <v>177</v>
      </c>
      <c r="Q53" t="s">
        <v>178</v>
      </c>
      <c r="R53" t="s">
        <v>170</v>
      </c>
      <c r="S53" t="s">
        <v>59</v>
      </c>
      <c r="T53" t="s">
        <v>139</v>
      </c>
      <c r="U53">
        <v>4</v>
      </c>
      <c r="V53" t="s">
        <v>204</v>
      </c>
      <c r="W53" t="s">
        <v>69</v>
      </c>
      <c r="X53" t="s">
        <v>102</v>
      </c>
      <c r="Y53">
        <v>2</v>
      </c>
      <c r="Z53">
        <v>3</v>
      </c>
      <c r="AA53">
        <v>48</v>
      </c>
      <c r="AB53">
        <v>2E-3</v>
      </c>
      <c r="AC53" t="s">
        <v>139</v>
      </c>
      <c r="AD53">
        <v>1</v>
      </c>
      <c r="AE53">
        <v>4</v>
      </c>
      <c r="AF53">
        <v>1</v>
      </c>
      <c r="AG53">
        <v>3.2949999999999999</v>
      </c>
      <c r="AH53">
        <v>0.28299999999999997</v>
      </c>
      <c r="AI53">
        <v>0</v>
      </c>
    </row>
    <row r="54" spans="1:51" x14ac:dyDescent="0.25">
      <c r="A54">
        <v>259</v>
      </c>
      <c r="B54" t="s">
        <v>35</v>
      </c>
      <c r="C54">
        <v>3</v>
      </c>
      <c r="D54" t="s">
        <v>36</v>
      </c>
      <c r="E54">
        <v>1</v>
      </c>
      <c r="F54" t="s">
        <v>259</v>
      </c>
      <c r="G54">
        <v>1</v>
      </c>
      <c r="H54">
        <v>3</v>
      </c>
      <c r="I54">
        <v>1</v>
      </c>
      <c r="J54">
        <v>53</v>
      </c>
      <c r="K54">
        <v>67</v>
      </c>
      <c r="L54">
        <v>17</v>
      </c>
      <c r="M54">
        <v>1</v>
      </c>
      <c r="N54" t="s">
        <v>254</v>
      </c>
      <c r="O54" t="s">
        <v>151</v>
      </c>
      <c r="P54" t="s">
        <v>255</v>
      </c>
      <c r="Q54" t="s">
        <v>256</v>
      </c>
      <c r="R54" t="s">
        <v>174</v>
      </c>
      <c r="S54" t="s">
        <v>52</v>
      </c>
      <c r="T54" t="s">
        <v>47</v>
      </c>
      <c r="U54">
        <v>4</v>
      </c>
      <c r="V54" t="s">
        <v>110</v>
      </c>
      <c r="W54" t="s">
        <v>87</v>
      </c>
      <c r="X54" t="s">
        <v>98</v>
      </c>
      <c r="Y54">
        <v>1</v>
      </c>
      <c r="Z54">
        <v>3</v>
      </c>
      <c r="AA54">
        <v>48</v>
      </c>
      <c r="AB54">
        <v>3.0000000000000001E-3</v>
      </c>
      <c r="AC54" t="s">
        <v>110</v>
      </c>
      <c r="AD54">
        <v>2</v>
      </c>
      <c r="AE54">
        <v>1</v>
      </c>
      <c r="AF54">
        <v>0</v>
      </c>
      <c r="AG54">
        <v>1.986</v>
      </c>
      <c r="AH54">
        <v>0.95</v>
      </c>
      <c r="AI54">
        <v>0</v>
      </c>
    </row>
    <row r="55" spans="1:51" x14ac:dyDescent="0.25">
      <c r="A55">
        <v>259</v>
      </c>
      <c r="B55" t="s">
        <v>35</v>
      </c>
      <c r="C55">
        <v>3</v>
      </c>
      <c r="D55" t="s">
        <v>36</v>
      </c>
      <c r="E55">
        <v>1</v>
      </c>
      <c r="F55" t="s">
        <v>259</v>
      </c>
      <c r="G55">
        <v>1</v>
      </c>
      <c r="H55">
        <v>3</v>
      </c>
      <c r="I55">
        <v>1</v>
      </c>
      <c r="J55">
        <v>54</v>
      </c>
      <c r="K55">
        <v>59</v>
      </c>
      <c r="L55">
        <v>55</v>
      </c>
      <c r="M55">
        <v>2</v>
      </c>
      <c r="N55" t="s">
        <v>163</v>
      </c>
      <c r="O55" t="s">
        <v>151</v>
      </c>
      <c r="P55" t="s">
        <v>164</v>
      </c>
      <c r="Q55" t="s">
        <v>165</v>
      </c>
      <c r="R55" t="s">
        <v>154</v>
      </c>
      <c r="S55" t="s">
        <v>92</v>
      </c>
      <c r="T55" t="s">
        <v>86</v>
      </c>
      <c r="U55">
        <v>1</v>
      </c>
      <c r="V55" t="s">
        <v>155</v>
      </c>
      <c r="W55" t="s">
        <v>56</v>
      </c>
      <c r="X55" t="s">
        <v>45</v>
      </c>
      <c r="Y55">
        <v>2</v>
      </c>
      <c r="Z55">
        <v>3</v>
      </c>
      <c r="AA55">
        <v>48</v>
      </c>
      <c r="AB55">
        <v>3.0000000000000001E-3</v>
      </c>
      <c r="AC55" t="s">
        <v>86</v>
      </c>
      <c r="AD55">
        <v>1</v>
      </c>
      <c r="AE55">
        <v>1</v>
      </c>
      <c r="AF55">
        <v>1</v>
      </c>
      <c r="AG55">
        <v>2.2330000000000001</v>
      </c>
      <c r="AH55">
        <v>0.73299999999999998</v>
      </c>
      <c r="AI55">
        <v>0</v>
      </c>
    </row>
    <row r="56" spans="1:51" x14ac:dyDescent="0.25">
      <c r="A56">
        <v>259</v>
      </c>
      <c r="B56" t="s">
        <v>35</v>
      </c>
      <c r="C56">
        <v>3</v>
      </c>
      <c r="D56" t="s">
        <v>36</v>
      </c>
      <c r="E56">
        <v>1</v>
      </c>
      <c r="F56" t="s">
        <v>259</v>
      </c>
      <c r="G56">
        <v>1</v>
      </c>
      <c r="H56">
        <v>3</v>
      </c>
      <c r="I56">
        <v>1</v>
      </c>
      <c r="J56">
        <v>55</v>
      </c>
      <c r="K56">
        <v>51</v>
      </c>
      <c r="L56">
        <v>13</v>
      </c>
      <c r="M56">
        <v>1</v>
      </c>
      <c r="N56" t="s">
        <v>167</v>
      </c>
      <c r="O56" t="s">
        <v>151</v>
      </c>
      <c r="P56" t="s">
        <v>168</v>
      </c>
      <c r="Q56" t="s">
        <v>169</v>
      </c>
      <c r="R56" t="s">
        <v>170</v>
      </c>
      <c r="S56" t="s">
        <v>59</v>
      </c>
      <c r="T56" t="s">
        <v>96</v>
      </c>
      <c r="U56">
        <v>4</v>
      </c>
      <c r="V56" t="s">
        <v>141</v>
      </c>
      <c r="W56" t="s">
        <v>44</v>
      </c>
      <c r="X56" t="s">
        <v>81</v>
      </c>
      <c r="Y56">
        <v>1</v>
      </c>
      <c r="Z56">
        <v>3</v>
      </c>
      <c r="AA56">
        <v>48</v>
      </c>
      <c r="AB56">
        <v>4.0000000000000001E-3</v>
      </c>
      <c r="AC56" t="s">
        <v>44</v>
      </c>
      <c r="AD56">
        <v>4</v>
      </c>
      <c r="AE56">
        <v>5</v>
      </c>
      <c r="AF56">
        <v>0</v>
      </c>
      <c r="AG56">
        <v>1.3029999999999999</v>
      </c>
      <c r="AH56">
        <v>0.53300000000000003</v>
      </c>
      <c r="AI56">
        <v>0</v>
      </c>
    </row>
    <row r="57" spans="1:51" x14ac:dyDescent="0.25">
      <c r="A57">
        <v>259</v>
      </c>
      <c r="B57" t="s">
        <v>35</v>
      </c>
      <c r="C57">
        <v>3</v>
      </c>
      <c r="D57" t="s">
        <v>36</v>
      </c>
      <c r="E57">
        <v>1</v>
      </c>
      <c r="F57" t="s">
        <v>259</v>
      </c>
      <c r="G57">
        <v>1</v>
      </c>
      <c r="H57">
        <v>3</v>
      </c>
      <c r="I57">
        <v>1</v>
      </c>
      <c r="J57">
        <v>56</v>
      </c>
      <c r="K57">
        <v>72</v>
      </c>
      <c r="L57">
        <v>22</v>
      </c>
      <c r="M57">
        <v>1</v>
      </c>
      <c r="N57" t="s">
        <v>241</v>
      </c>
      <c r="O57" t="s">
        <v>151</v>
      </c>
      <c r="P57" t="s">
        <v>242</v>
      </c>
      <c r="Q57" t="s">
        <v>243</v>
      </c>
      <c r="R57" t="s">
        <v>174</v>
      </c>
      <c r="S57" t="s">
        <v>52</v>
      </c>
      <c r="T57" t="s">
        <v>132</v>
      </c>
      <c r="U57">
        <v>1</v>
      </c>
      <c r="V57" t="s">
        <v>166</v>
      </c>
      <c r="W57" t="s">
        <v>111</v>
      </c>
      <c r="X57" t="s">
        <v>66</v>
      </c>
      <c r="Y57">
        <v>2</v>
      </c>
      <c r="Z57">
        <v>3</v>
      </c>
      <c r="AA57">
        <v>48</v>
      </c>
      <c r="AB57">
        <v>3.0000000000000001E-3</v>
      </c>
      <c r="AC57" t="s">
        <v>166</v>
      </c>
      <c r="AD57">
        <v>3</v>
      </c>
      <c r="AE57">
        <v>2</v>
      </c>
      <c r="AF57">
        <v>0</v>
      </c>
      <c r="AG57">
        <v>1.0740000000000001</v>
      </c>
      <c r="AH57">
        <v>0.61699999999999999</v>
      </c>
      <c r="AI57">
        <v>0</v>
      </c>
    </row>
    <row r="58" spans="1:51" x14ac:dyDescent="0.25">
      <c r="A58">
        <v>259</v>
      </c>
      <c r="B58" t="s">
        <v>35</v>
      </c>
      <c r="C58">
        <v>3</v>
      </c>
      <c r="D58" t="s">
        <v>36</v>
      </c>
      <c r="E58">
        <v>1</v>
      </c>
      <c r="F58" t="s">
        <v>259</v>
      </c>
      <c r="G58">
        <v>1</v>
      </c>
      <c r="H58">
        <v>3</v>
      </c>
      <c r="I58">
        <v>1</v>
      </c>
      <c r="J58">
        <v>57</v>
      </c>
      <c r="K58">
        <v>70</v>
      </c>
      <c r="L58">
        <v>58</v>
      </c>
      <c r="M58">
        <v>2</v>
      </c>
      <c r="N58" t="s">
        <v>235</v>
      </c>
      <c r="O58" t="s">
        <v>151</v>
      </c>
      <c r="P58" t="s">
        <v>236</v>
      </c>
      <c r="Q58" t="s">
        <v>237</v>
      </c>
      <c r="R58" t="s">
        <v>160</v>
      </c>
      <c r="S58" t="s">
        <v>43</v>
      </c>
      <c r="T58" t="s">
        <v>55</v>
      </c>
      <c r="U58">
        <v>1</v>
      </c>
      <c r="V58" t="s">
        <v>108</v>
      </c>
      <c r="W58" t="s">
        <v>54</v>
      </c>
      <c r="X58" t="s">
        <v>130</v>
      </c>
      <c r="Y58">
        <v>2</v>
      </c>
      <c r="Z58">
        <v>3</v>
      </c>
      <c r="AA58">
        <v>48</v>
      </c>
      <c r="AB58">
        <v>3.0000000000000001E-3</v>
      </c>
      <c r="AC58" t="s">
        <v>55</v>
      </c>
      <c r="AD58">
        <v>1</v>
      </c>
      <c r="AE58">
        <v>1</v>
      </c>
      <c r="AF58">
        <v>1</v>
      </c>
      <c r="AG58">
        <v>3.0249999999999999</v>
      </c>
      <c r="AH58">
        <v>0.6</v>
      </c>
      <c r="AI58">
        <v>0</v>
      </c>
    </row>
    <row r="59" spans="1:51" x14ac:dyDescent="0.25">
      <c r="A59">
        <v>259</v>
      </c>
      <c r="B59" t="s">
        <v>35</v>
      </c>
      <c r="C59">
        <v>3</v>
      </c>
      <c r="D59" t="s">
        <v>36</v>
      </c>
      <c r="E59">
        <v>1</v>
      </c>
      <c r="F59" t="s">
        <v>259</v>
      </c>
      <c r="G59">
        <v>1</v>
      </c>
      <c r="H59">
        <v>3</v>
      </c>
      <c r="I59">
        <v>1</v>
      </c>
      <c r="J59">
        <v>58</v>
      </c>
      <c r="K59">
        <v>65</v>
      </c>
      <c r="L59">
        <v>53</v>
      </c>
      <c r="M59">
        <v>2</v>
      </c>
      <c r="N59" t="s">
        <v>257</v>
      </c>
      <c r="O59" t="s">
        <v>151</v>
      </c>
      <c r="P59" t="s">
        <v>249</v>
      </c>
      <c r="Q59" t="s">
        <v>250</v>
      </c>
      <c r="R59" t="s">
        <v>170</v>
      </c>
      <c r="S59" t="s">
        <v>59</v>
      </c>
      <c r="T59" t="s">
        <v>204</v>
      </c>
      <c r="U59">
        <v>2</v>
      </c>
      <c r="V59" t="s">
        <v>68</v>
      </c>
      <c r="W59" t="s">
        <v>131</v>
      </c>
      <c r="X59" t="s">
        <v>74</v>
      </c>
      <c r="Y59">
        <v>1</v>
      </c>
      <c r="Z59">
        <v>3</v>
      </c>
      <c r="AA59">
        <v>48</v>
      </c>
      <c r="AB59">
        <v>3.0000000000000001E-3</v>
      </c>
      <c r="AC59" t="s">
        <v>68</v>
      </c>
      <c r="AD59">
        <v>2</v>
      </c>
      <c r="AE59">
        <v>5</v>
      </c>
      <c r="AF59">
        <v>0</v>
      </c>
      <c r="AG59">
        <v>2.3820000000000001</v>
      </c>
      <c r="AH59">
        <v>0.83299999999999996</v>
      </c>
      <c r="AI59">
        <v>0</v>
      </c>
    </row>
    <row r="60" spans="1:51" x14ac:dyDescent="0.25">
      <c r="A60">
        <v>259</v>
      </c>
      <c r="B60" t="s">
        <v>35</v>
      </c>
      <c r="C60">
        <v>3</v>
      </c>
      <c r="D60" t="s">
        <v>36</v>
      </c>
      <c r="E60">
        <v>1</v>
      </c>
      <c r="F60" t="s">
        <v>259</v>
      </c>
      <c r="G60">
        <v>1</v>
      </c>
      <c r="H60">
        <v>3</v>
      </c>
      <c r="I60">
        <v>1</v>
      </c>
      <c r="J60">
        <v>59</v>
      </c>
      <c r="K60">
        <v>64</v>
      </c>
      <c r="L60">
        <v>20</v>
      </c>
      <c r="M60">
        <v>1</v>
      </c>
      <c r="N60" t="s">
        <v>238</v>
      </c>
      <c r="O60" t="s">
        <v>151</v>
      </c>
      <c r="P60" t="s">
        <v>239</v>
      </c>
      <c r="Q60" t="s">
        <v>240</v>
      </c>
      <c r="R60" t="s">
        <v>160</v>
      </c>
      <c r="S60" t="s">
        <v>43</v>
      </c>
      <c r="T60" t="s">
        <v>82</v>
      </c>
      <c r="U60">
        <v>5</v>
      </c>
      <c r="V60" t="s">
        <v>211</v>
      </c>
      <c r="W60" t="s">
        <v>120</v>
      </c>
      <c r="X60" t="s">
        <v>94</v>
      </c>
      <c r="Y60">
        <v>1</v>
      </c>
      <c r="Z60">
        <v>3</v>
      </c>
      <c r="AA60">
        <v>48</v>
      </c>
      <c r="AB60">
        <v>2E-3</v>
      </c>
      <c r="AC60" t="s">
        <v>120</v>
      </c>
      <c r="AD60">
        <v>4</v>
      </c>
      <c r="AE60">
        <v>1</v>
      </c>
      <c r="AF60">
        <v>0</v>
      </c>
      <c r="AG60">
        <v>3.2480000000000002</v>
      </c>
      <c r="AH60">
        <v>0.6</v>
      </c>
      <c r="AI60">
        <v>0</v>
      </c>
    </row>
    <row r="61" spans="1:51" x14ac:dyDescent="0.25">
      <c r="A61">
        <v>259</v>
      </c>
      <c r="B61" t="s">
        <v>35</v>
      </c>
      <c r="C61">
        <v>3</v>
      </c>
      <c r="D61" t="s">
        <v>36</v>
      </c>
      <c r="E61">
        <v>1</v>
      </c>
      <c r="F61" t="s">
        <v>259</v>
      </c>
      <c r="G61">
        <v>1</v>
      </c>
      <c r="H61">
        <v>3</v>
      </c>
      <c r="I61">
        <v>1</v>
      </c>
      <c r="J61">
        <v>60</v>
      </c>
      <c r="K61">
        <v>49</v>
      </c>
      <c r="L61">
        <v>59</v>
      </c>
      <c r="M61">
        <v>2</v>
      </c>
      <c r="N61" t="s">
        <v>171</v>
      </c>
      <c r="O61" t="s">
        <v>151</v>
      </c>
      <c r="P61" t="s">
        <v>158</v>
      </c>
      <c r="Q61" t="s">
        <v>159</v>
      </c>
      <c r="R61" t="s">
        <v>170</v>
      </c>
      <c r="S61" t="s">
        <v>59</v>
      </c>
      <c r="T61" t="s">
        <v>103</v>
      </c>
      <c r="U61">
        <v>4</v>
      </c>
      <c r="V61" t="s">
        <v>146</v>
      </c>
      <c r="W61" t="s">
        <v>179</v>
      </c>
      <c r="X61" t="s">
        <v>185</v>
      </c>
      <c r="Y61">
        <v>2</v>
      </c>
      <c r="Z61">
        <v>3</v>
      </c>
      <c r="AA61">
        <v>48</v>
      </c>
      <c r="AB61">
        <v>4.0000000000000001E-3</v>
      </c>
      <c r="AC61" t="s">
        <v>179</v>
      </c>
      <c r="AD61">
        <v>4</v>
      </c>
      <c r="AE61">
        <v>2</v>
      </c>
      <c r="AF61">
        <v>0</v>
      </c>
      <c r="AG61">
        <v>2.7869999999999999</v>
      </c>
      <c r="AH61">
        <v>0.53300000000000003</v>
      </c>
      <c r="AI61">
        <v>0</v>
      </c>
    </row>
    <row r="62" spans="1:51" x14ac:dyDescent="0.25">
      <c r="A62">
        <v>259</v>
      </c>
      <c r="B62" t="s">
        <v>35</v>
      </c>
      <c r="C62">
        <v>3</v>
      </c>
      <c r="D62" t="s">
        <v>36</v>
      </c>
      <c r="E62">
        <v>1</v>
      </c>
      <c r="F62" t="s">
        <v>259</v>
      </c>
      <c r="G62">
        <v>1</v>
      </c>
      <c r="H62">
        <v>3</v>
      </c>
      <c r="I62">
        <v>1</v>
      </c>
      <c r="J62">
        <v>61</v>
      </c>
      <c r="K62">
        <v>53</v>
      </c>
      <c r="L62">
        <v>49</v>
      </c>
      <c r="M62">
        <v>2</v>
      </c>
      <c r="N62" t="s">
        <v>180</v>
      </c>
      <c r="O62" t="s">
        <v>151</v>
      </c>
      <c r="P62" t="s">
        <v>181</v>
      </c>
      <c r="Q62" t="s">
        <v>182</v>
      </c>
      <c r="R62" t="s">
        <v>154</v>
      </c>
      <c r="S62" t="s">
        <v>92</v>
      </c>
      <c r="T62" t="s">
        <v>183</v>
      </c>
      <c r="U62">
        <v>4</v>
      </c>
      <c r="V62" t="s">
        <v>187</v>
      </c>
      <c r="W62" t="s">
        <v>138</v>
      </c>
      <c r="X62" t="s">
        <v>116</v>
      </c>
      <c r="Y62">
        <v>1</v>
      </c>
      <c r="Z62">
        <v>3</v>
      </c>
      <c r="AA62">
        <v>48</v>
      </c>
      <c r="AB62">
        <v>4.0000000000000001E-3</v>
      </c>
      <c r="AC62" t="s">
        <v>138</v>
      </c>
      <c r="AD62">
        <v>4</v>
      </c>
      <c r="AE62">
        <v>1</v>
      </c>
      <c r="AF62">
        <v>0</v>
      </c>
      <c r="AG62">
        <v>2.9350000000000001</v>
      </c>
      <c r="AH62">
        <v>0.6</v>
      </c>
      <c r="AI62">
        <v>0</v>
      </c>
    </row>
    <row r="63" spans="1:51" x14ac:dyDescent="0.25">
      <c r="A63">
        <v>259</v>
      </c>
      <c r="B63" t="s">
        <v>35</v>
      </c>
      <c r="C63">
        <v>3</v>
      </c>
      <c r="D63" t="s">
        <v>36</v>
      </c>
      <c r="E63">
        <v>1</v>
      </c>
      <c r="F63" t="s">
        <v>259</v>
      </c>
      <c r="G63">
        <v>1</v>
      </c>
      <c r="H63">
        <v>3</v>
      </c>
      <c r="I63">
        <v>1</v>
      </c>
      <c r="J63">
        <v>62</v>
      </c>
      <c r="K63">
        <v>52</v>
      </c>
      <c r="L63">
        <v>14</v>
      </c>
      <c r="M63">
        <v>1</v>
      </c>
      <c r="N63" t="s">
        <v>184</v>
      </c>
      <c r="O63" t="s">
        <v>151</v>
      </c>
      <c r="P63" t="s">
        <v>168</v>
      </c>
      <c r="Q63" t="s">
        <v>169</v>
      </c>
      <c r="R63" t="s">
        <v>154</v>
      </c>
      <c r="S63" t="s">
        <v>92</v>
      </c>
      <c r="T63" t="s">
        <v>141</v>
      </c>
      <c r="U63">
        <v>1</v>
      </c>
      <c r="V63" t="s">
        <v>62</v>
      </c>
      <c r="W63" t="s">
        <v>149</v>
      </c>
      <c r="X63" t="s">
        <v>61</v>
      </c>
      <c r="Y63">
        <v>2</v>
      </c>
      <c r="Z63">
        <v>3</v>
      </c>
      <c r="AA63">
        <v>48</v>
      </c>
      <c r="AB63">
        <v>4.0000000000000001E-3</v>
      </c>
      <c r="AC63" t="s">
        <v>61</v>
      </c>
      <c r="AD63">
        <v>4</v>
      </c>
      <c r="AE63">
        <v>5</v>
      </c>
      <c r="AF63">
        <v>0</v>
      </c>
      <c r="AG63">
        <v>2.605</v>
      </c>
      <c r="AH63">
        <v>0.5</v>
      </c>
      <c r="AI63">
        <v>0</v>
      </c>
    </row>
    <row r="64" spans="1:51" x14ac:dyDescent="0.25">
      <c r="A64">
        <v>259</v>
      </c>
      <c r="B64" t="s">
        <v>35</v>
      </c>
      <c r="C64">
        <v>3</v>
      </c>
      <c r="D64" t="s">
        <v>36</v>
      </c>
      <c r="E64">
        <v>1</v>
      </c>
      <c r="F64" t="s">
        <v>259</v>
      </c>
      <c r="G64">
        <v>1</v>
      </c>
      <c r="H64">
        <v>3</v>
      </c>
      <c r="I64">
        <v>1</v>
      </c>
      <c r="J64">
        <v>63</v>
      </c>
      <c r="K64">
        <v>61</v>
      </c>
      <c r="L64">
        <v>23</v>
      </c>
      <c r="M64">
        <v>1</v>
      </c>
      <c r="N64" t="s">
        <v>244</v>
      </c>
      <c r="O64" t="s">
        <v>151</v>
      </c>
      <c r="P64" t="s">
        <v>245</v>
      </c>
      <c r="Q64" t="s">
        <v>246</v>
      </c>
      <c r="R64" t="s">
        <v>154</v>
      </c>
      <c r="S64" t="s">
        <v>92</v>
      </c>
      <c r="T64" t="s">
        <v>62</v>
      </c>
      <c r="U64">
        <v>2</v>
      </c>
      <c r="V64" t="s">
        <v>121</v>
      </c>
      <c r="W64" t="s">
        <v>73</v>
      </c>
      <c r="X64" t="s">
        <v>162</v>
      </c>
      <c r="Y64">
        <v>1</v>
      </c>
      <c r="Z64">
        <v>3</v>
      </c>
      <c r="AA64">
        <v>48</v>
      </c>
      <c r="AB64">
        <v>3.0000000000000001E-3</v>
      </c>
      <c r="AC64" t="s">
        <v>73</v>
      </c>
      <c r="AD64">
        <v>4</v>
      </c>
      <c r="AE64">
        <v>1</v>
      </c>
      <c r="AF64">
        <v>0</v>
      </c>
      <c r="AG64">
        <v>2.3650000000000002</v>
      </c>
      <c r="AH64">
        <v>0.53300000000000003</v>
      </c>
      <c r="AI64">
        <v>0</v>
      </c>
    </row>
    <row r="65" spans="1:35" x14ac:dyDescent="0.25">
      <c r="A65">
        <v>259</v>
      </c>
      <c r="B65" t="s">
        <v>35</v>
      </c>
      <c r="C65">
        <v>3</v>
      </c>
      <c r="D65" t="s">
        <v>36</v>
      </c>
      <c r="E65">
        <v>1</v>
      </c>
      <c r="F65" t="s">
        <v>259</v>
      </c>
      <c r="G65">
        <v>1</v>
      </c>
      <c r="H65">
        <v>3</v>
      </c>
      <c r="I65">
        <v>1</v>
      </c>
      <c r="J65">
        <v>64</v>
      </c>
      <c r="K65">
        <v>54</v>
      </c>
      <c r="L65">
        <v>50</v>
      </c>
      <c r="M65">
        <v>2</v>
      </c>
      <c r="N65" t="s">
        <v>186</v>
      </c>
      <c r="O65" t="s">
        <v>151</v>
      </c>
      <c r="P65" t="s">
        <v>181</v>
      </c>
      <c r="Q65" t="s">
        <v>182</v>
      </c>
      <c r="R65" t="s">
        <v>174</v>
      </c>
      <c r="S65" t="s">
        <v>52</v>
      </c>
      <c r="T65" t="s">
        <v>187</v>
      </c>
      <c r="U65">
        <v>1</v>
      </c>
      <c r="V65" t="s">
        <v>47</v>
      </c>
      <c r="W65" t="s">
        <v>100</v>
      </c>
      <c r="X65" t="s">
        <v>85</v>
      </c>
      <c r="Y65">
        <v>2</v>
      </c>
      <c r="Z65">
        <v>3</v>
      </c>
      <c r="AA65">
        <v>48</v>
      </c>
      <c r="AB65">
        <v>4.0000000000000001E-3</v>
      </c>
      <c r="AC65" t="s">
        <v>85</v>
      </c>
      <c r="AD65">
        <v>4</v>
      </c>
      <c r="AE65">
        <v>2</v>
      </c>
      <c r="AF65">
        <v>0</v>
      </c>
      <c r="AG65">
        <v>1.5469999999999999</v>
      </c>
      <c r="AH65">
        <v>0.26700000000000002</v>
      </c>
      <c r="AI65">
        <v>0</v>
      </c>
    </row>
    <row r="66" spans="1:35" x14ac:dyDescent="0.25">
      <c r="A66">
        <v>259</v>
      </c>
      <c r="B66" t="s">
        <v>35</v>
      </c>
      <c r="C66">
        <v>3</v>
      </c>
      <c r="D66" t="s">
        <v>36</v>
      </c>
      <c r="E66">
        <v>1</v>
      </c>
      <c r="F66" t="s">
        <v>259</v>
      </c>
      <c r="G66">
        <v>1</v>
      </c>
      <c r="H66">
        <v>3</v>
      </c>
      <c r="I66">
        <v>1</v>
      </c>
      <c r="J66">
        <v>65</v>
      </c>
      <c r="K66">
        <v>68</v>
      </c>
      <c r="L66">
        <v>18</v>
      </c>
      <c r="M66">
        <v>1</v>
      </c>
      <c r="N66" t="s">
        <v>258</v>
      </c>
      <c r="O66" t="s">
        <v>151</v>
      </c>
      <c r="P66" t="s">
        <v>255</v>
      </c>
      <c r="Q66" t="s">
        <v>256</v>
      </c>
      <c r="R66" t="s">
        <v>160</v>
      </c>
      <c r="S66" t="s">
        <v>43</v>
      </c>
      <c r="T66" t="s">
        <v>110</v>
      </c>
      <c r="U66">
        <v>2</v>
      </c>
      <c r="V66" t="s">
        <v>82</v>
      </c>
      <c r="W66" t="s">
        <v>214</v>
      </c>
      <c r="X66" t="s">
        <v>147</v>
      </c>
      <c r="Y66">
        <v>2</v>
      </c>
      <c r="Z66">
        <v>3</v>
      </c>
      <c r="AA66">
        <v>48</v>
      </c>
      <c r="AB66">
        <v>4.0000000000000001E-3</v>
      </c>
      <c r="AC66" t="s">
        <v>110</v>
      </c>
      <c r="AD66">
        <v>1</v>
      </c>
      <c r="AE66">
        <v>2</v>
      </c>
      <c r="AF66">
        <v>1</v>
      </c>
      <c r="AG66">
        <v>2.347</v>
      </c>
      <c r="AH66">
        <v>0.317</v>
      </c>
      <c r="AI66">
        <v>0</v>
      </c>
    </row>
    <row r="67" spans="1:35" x14ac:dyDescent="0.25">
      <c r="A67">
        <v>259</v>
      </c>
      <c r="B67" t="s">
        <v>35</v>
      </c>
      <c r="C67">
        <v>3</v>
      </c>
      <c r="D67" t="s">
        <v>36</v>
      </c>
      <c r="E67">
        <v>1</v>
      </c>
      <c r="F67" t="s">
        <v>259</v>
      </c>
      <c r="G67">
        <v>1</v>
      </c>
      <c r="H67">
        <v>3</v>
      </c>
      <c r="I67">
        <v>1</v>
      </c>
      <c r="J67">
        <v>66</v>
      </c>
      <c r="K67">
        <v>58</v>
      </c>
      <c r="L67">
        <v>16</v>
      </c>
      <c r="M67">
        <v>1</v>
      </c>
      <c r="N67" t="s">
        <v>173</v>
      </c>
      <c r="O67" t="s">
        <v>151</v>
      </c>
      <c r="P67" t="s">
        <v>152</v>
      </c>
      <c r="Q67" t="s">
        <v>153</v>
      </c>
      <c r="R67" t="s">
        <v>174</v>
      </c>
      <c r="S67" t="s">
        <v>52</v>
      </c>
      <c r="T67" t="s">
        <v>99</v>
      </c>
      <c r="U67">
        <v>4</v>
      </c>
      <c r="V67" t="s">
        <v>75</v>
      </c>
      <c r="W67" t="s">
        <v>124</v>
      </c>
      <c r="X67" t="s">
        <v>106</v>
      </c>
      <c r="Y67">
        <v>2</v>
      </c>
      <c r="Z67">
        <v>3</v>
      </c>
      <c r="AA67">
        <v>48</v>
      </c>
      <c r="AB67">
        <v>3.0000000000000001E-3</v>
      </c>
      <c r="AC67" t="s">
        <v>99</v>
      </c>
      <c r="AD67">
        <v>1</v>
      </c>
      <c r="AE67">
        <v>4</v>
      </c>
      <c r="AF67">
        <v>1</v>
      </c>
      <c r="AG67">
        <v>2.2210000000000001</v>
      </c>
      <c r="AH67">
        <v>0.25</v>
      </c>
      <c r="AI67">
        <v>0</v>
      </c>
    </row>
    <row r="68" spans="1:35" x14ac:dyDescent="0.25">
      <c r="A68">
        <v>259</v>
      </c>
      <c r="B68" t="s">
        <v>35</v>
      </c>
      <c r="C68">
        <v>3</v>
      </c>
      <c r="D68" t="s">
        <v>36</v>
      </c>
      <c r="E68">
        <v>1</v>
      </c>
      <c r="F68" t="s">
        <v>259</v>
      </c>
      <c r="G68">
        <v>1</v>
      </c>
      <c r="H68">
        <v>3</v>
      </c>
      <c r="I68">
        <v>1</v>
      </c>
      <c r="J68">
        <v>67</v>
      </c>
      <c r="K68">
        <v>60</v>
      </c>
      <c r="L68">
        <v>56</v>
      </c>
      <c r="M68">
        <v>2</v>
      </c>
      <c r="N68" t="s">
        <v>175</v>
      </c>
      <c r="O68" t="s">
        <v>151</v>
      </c>
      <c r="P68" t="s">
        <v>164</v>
      </c>
      <c r="Q68" t="s">
        <v>165</v>
      </c>
      <c r="R68" t="s">
        <v>174</v>
      </c>
      <c r="S68" t="s">
        <v>52</v>
      </c>
      <c r="T68" t="s">
        <v>166</v>
      </c>
      <c r="U68">
        <v>1</v>
      </c>
      <c r="V68" t="s">
        <v>86</v>
      </c>
      <c r="W68" t="s">
        <v>67</v>
      </c>
      <c r="X68" t="s">
        <v>107</v>
      </c>
      <c r="Y68">
        <v>1</v>
      </c>
      <c r="Z68">
        <v>3</v>
      </c>
      <c r="AA68">
        <v>48</v>
      </c>
      <c r="AB68">
        <v>2E-3</v>
      </c>
      <c r="AC68" t="s">
        <v>86</v>
      </c>
      <c r="AD68">
        <v>2</v>
      </c>
      <c r="AE68">
        <v>4</v>
      </c>
      <c r="AF68">
        <v>0</v>
      </c>
      <c r="AG68">
        <v>2.3279999999999998</v>
      </c>
      <c r="AH68">
        <v>0.28299999999999997</v>
      </c>
      <c r="AI68">
        <v>0</v>
      </c>
    </row>
    <row r="69" spans="1:35" x14ac:dyDescent="0.25">
      <c r="A69">
        <v>259</v>
      </c>
      <c r="B69" t="s">
        <v>35</v>
      </c>
      <c r="C69">
        <v>3</v>
      </c>
      <c r="D69" t="s">
        <v>36</v>
      </c>
      <c r="E69">
        <v>1</v>
      </c>
      <c r="F69" t="s">
        <v>259</v>
      </c>
      <c r="G69">
        <v>1</v>
      </c>
      <c r="H69">
        <v>3</v>
      </c>
      <c r="I69">
        <v>1</v>
      </c>
      <c r="J69">
        <v>68</v>
      </c>
      <c r="K69">
        <v>66</v>
      </c>
      <c r="L69">
        <v>54</v>
      </c>
      <c r="M69">
        <v>2</v>
      </c>
      <c r="N69" t="s">
        <v>248</v>
      </c>
      <c r="O69" t="s">
        <v>151</v>
      </c>
      <c r="P69" t="s">
        <v>249</v>
      </c>
      <c r="Q69" t="s">
        <v>250</v>
      </c>
      <c r="R69" t="s">
        <v>154</v>
      </c>
      <c r="S69" t="s">
        <v>92</v>
      </c>
      <c r="T69" t="s">
        <v>68</v>
      </c>
      <c r="U69">
        <v>1</v>
      </c>
      <c r="V69" t="s">
        <v>183</v>
      </c>
      <c r="W69" t="s">
        <v>156</v>
      </c>
      <c r="X69" t="s">
        <v>46</v>
      </c>
      <c r="Y69">
        <v>2</v>
      </c>
      <c r="Z69">
        <v>3</v>
      </c>
      <c r="AA69">
        <v>48</v>
      </c>
      <c r="AB69">
        <v>4.0000000000000001E-3</v>
      </c>
      <c r="AC69" t="s">
        <v>183</v>
      </c>
      <c r="AD69">
        <v>3</v>
      </c>
      <c r="AE69">
        <v>5</v>
      </c>
      <c r="AF69">
        <v>0</v>
      </c>
      <c r="AG69">
        <v>3.1320000000000001</v>
      </c>
      <c r="AH69">
        <v>0.61699999999999999</v>
      </c>
      <c r="AI69">
        <v>0</v>
      </c>
    </row>
    <row r="70" spans="1:35" x14ac:dyDescent="0.25">
      <c r="A70">
        <v>259</v>
      </c>
      <c r="B70" t="s">
        <v>35</v>
      </c>
      <c r="C70">
        <v>3</v>
      </c>
      <c r="D70" t="s">
        <v>36</v>
      </c>
      <c r="E70">
        <v>1</v>
      </c>
      <c r="F70" t="s">
        <v>259</v>
      </c>
      <c r="G70">
        <v>1</v>
      </c>
      <c r="H70">
        <v>3</v>
      </c>
      <c r="I70">
        <v>1</v>
      </c>
      <c r="J70">
        <v>69</v>
      </c>
      <c r="K70">
        <v>56</v>
      </c>
      <c r="L70">
        <v>52</v>
      </c>
      <c r="M70">
        <v>2</v>
      </c>
      <c r="N70" t="s">
        <v>188</v>
      </c>
      <c r="O70" t="s">
        <v>151</v>
      </c>
      <c r="P70" t="s">
        <v>177</v>
      </c>
      <c r="Q70" t="s">
        <v>178</v>
      </c>
      <c r="R70" t="s">
        <v>160</v>
      </c>
      <c r="S70" t="s">
        <v>43</v>
      </c>
      <c r="T70" t="s">
        <v>108</v>
      </c>
      <c r="U70">
        <v>5</v>
      </c>
      <c r="V70" t="s">
        <v>139</v>
      </c>
      <c r="W70" t="s">
        <v>128</v>
      </c>
      <c r="X70" t="s">
        <v>79</v>
      </c>
      <c r="Y70">
        <v>1</v>
      </c>
      <c r="Z70">
        <v>3</v>
      </c>
      <c r="AA70">
        <v>48</v>
      </c>
      <c r="AB70">
        <v>3.0000000000000001E-3</v>
      </c>
      <c r="AC70" t="s">
        <v>108</v>
      </c>
      <c r="AD70">
        <v>1</v>
      </c>
      <c r="AE70">
        <v>5</v>
      </c>
      <c r="AF70">
        <v>1</v>
      </c>
      <c r="AG70">
        <v>2.7450000000000001</v>
      </c>
      <c r="AH70">
        <v>0.317</v>
      </c>
      <c r="AI70">
        <v>0</v>
      </c>
    </row>
    <row r="71" spans="1:35" x14ac:dyDescent="0.25">
      <c r="A71">
        <v>259</v>
      </c>
      <c r="B71" t="s">
        <v>35</v>
      </c>
      <c r="C71">
        <v>3</v>
      </c>
      <c r="D71" t="s">
        <v>36</v>
      </c>
      <c r="E71">
        <v>1</v>
      </c>
      <c r="F71" t="s">
        <v>259</v>
      </c>
      <c r="G71">
        <v>1</v>
      </c>
      <c r="H71">
        <v>3</v>
      </c>
      <c r="I71">
        <v>1</v>
      </c>
      <c r="J71">
        <v>70</v>
      </c>
      <c r="K71">
        <v>62</v>
      </c>
      <c r="L71">
        <v>24</v>
      </c>
      <c r="M71">
        <v>1</v>
      </c>
      <c r="N71" t="s">
        <v>251</v>
      </c>
      <c r="O71" t="s">
        <v>151</v>
      </c>
      <c r="P71" t="s">
        <v>245</v>
      </c>
      <c r="Q71" t="s">
        <v>246</v>
      </c>
      <c r="R71" t="s">
        <v>160</v>
      </c>
      <c r="S71" t="s">
        <v>43</v>
      </c>
      <c r="T71" t="s">
        <v>121</v>
      </c>
      <c r="U71">
        <v>4</v>
      </c>
      <c r="V71" t="s">
        <v>161</v>
      </c>
      <c r="W71" t="s">
        <v>144</v>
      </c>
      <c r="X71" t="s">
        <v>119</v>
      </c>
      <c r="Y71">
        <v>2</v>
      </c>
      <c r="Z71">
        <v>3</v>
      </c>
      <c r="AA71">
        <v>48</v>
      </c>
      <c r="AB71">
        <v>4.0000000000000001E-3</v>
      </c>
      <c r="AC71" t="s">
        <v>144</v>
      </c>
      <c r="AD71">
        <v>4</v>
      </c>
      <c r="AE71">
        <v>2</v>
      </c>
      <c r="AF71">
        <v>0</v>
      </c>
      <c r="AG71">
        <v>3.6869999999999998</v>
      </c>
      <c r="AH71">
        <v>0.95</v>
      </c>
      <c r="AI71">
        <v>0</v>
      </c>
    </row>
    <row r="72" spans="1:35" x14ac:dyDescent="0.25">
      <c r="A72">
        <v>259</v>
      </c>
      <c r="B72" t="s">
        <v>35</v>
      </c>
      <c r="C72">
        <v>3</v>
      </c>
      <c r="D72" t="s">
        <v>36</v>
      </c>
      <c r="E72">
        <v>1</v>
      </c>
      <c r="F72" t="s">
        <v>259</v>
      </c>
      <c r="G72">
        <v>1</v>
      </c>
      <c r="H72">
        <v>3</v>
      </c>
      <c r="I72">
        <v>1</v>
      </c>
      <c r="J72">
        <v>71</v>
      </c>
      <c r="K72">
        <v>50</v>
      </c>
      <c r="L72">
        <v>60</v>
      </c>
      <c r="M72">
        <v>2</v>
      </c>
      <c r="N72" t="s">
        <v>157</v>
      </c>
      <c r="O72" t="s">
        <v>151</v>
      </c>
      <c r="P72" t="s">
        <v>158</v>
      </c>
      <c r="Q72" t="s">
        <v>159</v>
      </c>
      <c r="R72" t="s">
        <v>160</v>
      </c>
      <c r="S72" t="s">
        <v>43</v>
      </c>
      <c r="T72" t="s">
        <v>161</v>
      </c>
      <c r="U72">
        <v>1</v>
      </c>
      <c r="V72" t="s">
        <v>103</v>
      </c>
      <c r="W72" t="s">
        <v>172</v>
      </c>
      <c r="X72" t="s">
        <v>127</v>
      </c>
      <c r="Y72">
        <v>1</v>
      </c>
      <c r="Z72">
        <v>3</v>
      </c>
      <c r="AA72">
        <v>48</v>
      </c>
      <c r="AB72">
        <v>5.0000000000000001E-3</v>
      </c>
      <c r="AC72" t="s">
        <v>127</v>
      </c>
      <c r="AD72">
        <v>4</v>
      </c>
      <c r="AE72">
        <v>5</v>
      </c>
      <c r="AF72">
        <v>0</v>
      </c>
      <c r="AG72">
        <v>3.202</v>
      </c>
      <c r="AH72">
        <v>0.4</v>
      </c>
      <c r="AI72">
        <v>0</v>
      </c>
    </row>
    <row r="73" spans="1:35" x14ac:dyDescent="0.25">
      <c r="A73">
        <v>259</v>
      </c>
      <c r="B73" t="s">
        <v>35</v>
      </c>
      <c r="C73">
        <v>3</v>
      </c>
      <c r="D73" t="s">
        <v>36</v>
      </c>
      <c r="E73">
        <v>1</v>
      </c>
      <c r="F73" t="s">
        <v>259</v>
      </c>
      <c r="G73">
        <v>1</v>
      </c>
      <c r="H73">
        <v>3</v>
      </c>
      <c r="I73">
        <v>1</v>
      </c>
      <c r="J73">
        <v>72</v>
      </c>
      <c r="K73">
        <v>69</v>
      </c>
      <c r="L73">
        <v>57</v>
      </c>
      <c r="M73">
        <v>2</v>
      </c>
      <c r="N73" t="s">
        <v>247</v>
      </c>
      <c r="O73" t="s">
        <v>151</v>
      </c>
      <c r="P73" t="s">
        <v>236</v>
      </c>
      <c r="Q73" t="s">
        <v>237</v>
      </c>
      <c r="R73" t="s">
        <v>174</v>
      </c>
      <c r="S73" t="s">
        <v>52</v>
      </c>
      <c r="T73" t="s">
        <v>75</v>
      </c>
      <c r="U73">
        <v>5</v>
      </c>
      <c r="V73" t="s">
        <v>55</v>
      </c>
      <c r="W73" t="s">
        <v>93</v>
      </c>
      <c r="X73" t="s">
        <v>95</v>
      </c>
      <c r="Y73">
        <v>1</v>
      </c>
      <c r="Z73">
        <v>3</v>
      </c>
      <c r="AA73">
        <v>48</v>
      </c>
      <c r="AB73">
        <v>2E-3</v>
      </c>
      <c r="AC73" t="s">
        <v>55</v>
      </c>
      <c r="AD73">
        <v>2</v>
      </c>
      <c r="AE73">
        <v>2</v>
      </c>
      <c r="AF73">
        <v>0</v>
      </c>
      <c r="AG73">
        <v>1.571</v>
      </c>
      <c r="AH73">
        <v>0.3</v>
      </c>
      <c r="AI73">
        <v>0</v>
      </c>
    </row>
    <row r="74" spans="1:35" x14ac:dyDescent="0.25">
      <c r="A74">
        <v>259</v>
      </c>
      <c r="B74" t="s">
        <v>35</v>
      </c>
      <c r="C74">
        <v>3</v>
      </c>
      <c r="D74" t="s">
        <v>36</v>
      </c>
      <c r="E74">
        <v>1</v>
      </c>
      <c r="F74" t="s">
        <v>259</v>
      </c>
      <c r="G74">
        <v>1</v>
      </c>
      <c r="H74">
        <v>3</v>
      </c>
      <c r="I74">
        <v>2</v>
      </c>
      <c r="J74">
        <v>1</v>
      </c>
      <c r="K74">
        <v>3</v>
      </c>
      <c r="L74">
        <v>1</v>
      </c>
      <c r="M74">
        <v>1</v>
      </c>
      <c r="N74" t="s">
        <v>70</v>
      </c>
      <c r="O74" t="s">
        <v>39</v>
      </c>
      <c r="P74" t="s">
        <v>71</v>
      </c>
      <c r="Q74" t="s">
        <v>72</v>
      </c>
      <c r="R74" t="s">
        <v>58</v>
      </c>
      <c r="S74" t="s">
        <v>59</v>
      </c>
      <c r="T74" t="s">
        <v>73</v>
      </c>
      <c r="U74">
        <v>4</v>
      </c>
      <c r="V74" t="s">
        <v>60</v>
      </c>
      <c r="W74" t="s">
        <v>130</v>
      </c>
      <c r="X74" t="s">
        <v>99</v>
      </c>
      <c r="Y74">
        <v>2</v>
      </c>
      <c r="Z74">
        <v>2</v>
      </c>
      <c r="AA74">
        <v>48</v>
      </c>
      <c r="AB74">
        <v>3.0000000000000001E-3</v>
      </c>
      <c r="AC74" t="s">
        <v>73</v>
      </c>
      <c r="AD74">
        <v>1</v>
      </c>
      <c r="AE74">
        <v>4</v>
      </c>
      <c r="AF74">
        <v>1</v>
      </c>
      <c r="AG74">
        <v>1.569</v>
      </c>
      <c r="AH74">
        <v>0.98299999999999998</v>
      </c>
      <c r="AI74">
        <v>0</v>
      </c>
    </row>
    <row r="75" spans="1:35" x14ac:dyDescent="0.25">
      <c r="A75">
        <v>259</v>
      </c>
      <c r="B75" t="s">
        <v>35</v>
      </c>
      <c r="C75">
        <v>3</v>
      </c>
      <c r="D75" t="s">
        <v>36</v>
      </c>
      <c r="E75">
        <v>1</v>
      </c>
      <c r="F75" t="s">
        <v>259</v>
      </c>
      <c r="G75">
        <v>1</v>
      </c>
      <c r="H75">
        <v>3</v>
      </c>
      <c r="I75">
        <v>2</v>
      </c>
      <c r="J75">
        <v>2</v>
      </c>
      <c r="K75">
        <v>21</v>
      </c>
      <c r="L75">
        <v>45</v>
      </c>
      <c r="M75">
        <v>2</v>
      </c>
      <c r="N75" t="s">
        <v>210</v>
      </c>
      <c r="O75" t="s">
        <v>39</v>
      </c>
      <c r="P75" t="s">
        <v>190</v>
      </c>
      <c r="Q75" t="s">
        <v>191</v>
      </c>
      <c r="R75" t="s">
        <v>51</v>
      </c>
      <c r="S75" t="s">
        <v>52</v>
      </c>
      <c r="T75" t="s">
        <v>149</v>
      </c>
      <c r="U75">
        <v>1</v>
      </c>
      <c r="V75" t="s">
        <v>79</v>
      </c>
      <c r="W75" t="s">
        <v>62</v>
      </c>
      <c r="X75" t="s">
        <v>120</v>
      </c>
      <c r="Y75">
        <v>2</v>
      </c>
      <c r="Z75">
        <v>2</v>
      </c>
      <c r="AA75">
        <v>48</v>
      </c>
      <c r="AB75">
        <v>4.0000000000000001E-3</v>
      </c>
      <c r="AC75" t="s">
        <v>120</v>
      </c>
      <c r="AD75">
        <v>4</v>
      </c>
      <c r="AE75">
        <v>2</v>
      </c>
      <c r="AF75">
        <v>0</v>
      </c>
      <c r="AG75">
        <v>1.5980000000000001</v>
      </c>
      <c r="AH75">
        <v>1.7</v>
      </c>
      <c r="AI75">
        <v>0</v>
      </c>
    </row>
    <row r="76" spans="1:35" x14ac:dyDescent="0.25">
      <c r="A76">
        <v>259</v>
      </c>
      <c r="B76" t="s">
        <v>35</v>
      </c>
      <c r="C76">
        <v>3</v>
      </c>
      <c r="D76" t="s">
        <v>36</v>
      </c>
      <c r="E76">
        <v>1</v>
      </c>
      <c r="F76" t="s">
        <v>259</v>
      </c>
      <c r="G76">
        <v>1</v>
      </c>
      <c r="H76">
        <v>3</v>
      </c>
      <c r="I76">
        <v>2</v>
      </c>
      <c r="J76">
        <v>3</v>
      </c>
      <c r="K76">
        <v>18</v>
      </c>
      <c r="L76">
        <v>42</v>
      </c>
      <c r="M76">
        <v>2</v>
      </c>
      <c r="N76" t="s">
        <v>216</v>
      </c>
      <c r="O76" t="s">
        <v>39</v>
      </c>
      <c r="P76" t="s">
        <v>199</v>
      </c>
      <c r="Q76" t="s">
        <v>200</v>
      </c>
      <c r="R76" t="s">
        <v>91</v>
      </c>
      <c r="S76" t="s">
        <v>92</v>
      </c>
      <c r="T76" t="s">
        <v>98</v>
      </c>
      <c r="U76">
        <v>2</v>
      </c>
      <c r="V76" t="s">
        <v>138</v>
      </c>
      <c r="W76" t="s">
        <v>116</v>
      </c>
      <c r="X76" t="s">
        <v>187</v>
      </c>
      <c r="Y76">
        <v>1</v>
      </c>
      <c r="Z76">
        <v>2</v>
      </c>
      <c r="AA76">
        <v>48</v>
      </c>
      <c r="AB76">
        <v>2E-3</v>
      </c>
      <c r="AC76" t="s">
        <v>116</v>
      </c>
      <c r="AD76">
        <v>4</v>
      </c>
      <c r="AE76">
        <v>5</v>
      </c>
      <c r="AF76">
        <v>0</v>
      </c>
      <c r="AG76">
        <v>1.407</v>
      </c>
      <c r="AH76">
        <v>0.317</v>
      </c>
      <c r="AI76">
        <v>0</v>
      </c>
    </row>
    <row r="77" spans="1:35" x14ac:dyDescent="0.25">
      <c r="A77">
        <v>259</v>
      </c>
      <c r="B77" t="s">
        <v>35</v>
      </c>
      <c r="C77">
        <v>3</v>
      </c>
      <c r="D77" t="s">
        <v>36</v>
      </c>
      <c r="E77">
        <v>1</v>
      </c>
      <c r="F77" t="s">
        <v>259</v>
      </c>
      <c r="G77">
        <v>1</v>
      </c>
      <c r="H77">
        <v>3</v>
      </c>
      <c r="I77">
        <v>2</v>
      </c>
      <c r="J77">
        <v>4</v>
      </c>
      <c r="K77">
        <v>11</v>
      </c>
      <c r="L77">
        <v>43</v>
      </c>
      <c r="M77">
        <v>2</v>
      </c>
      <c r="N77" t="s">
        <v>105</v>
      </c>
      <c r="O77" t="s">
        <v>39</v>
      </c>
      <c r="P77" t="s">
        <v>77</v>
      </c>
      <c r="Q77" t="s">
        <v>78</v>
      </c>
      <c r="R77" t="s">
        <v>91</v>
      </c>
      <c r="S77" t="s">
        <v>92</v>
      </c>
      <c r="T77" t="s">
        <v>80</v>
      </c>
      <c r="U77">
        <v>1</v>
      </c>
      <c r="V77" t="s">
        <v>106</v>
      </c>
      <c r="W77" t="s">
        <v>75</v>
      </c>
      <c r="X77" t="s">
        <v>104</v>
      </c>
      <c r="Y77">
        <v>2</v>
      </c>
      <c r="Z77">
        <v>2</v>
      </c>
      <c r="AA77">
        <v>48</v>
      </c>
      <c r="AB77">
        <v>2E-3</v>
      </c>
      <c r="AC77" t="s">
        <v>80</v>
      </c>
      <c r="AD77">
        <v>1</v>
      </c>
      <c r="AE77">
        <v>1</v>
      </c>
      <c r="AF77">
        <v>1</v>
      </c>
      <c r="AG77">
        <v>2.4260000000000002</v>
      </c>
      <c r="AH77">
        <v>0.6</v>
      </c>
      <c r="AI77">
        <v>0</v>
      </c>
    </row>
    <row r="78" spans="1:35" x14ac:dyDescent="0.25">
      <c r="A78">
        <v>259</v>
      </c>
      <c r="B78" t="s">
        <v>35</v>
      </c>
      <c r="C78">
        <v>3</v>
      </c>
      <c r="D78" t="s">
        <v>36</v>
      </c>
      <c r="E78">
        <v>1</v>
      </c>
      <c r="F78" t="s">
        <v>259</v>
      </c>
      <c r="G78">
        <v>1</v>
      </c>
      <c r="H78">
        <v>3</v>
      </c>
      <c r="I78">
        <v>2</v>
      </c>
      <c r="J78">
        <v>5</v>
      </c>
      <c r="K78">
        <v>20</v>
      </c>
      <c r="L78">
        <v>6</v>
      </c>
      <c r="M78">
        <v>1</v>
      </c>
      <c r="N78" t="s">
        <v>215</v>
      </c>
      <c r="O78" t="s">
        <v>39</v>
      </c>
      <c r="P78" t="s">
        <v>193</v>
      </c>
      <c r="Q78" t="s">
        <v>194</v>
      </c>
      <c r="R78" t="s">
        <v>42</v>
      </c>
      <c r="S78" t="s">
        <v>43</v>
      </c>
      <c r="T78" t="s">
        <v>185</v>
      </c>
      <c r="U78">
        <v>1</v>
      </c>
      <c r="V78" t="s">
        <v>144</v>
      </c>
      <c r="W78" t="s">
        <v>183</v>
      </c>
      <c r="X78" t="s">
        <v>137</v>
      </c>
      <c r="Y78">
        <v>1</v>
      </c>
      <c r="Z78">
        <v>2</v>
      </c>
      <c r="AA78">
        <v>48</v>
      </c>
      <c r="AB78">
        <v>4.0000000000000001E-3</v>
      </c>
      <c r="AC78" t="s">
        <v>183</v>
      </c>
      <c r="AD78">
        <v>4</v>
      </c>
      <c r="AE78">
        <v>2</v>
      </c>
      <c r="AF78">
        <v>0</v>
      </c>
      <c r="AG78">
        <v>2.0939999999999999</v>
      </c>
      <c r="AH78">
        <v>0.96599999999999997</v>
      </c>
      <c r="AI78">
        <v>0</v>
      </c>
    </row>
    <row r="79" spans="1:35" x14ac:dyDescent="0.25">
      <c r="A79">
        <v>259</v>
      </c>
      <c r="B79" t="s">
        <v>35</v>
      </c>
      <c r="C79">
        <v>3</v>
      </c>
      <c r="D79" t="s">
        <v>36</v>
      </c>
      <c r="E79">
        <v>1</v>
      </c>
      <c r="F79" t="s">
        <v>259</v>
      </c>
      <c r="G79">
        <v>1</v>
      </c>
      <c r="H79">
        <v>3</v>
      </c>
      <c r="I79">
        <v>2</v>
      </c>
      <c r="J79">
        <v>6</v>
      </c>
      <c r="K79">
        <v>4</v>
      </c>
      <c r="L79">
        <v>2</v>
      </c>
      <c r="M79">
        <v>1</v>
      </c>
      <c r="N79" t="s">
        <v>109</v>
      </c>
      <c r="O79" t="s">
        <v>39</v>
      </c>
      <c r="P79" t="s">
        <v>71</v>
      </c>
      <c r="Q79" t="s">
        <v>72</v>
      </c>
      <c r="R79" t="s">
        <v>91</v>
      </c>
      <c r="S79" t="s">
        <v>92</v>
      </c>
      <c r="T79" t="s">
        <v>94</v>
      </c>
      <c r="U79">
        <v>4</v>
      </c>
      <c r="V79" t="s">
        <v>73</v>
      </c>
      <c r="W79" t="s">
        <v>81</v>
      </c>
      <c r="X79" t="s">
        <v>110</v>
      </c>
      <c r="Y79">
        <v>1</v>
      </c>
      <c r="Z79">
        <v>2</v>
      </c>
      <c r="AA79">
        <v>48</v>
      </c>
      <c r="AB79">
        <v>2E-3</v>
      </c>
      <c r="AC79" t="s">
        <v>83</v>
      </c>
      <c r="AD79">
        <v>0</v>
      </c>
      <c r="AE79">
        <v>0</v>
      </c>
      <c r="AF79">
        <v>0</v>
      </c>
      <c r="AG79">
        <v>-1</v>
      </c>
      <c r="AH79">
        <v>0.9</v>
      </c>
      <c r="AI79">
        <v>0</v>
      </c>
    </row>
    <row r="80" spans="1:35" x14ac:dyDescent="0.25">
      <c r="A80">
        <v>259</v>
      </c>
      <c r="B80" t="s">
        <v>35</v>
      </c>
      <c r="C80">
        <v>3</v>
      </c>
      <c r="D80" t="s">
        <v>36</v>
      </c>
      <c r="E80">
        <v>1</v>
      </c>
      <c r="F80" t="s">
        <v>259</v>
      </c>
      <c r="G80">
        <v>1</v>
      </c>
      <c r="H80">
        <v>3</v>
      </c>
      <c r="I80">
        <v>2</v>
      </c>
      <c r="J80">
        <v>7</v>
      </c>
      <c r="K80">
        <v>2</v>
      </c>
      <c r="L80">
        <v>48</v>
      </c>
      <c r="M80">
        <v>2</v>
      </c>
      <c r="N80" t="s">
        <v>38</v>
      </c>
      <c r="O80" t="s">
        <v>39</v>
      </c>
      <c r="P80" t="s">
        <v>40</v>
      </c>
      <c r="Q80" t="s">
        <v>41</v>
      </c>
      <c r="R80" t="s">
        <v>42</v>
      </c>
      <c r="S80" t="s">
        <v>43</v>
      </c>
      <c r="T80" t="s">
        <v>44</v>
      </c>
      <c r="U80">
        <v>1</v>
      </c>
      <c r="V80" t="s">
        <v>45</v>
      </c>
      <c r="W80" t="s">
        <v>166</v>
      </c>
      <c r="X80" t="s">
        <v>214</v>
      </c>
      <c r="Y80">
        <v>2</v>
      </c>
      <c r="Z80">
        <v>2</v>
      </c>
      <c r="AA80">
        <v>48</v>
      </c>
      <c r="AB80">
        <v>3.0000000000000001E-3</v>
      </c>
      <c r="AC80" t="s">
        <v>45</v>
      </c>
      <c r="AD80">
        <v>3</v>
      </c>
      <c r="AE80">
        <v>5</v>
      </c>
      <c r="AF80">
        <v>0</v>
      </c>
      <c r="AG80">
        <v>1.0289999999999999</v>
      </c>
      <c r="AH80">
        <v>0.86599999999999999</v>
      </c>
      <c r="AI80">
        <v>0</v>
      </c>
    </row>
    <row r="81" spans="1:35" x14ac:dyDescent="0.25">
      <c r="A81">
        <v>259</v>
      </c>
      <c r="B81" t="s">
        <v>35</v>
      </c>
      <c r="C81">
        <v>3</v>
      </c>
      <c r="D81" t="s">
        <v>36</v>
      </c>
      <c r="E81">
        <v>1</v>
      </c>
      <c r="F81" t="s">
        <v>259</v>
      </c>
      <c r="G81">
        <v>1</v>
      </c>
      <c r="H81">
        <v>3</v>
      </c>
      <c r="I81">
        <v>2</v>
      </c>
      <c r="J81">
        <v>8</v>
      </c>
      <c r="K81">
        <v>23</v>
      </c>
      <c r="L81">
        <v>9</v>
      </c>
      <c r="M81">
        <v>1</v>
      </c>
      <c r="N81" t="s">
        <v>212</v>
      </c>
      <c r="O81" t="s">
        <v>39</v>
      </c>
      <c r="P81" t="s">
        <v>202</v>
      </c>
      <c r="Q81" t="s">
        <v>203</v>
      </c>
      <c r="R81" t="s">
        <v>58</v>
      </c>
      <c r="S81" t="s">
        <v>59</v>
      </c>
      <c r="T81" t="s">
        <v>147</v>
      </c>
      <c r="U81">
        <v>2</v>
      </c>
      <c r="V81" t="s">
        <v>172</v>
      </c>
      <c r="W81" t="s">
        <v>127</v>
      </c>
      <c r="X81" t="s">
        <v>121</v>
      </c>
      <c r="Y81">
        <v>1</v>
      </c>
      <c r="Z81">
        <v>2</v>
      </c>
      <c r="AA81">
        <v>48</v>
      </c>
      <c r="AB81">
        <v>2E-3</v>
      </c>
      <c r="AC81" t="s">
        <v>147</v>
      </c>
      <c r="AD81">
        <v>1</v>
      </c>
      <c r="AE81">
        <v>2</v>
      </c>
      <c r="AF81">
        <v>1</v>
      </c>
      <c r="AG81">
        <v>1.63</v>
      </c>
      <c r="AH81">
        <v>0.55000000000000004</v>
      </c>
      <c r="AI81">
        <v>0</v>
      </c>
    </row>
    <row r="82" spans="1:35" x14ac:dyDescent="0.25">
      <c r="A82">
        <v>259</v>
      </c>
      <c r="B82" t="s">
        <v>35</v>
      </c>
      <c r="C82">
        <v>3</v>
      </c>
      <c r="D82" t="s">
        <v>36</v>
      </c>
      <c r="E82">
        <v>1</v>
      </c>
      <c r="F82" t="s">
        <v>259</v>
      </c>
      <c r="G82">
        <v>1</v>
      </c>
      <c r="H82">
        <v>3</v>
      </c>
      <c r="I82">
        <v>2</v>
      </c>
      <c r="J82">
        <v>9</v>
      </c>
      <c r="K82">
        <v>16</v>
      </c>
      <c r="L82">
        <v>8</v>
      </c>
      <c r="M82">
        <v>1</v>
      </c>
      <c r="N82" t="s">
        <v>195</v>
      </c>
      <c r="O82" t="s">
        <v>39</v>
      </c>
      <c r="P82" t="s">
        <v>196</v>
      </c>
      <c r="Q82" t="s">
        <v>197</v>
      </c>
      <c r="R82" t="s">
        <v>42</v>
      </c>
      <c r="S82" t="s">
        <v>43</v>
      </c>
      <c r="T82" t="s">
        <v>85</v>
      </c>
      <c r="U82">
        <v>2</v>
      </c>
      <c r="V82" t="s">
        <v>156</v>
      </c>
      <c r="W82" t="s">
        <v>61</v>
      </c>
      <c r="X82" t="s">
        <v>68</v>
      </c>
      <c r="Y82">
        <v>1</v>
      </c>
      <c r="Z82">
        <v>2</v>
      </c>
      <c r="AA82">
        <v>48</v>
      </c>
      <c r="AB82">
        <v>2E-3</v>
      </c>
      <c r="AC82" t="s">
        <v>61</v>
      </c>
      <c r="AD82">
        <v>4</v>
      </c>
      <c r="AE82">
        <v>4</v>
      </c>
      <c r="AF82">
        <v>0</v>
      </c>
      <c r="AG82">
        <v>2.1179999999999999</v>
      </c>
      <c r="AH82">
        <v>0.51700000000000002</v>
      </c>
      <c r="AI82">
        <v>0</v>
      </c>
    </row>
    <row r="83" spans="1:35" x14ac:dyDescent="0.25">
      <c r="A83">
        <v>259</v>
      </c>
      <c r="B83" t="s">
        <v>35</v>
      </c>
      <c r="C83">
        <v>3</v>
      </c>
      <c r="D83" t="s">
        <v>36</v>
      </c>
      <c r="E83">
        <v>1</v>
      </c>
      <c r="F83" t="s">
        <v>259</v>
      </c>
      <c r="G83">
        <v>1</v>
      </c>
      <c r="H83">
        <v>3</v>
      </c>
      <c r="I83">
        <v>2</v>
      </c>
      <c r="J83">
        <v>10</v>
      </c>
      <c r="K83">
        <v>14</v>
      </c>
      <c r="L83">
        <v>12</v>
      </c>
      <c r="M83">
        <v>1</v>
      </c>
      <c r="N83" t="s">
        <v>206</v>
      </c>
      <c r="O83" t="s">
        <v>39</v>
      </c>
      <c r="P83" t="s">
        <v>207</v>
      </c>
      <c r="Q83" t="s">
        <v>208</v>
      </c>
      <c r="R83" t="s">
        <v>42</v>
      </c>
      <c r="S83" t="s">
        <v>43</v>
      </c>
      <c r="T83" t="s">
        <v>131</v>
      </c>
      <c r="U83">
        <v>2</v>
      </c>
      <c r="V83" t="s">
        <v>185</v>
      </c>
      <c r="W83" t="s">
        <v>209</v>
      </c>
      <c r="X83" t="s">
        <v>141</v>
      </c>
      <c r="Y83">
        <v>2</v>
      </c>
      <c r="Z83">
        <v>2</v>
      </c>
      <c r="AA83">
        <v>48</v>
      </c>
      <c r="AB83">
        <v>3.0000000000000001E-3</v>
      </c>
      <c r="AC83" t="s">
        <v>131</v>
      </c>
      <c r="AD83">
        <v>1</v>
      </c>
      <c r="AE83">
        <v>2</v>
      </c>
      <c r="AF83">
        <v>1</v>
      </c>
      <c r="AG83">
        <v>3.1850000000000001</v>
      </c>
      <c r="AH83">
        <v>0.5</v>
      </c>
      <c r="AI83">
        <v>0</v>
      </c>
    </row>
    <row r="84" spans="1:35" x14ac:dyDescent="0.25">
      <c r="A84">
        <v>259</v>
      </c>
      <c r="B84" t="s">
        <v>35</v>
      </c>
      <c r="C84">
        <v>3</v>
      </c>
      <c r="D84" t="s">
        <v>36</v>
      </c>
      <c r="E84">
        <v>1</v>
      </c>
      <c r="F84" t="s">
        <v>259</v>
      </c>
      <c r="G84">
        <v>1</v>
      </c>
      <c r="H84">
        <v>3</v>
      </c>
      <c r="I84">
        <v>2</v>
      </c>
      <c r="J84">
        <v>11</v>
      </c>
      <c r="K84">
        <v>10</v>
      </c>
      <c r="L84">
        <v>4</v>
      </c>
      <c r="M84">
        <v>1</v>
      </c>
      <c r="N84" t="s">
        <v>101</v>
      </c>
      <c r="O84" t="s">
        <v>39</v>
      </c>
      <c r="P84" t="s">
        <v>89</v>
      </c>
      <c r="Q84" t="s">
        <v>90</v>
      </c>
      <c r="R84" t="s">
        <v>51</v>
      </c>
      <c r="S84" t="s">
        <v>52</v>
      </c>
      <c r="T84" t="s">
        <v>102</v>
      </c>
      <c r="U84">
        <v>1</v>
      </c>
      <c r="V84" t="s">
        <v>93</v>
      </c>
      <c r="W84" t="s">
        <v>204</v>
      </c>
      <c r="X84" t="s">
        <v>87</v>
      </c>
      <c r="Y84">
        <v>1</v>
      </c>
      <c r="Z84">
        <v>2</v>
      </c>
      <c r="AA84">
        <v>48</v>
      </c>
      <c r="AB84">
        <v>3.0000000000000001E-3</v>
      </c>
      <c r="AC84" t="s">
        <v>87</v>
      </c>
      <c r="AD84">
        <v>4</v>
      </c>
      <c r="AE84">
        <v>5</v>
      </c>
      <c r="AF84">
        <v>0</v>
      </c>
      <c r="AG84">
        <v>1.2849999999999999</v>
      </c>
      <c r="AH84">
        <v>0.317</v>
      </c>
      <c r="AI84">
        <v>0</v>
      </c>
    </row>
    <row r="85" spans="1:35" x14ac:dyDescent="0.25">
      <c r="A85">
        <v>259</v>
      </c>
      <c r="B85" t="s">
        <v>35</v>
      </c>
      <c r="C85">
        <v>3</v>
      </c>
      <c r="D85" t="s">
        <v>36</v>
      </c>
      <c r="E85">
        <v>1</v>
      </c>
      <c r="F85" t="s">
        <v>259</v>
      </c>
      <c r="G85">
        <v>1</v>
      </c>
      <c r="H85">
        <v>3</v>
      </c>
      <c r="I85">
        <v>2</v>
      </c>
      <c r="J85">
        <v>12</v>
      </c>
      <c r="K85">
        <v>5</v>
      </c>
      <c r="L85">
        <v>37</v>
      </c>
      <c r="M85">
        <v>2</v>
      </c>
      <c r="N85" t="s">
        <v>97</v>
      </c>
      <c r="O85" t="s">
        <v>39</v>
      </c>
      <c r="P85" t="s">
        <v>49</v>
      </c>
      <c r="Q85" t="s">
        <v>50</v>
      </c>
      <c r="R85" t="s">
        <v>91</v>
      </c>
      <c r="S85" t="s">
        <v>92</v>
      </c>
      <c r="T85" t="s">
        <v>54</v>
      </c>
      <c r="U85">
        <v>1</v>
      </c>
      <c r="V85" t="s">
        <v>98</v>
      </c>
      <c r="W85" t="s">
        <v>82</v>
      </c>
      <c r="X85" t="s">
        <v>111</v>
      </c>
      <c r="Y85">
        <v>2</v>
      </c>
      <c r="Z85">
        <v>2</v>
      </c>
      <c r="AA85">
        <v>48</v>
      </c>
      <c r="AB85">
        <v>2E-3</v>
      </c>
      <c r="AC85" t="s">
        <v>111</v>
      </c>
      <c r="AD85">
        <v>4</v>
      </c>
      <c r="AE85">
        <v>4</v>
      </c>
      <c r="AF85">
        <v>0</v>
      </c>
      <c r="AG85">
        <v>1.6879999999999999</v>
      </c>
      <c r="AH85">
        <v>0.58299999999999996</v>
      </c>
      <c r="AI85">
        <v>0</v>
      </c>
    </row>
    <row r="86" spans="1:35" x14ac:dyDescent="0.25">
      <c r="A86">
        <v>259</v>
      </c>
      <c r="B86" t="s">
        <v>35</v>
      </c>
      <c r="C86">
        <v>3</v>
      </c>
      <c r="D86" t="s">
        <v>36</v>
      </c>
      <c r="E86">
        <v>1</v>
      </c>
      <c r="F86" t="s">
        <v>259</v>
      </c>
      <c r="G86">
        <v>1</v>
      </c>
      <c r="H86">
        <v>3</v>
      </c>
      <c r="I86">
        <v>2</v>
      </c>
      <c r="J86">
        <v>13</v>
      </c>
      <c r="K86">
        <v>7</v>
      </c>
      <c r="L86">
        <v>39</v>
      </c>
      <c r="M86">
        <v>2</v>
      </c>
      <c r="N86" t="s">
        <v>63</v>
      </c>
      <c r="O86" t="s">
        <v>39</v>
      </c>
      <c r="P86" t="s">
        <v>64</v>
      </c>
      <c r="Q86" t="s">
        <v>65</v>
      </c>
      <c r="R86" t="s">
        <v>58</v>
      </c>
      <c r="S86" t="s">
        <v>59</v>
      </c>
      <c r="T86" t="s">
        <v>66</v>
      </c>
      <c r="U86">
        <v>2</v>
      </c>
      <c r="V86" t="s">
        <v>67</v>
      </c>
      <c r="W86" t="s">
        <v>155</v>
      </c>
      <c r="X86" t="s">
        <v>128</v>
      </c>
      <c r="Y86">
        <v>1</v>
      </c>
      <c r="Z86">
        <v>2</v>
      </c>
      <c r="AA86">
        <v>48</v>
      </c>
      <c r="AB86">
        <v>4.0000000000000001E-3</v>
      </c>
      <c r="AC86" t="s">
        <v>155</v>
      </c>
      <c r="AD86">
        <v>4</v>
      </c>
      <c r="AE86">
        <v>5</v>
      </c>
      <c r="AF86">
        <v>0</v>
      </c>
      <c r="AG86">
        <v>0.95699999999999996</v>
      </c>
      <c r="AH86">
        <v>0.317</v>
      </c>
      <c r="AI86">
        <v>0</v>
      </c>
    </row>
    <row r="87" spans="1:35" x14ac:dyDescent="0.25">
      <c r="A87">
        <v>259</v>
      </c>
      <c r="B87" t="s">
        <v>35</v>
      </c>
      <c r="C87">
        <v>3</v>
      </c>
      <c r="D87" t="s">
        <v>36</v>
      </c>
      <c r="E87">
        <v>1</v>
      </c>
      <c r="F87" t="s">
        <v>259</v>
      </c>
      <c r="G87">
        <v>1</v>
      </c>
      <c r="H87">
        <v>3</v>
      </c>
      <c r="I87">
        <v>2</v>
      </c>
      <c r="J87">
        <v>14</v>
      </c>
      <c r="K87">
        <v>9</v>
      </c>
      <c r="L87">
        <v>3</v>
      </c>
      <c r="M87">
        <v>1</v>
      </c>
      <c r="N87" t="s">
        <v>88</v>
      </c>
      <c r="O87" t="s">
        <v>39</v>
      </c>
      <c r="P87" t="s">
        <v>89</v>
      </c>
      <c r="Q87" t="s">
        <v>90</v>
      </c>
      <c r="R87" t="s">
        <v>91</v>
      </c>
      <c r="S87" t="s">
        <v>92</v>
      </c>
      <c r="T87" t="s">
        <v>93</v>
      </c>
      <c r="U87">
        <v>5</v>
      </c>
      <c r="V87" t="s">
        <v>94</v>
      </c>
      <c r="W87" t="s">
        <v>47</v>
      </c>
      <c r="X87" t="s">
        <v>100</v>
      </c>
      <c r="Y87">
        <v>2</v>
      </c>
      <c r="Z87">
        <v>2</v>
      </c>
      <c r="AA87">
        <v>48</v>
      </c>
      <c r="AB87">
        <v>3.0000000000000001E-3</v>
      </c>
      <c r="AC87" t="s">
        <v>94</v>
      </c>
      <c r="AD87">
        <v>3</v>
      </c>
      <c r="AE87">
        <v>1</v>
      </c>
      <c r="AF87">
        <v>0</v>
      </c>
      <c r="AG87">
        <v>1.468</v>
      </c>
      <c r="AH87">
        <v>1.0660000000000001</v>
      </c>
      <c r="AI87">
        <v>0</v>
      </c>
    </row>
    <row r="88" spans="1:35" x14ac:dyDescent="0.25">
      <c r="A88">
        <v>259</v>
      </c>
      <c r="B88" t="s">
        <v>35</v>
      </c>
      <c r="C88">
        <v>3</v>
      </c>
      <c r="D88" t="s">
        <v>36</v>
      </c>
      <c r="E88">
        <v>1</v>
      </c>
      <c r="F88" t="s">
        <v>259</v>
      </c>
      <c r="G88">
        <v>1</v>
      </c>
      <c r="H88">
        <v>3</v>
      </c>
      <c r="I88">
        <v>2</v>
      </c>
      <c r="J88">
        <v>15</v>
      </c>
      <c r="K88">
        <v>8</v>
      </c>
      <c r="L88">
        <v>40</v>
      </c>
      <c r="M88">
        <v>2</v>
      </c>
      <c r="N88" t="s">
        <v>84</v>
      </c>
      <c r="O88" t="s">
        <v>39</v>
      </c>
      <c r="P88" t="s">
        <v>64</v>
      </c>
      <c r="Q88" t="s">
        <v>65</v>
      </c>
      <c r="R88" t="s">
        <v>42</v>
      </c>
      <c r="S88" t="s">
        <v>43</v>
      </c>
      <c r="T88" t="s">
        <v>67</v>
      </c>
      <c r="U88">
        <v>1</v>
      </c>
      <c r="V88" t="s">
        <v>85</v>
      </c>
      <c r="W88" t="s">
        <v>162</v>
      </c>
      <c r="X88" t="s">
        <v>139</v>
      </c>
      <c r="Y88">
        <v>2</v>
      </c>
      <c r="Z88">
        <v>2</v>
      </c>
      <c r="AA88">
        <v>48</v>
      </c>
      <c r="AB88">
        <v>2E-3</v>
      </c>
      <c r="AC88" t="s">
        <v>162</v>
      </c>
      <c r="AD88">
        <v>4</v>
      </c>
      <c r="AE88">
        <v>5</v>
      </c>
      <c r="AF88">
        <v>0</v>
      </c>
      <c r="AG88">
        <v>1.2869999999999999</v>
      </c>
      <c r="AH88">
        <v>0.45</v>
      </c>
      <c r="AI88">
        <v>0</v>
      </c>
    </row>
    <row r="89" spans="1:35" x14ac:dyDescent="0.25">
      <c r="A89">
        <v>259</v>
      </c>
      <c r="B89" t="s">
        <v>35</v>
      </c>
      <c r="C89">
        <v>3</v>
      </c>
      <c r="D89" t="s">
        <v>36</v>
      </c>
      <c r="E89">
        <v>1</v>
      </c>
      <c r="F89" t="s">
        <v>259</v>
      </c>
      <c r="G89">
        <v>1</v>
      </c>
      <c r="H89">
        <v>3</v>
      </c>
      <c r="I89">
        <v>2</v>
      </c>
      <c r="J89">
        <v>16</v>
      </c>
      <c r="K89">
        <v>22</v>
      </c>
      <c r="L89">
        <v>46</v>
      </c>
      <c r="M89">
        <v>2</v>
      </c>
      <c r="N89" t="s">
        <v>189</v>
      </c>
      <c r="O89" t="s">
        <v>39</v>
      </c>
      <c r="P89" t="s">
        <v>190</v>
      </c>
      <c r="Q89" t="s">
        <v>191</v>
      </c>
      <c r="R89" t="s">
        <v>42</v>
      </c>
      <c r="S89" t="s">
        <v>43</v>
      </c>
      <c r="T89" t="s">
        <v>45</v>
      </c>
      <c r="U89">
        <v>4</v>
      </c>
      <c r="V89" t="s">
        <v>149</v>
      </c>
      <c r="W89" t="s">
        <v>96</v>
      </c>
      <c r="X89" t="s">
        <v>56</v>
      </c>
      <c r="Y89">
        <v>1</v>
      </c>
      <c r="Z89">
        <v>2</v>
      </c>
      <c r="AA89">
        <v>48</v>
      </c>
      <c r="AB89">
        <v>3.0000000000000001E-3</v>
      </c>
      <c r="AC89" t="s">
        <v>149</v>
      </c>
      <c r="AD89">
        <v>2</v>
      </c>
      <c r="AE89">
        <v>1</v>
      </c>
      <c r="AF89">
        <v>0</v>
      </c>
      <c r="AG89">
        <v>2.12</v>
      </c>
      <c r="AH89">
        <v>0.51700000000000002</v>
      </c>
      <c r="AI89">
        <v>0</v>
      </c>
    </row>
    <row r="90" spans="1:35" x14ac:dyDescent="0.25">
      <c r="A90">
        <v>259</v>
      </c>
      <c r="B90" t="s">
        <v>35</v>
      </c>
      <c r="C90">
        <v>3</v>
      </c>
      <c r="D90" t="s">
        <v>36</v>
      </c>
      <c r="E90">
        <v>1</v>
      </c>
      <c r="F90" t="s">
        <v>259</v>
      </c>
      <c r="G90">
        <v>1</v>
      </c>
      <c r="H90">
        <v>3</v>
      </c>
      <c r="I90">
        <v>2</v>
      </c>
      <c r="J90">
        <v>17</v>
      </c>
      <c r="K90">
        <v>24</v>
      </c>
      <c r="L90">
        <v>10</v>
      </c>
      <c r="M90">
        <v>1</v>
      </c>
      <c r="N90" t="s">
        <v>201</v>
      </c>
      <c r="O90" t="s">
        <v>39</v>
      </c>
      <c r="P90" t="s">
        <v>202</v>
      </c>
      <c r="Q90" t="s">
        <v>203</v>
      </c>
      <c r="R90" t="s">
        <v>51</v>
      </c>
      <c r="S90" t="s">
        <v>52</v>
      </c>
      <c r="T90" t="s">
        <v>172</v>
      </c>
      <c r="U90">
        <v>1</v>
      </c>
      <c r="V90" t="s">
        <v>102</v>
      </c>
      <c r="W90" t="s">
        <v>95</v>
      </c>
      <c r="X90" t="s">
        <v>103</v>
      </c>
      <c r="Y90">
        <v>2</v>
      </c>
      <c r="Z90">
        <v>2</v>
      </c>
      <c r="AA90">
        <v>48</v>
      </c>
      <c r="AB90">
        <v>4.0000000000000001E-3</v>
      </c>
      <c r="AC90" t="s">
        <v>172</v>
      </c>
      <c r="AD90">
        <v>1</v>
      </c>
      <c r="AE90">
        <v>1</v>
      </c>
      <c r="AF90">
        <v>1</v>
      </c>
      <c r="AG90">
        <v>2.173</v>
      </c>
      <c r="AH90">
        <v>0.28299999999999997</v>
      </c>
      <c r="AI90">
        <v>0</v>
      </c>
    </row>
    <row r="91" spans="1:35" x14ac:dyDescent="0.25">
      <c r="A91">
        <v>259</v>
      </c>
      <c r="B91" t="s">
        <v>35</v>
      </c>
      <c r="C91">
        <v>3</v>
      </c>
      <c r="D91" t="s">
        <v>36</v>
      </c>
      <c r="E91">
        <v>1</v>
      </c>
      <c r="F91" t="s">
        <v>259</v>
      </c>
      <c r="G91">
        <v>1</v>
      </c>
      <c r="H91">
        <v>3</v>
      </c>
      <c r="I91">
        <v>2</v>
      </c>
      <c r="J91">
        <v>18</v>
      </c>
      <c r="K91">
        <v>15</v>
      </c>
      <c r="L91">
        <v>7</v>
      </c>
      <c r="M91">
        <v>1</v>
      </c>
      <c r="N91" t="s">
        <v>205</v>
      </c>
      <c r="O91" t="s">
        <v>39</v>
      </c>
      <c r="P91" t="s">
        <v>196</v>
      </c>
      <c r="Q91" t="s">
        <v>197</v>
      </c>
      <c r="R91" t="s">
        <v>58</v>
      </c>
      <c r="S91" t="s">
        <v>59</v>
      </c>
      <c r="T91" t="s">
        <v>156</v>
      </c>
      <c r="U91">
        <v>2</v>
      </c>
      <c r="V91" t="s">
        <v>147</v>
      </c>
      <c r="W91" t="s">
        <v>161</v>
      </c>
      <c r="X91" t="s">
        <v>69</v>
      </c>
      <c r="Y91">
        <v>2</v>
      </c>
      <c r="Z91">
        <v>2</v>
      </c>
      <c r="AA91">
        <v>48</v>
      </c>
      <c r="AB91">
        <v>2E-3</v>
      </c>
      <c r="AC91" t="s">
        <v>156</v>
      </c>
      <c r="AD91">
        <v>1</v>
      </c>
      <c r="AE91">
        <v>2</v>
      </c>
      <c r="AF91">
        <v>1</v>
      </c>
      <c r="AG91">
        <v>2.2229999999999999</v>
      </c>
      <c r="AH91">
        <v>0.73299999999999998</v>
      </c>
      <c r="AI91">
        <v>0</v>
      </c>
    </row>
    <row r="92" spans="1:35" x14ac:dyDescent="0.25">
      <c r="A92">
        <v>259</v>
      </c>
      <c r="B92" t="s">
        <v>35</v>
      </c>
      <c r="C92">
        <v>3</v>
      </c>
      <c r="D92" t="s">
        <v>36</v>
      </c>
      <c r="E92">
        <v>1</v>
      </c>
      <c r="F92" t="s">
        <v>259</v>
      </c>
      <c r="G92">
        <v>1</v>
      </c>
      <c r="H92">
        <v>3</v>
      </c>
      <c r="I92">
        <v>2</v>
      </c>
      <c r="J92">
        <v>19</v>
      </c>
      <c r="K92">
        <v>1</v>
      </c>
      <c r="L92">
        <v>47</v>
      </c>
      <c r="M92">
        <v>2</v>
      </c>
      <c r="N92" t="s">
        <v>57</v>
      </c>
      <c r="O92" t="s">
        <v>39</v>
      </c>
      <c r="P92" t="s">
        <v>40</v>
      </c>
      <c r="Q92" t="s">
        <v>41</v>
      </c>
      <c r="R92" t="s">
        <v>58</v>
      </c>
      <c r="S92" t="s">
        <v>59</v>
      </c>
      <c r="T92" t="s">
        <v>60</v>
      </c>
      <c r="U92">
        <v>1</v>
      </c>
      <c r="V92" t="s">
        <v>44</v>
      </c>
      <c r="W92" t="s">
        <v>74</v>
      </c>
      <c r="X92" t="s">
        <v>86</v>
      </c>
      <c r="Y92">
        <v>1</v>
      </c>
      <c r="Z92">
        <v>2</v>
      </c>
      <c r="AA92">
        <v>48</v>
      </c>
      <c r="AB92">
        <v>3.0000000000000001E-3</v>
      </c>
      <c r="AC92" t="s">
        <v>60</v>
      </c>
      <c r="AD92">
        <v>1</v>
      </c>
      <c r="AE92">
        <v>1</v>
      </c>
      <c r="AF92">
        <v>1</v>
      </c>
      <c r="AG92">
        <v>2.032</v>
      </c>
      <c r="AH92">
        <v>0.6</v>
      </c>
      <c r="AI92">
        <v>0</v>
      </c>
    </row>
    <row r="93" spans="1:35" x14ac:dyDescent="0.25">
      <c r="A93">
        <v>259</v>
      </c>
      <c r="B93" t="s">
        <v>35</v>
      </c>
      <c r="C93">
        <v>3</v>
      </c>
      <c r="D93" t="s">
        <v>36</v>
      </c>
      <c r="E93">
        <v>1</v>
      </c>
      <c r="F93" t="s">
        <v>259</v>
      </c>
      <c r="G93">
        <v>1</v>
      </c>
      <c r="H93">
        <v>3</v>
      </c>
      <c r="I93">
        <v>2</v>
      </c>
      <c r="J93">
        <v>20</v>
      </c>
      <c r="K93">
        <v>17</v>
      </c>
      <c r="L93">
        <v>41</v>
      </c>
      <c r="M93">
        <v>2</v>
      </c>
      <c r="N93" t="s">
        <v>198</v>
      </c>
      <c r="O93" t="s">
        <v>39</v>
      </c>
      <c r="P93" t="s">
        <v>199</v>
      </c>
      <c r="Q93" t="s">
        <v>200</v>
      </c>
      <c r="R93" t="s">
        <v>58</v>
      </c>
      <c r="S93" t="s">
        <v>59</v>
      </c>
      <c r="T93" t="s">
        <v>138</v>
      </c>
      <c r="U93">
        <v>4</v>
      </c>
      <c r="V93" t="s">
        <v>66</v>
      </c>
      <c r="W93" t="s">
        <v>108</v>
      </c>
      <c r="X93" t="s">
        <v>179</v>
      </c>
      <c r="Y93">
        <v>2</v>
      </c>
      <c r="Z93">
        <v>2</v>
      </c>
      <c r="AA93">
        <v>48</v>
      </c>
      <c r="AB93">
        <v>4.0000000000000001E-3</v>
      </c>
      <c r="AC93" t="s">
        <v>179</v>
      </c>
      <c r="AD93">
        <v>4</v>
      </c>
      <c r="AE93">
        <v>2</v>
      </c>
      <c r="AF93">
        <v>0</v>
      </c>
      <c r="AG93">
        <v>2.4089999999999998</v>
      </c>
      <c r="AH93">
        <v>0.93300000000000005</v>
      </c>
      <c r="AI93">
        <v>0</v>
      </c>
    </row>
    <row r="94" spans="1:35" x14ac:dyDescent="0.25">
      <c r="A94">
        <v>259</v>
      </c>
      <c r="B94" t="s">
        <v>35</v>
      </c>
      <c r="C94">
        <v>3</v>
      </c>
      <c r="D94" t="s">
        <v>36</v>
      </c>
      <c r="E94">
        <v>1</v>
      </c>
      <c r="F94" t="s">
        <v>259</v>
      </c>
      <c r="G94">
        <v>1</v>
      </c>
      <c r="H94">
        <v>3</v>
      </c>
      <c r="I94">
        <v>2</v>
      </c>
      <c r="J94">
        <v>21</v>
      </c>
      <c r="K94">
        <v>6</v>
      </c>
      <c r="L94">
        <v>38</v>
      </c>
      <c r="M94">
        <v>2</v>
      </c>
      <c r="N94" t="s">
        <v>48</v>
      </c>
      <c r="O94" t="s">
        <v>39</v>
      </c>
      <c r="P94" t="s">
        <v>49</v>
      </c>
      <c r="Q94" t="s">
        <v>50</v>
      </c>
      <c r="R94" t="s">
        <v>51</v>
      </c>
      <c r="S94" t="s">
        <v>52</v>
      </c>
      <c r="T94" t="s">
        <v>53</v>
      </c>
      <c r="U94">
        <v>5</v>
      </c>
      <c r="V94" t="s">
        <v>54</v>
      </c>
      <c r="W94" t="s">
        <v>46</v>
      </c>
      <c r="X94" t="s">
        <v>55</v>
      </c>
      <c r="Y94">
        <v>1</v>
      </c>
      <c r="Z94">
        <v>2</v>
      </c>
      <c r="AA94">
        <v>48</v>
      </c>
      <c r="AB94">
        <v>2E-3</v>
      </c>
      <c r="AC94" t="s">
        <v>46</v>
      </c>
      <c r="AD94">
        <v>4</v>
      </c>
      <c r="AE94">
        <v>1</v>
      </c>
      <c r="AF94">
        <v>0</v>
      </c>
      <c r="AG94">
        <v>2.5409999999999999</v>
      </c>
      <c r="AH94">
        <v>0.45</v>
      </c>
      <c r="AI94">
        <v>0</v>
      </c>
    </row>
    <row r="95" spans="1:35" x14ac:dyDescent="0.25">
      <c r="A95">
        <v>259</v>
      </c>
      <c r="B95" t="s">
        <v>35</v>
      </c>
      <c r="C95">
        <v>3</v>
      </c>
      <c r="D95" t="s">
        <v>36</v>
      </c>
      <c r="E95">
        <v>1</v>
      </c>
      <c r="F95" t="s">
        <v>259</v>
      </c>
      <c r="G95">
        <v>1</v>
      </c>
      <c r="H95">
        <v>3</v>
      </c>
      <c r="I95">
        <v>2</v>
      </c>
      <c r="J95">
        <v>22</v>
      </c>
      <c r="K95">
        <v>13</v>
      </c>
      <c r="L95">
        <v>11</v>
      </c>
      <c r="M95">
        <v>1</v>
      </c>
      <c r="N95" t="s">
        <v>213</v>
      </c>
      <c r="O95" t="s">
        <v>39</v>
      </c>
      <c r="P95" t="s">
        <v>207</v>
      </c>
      <c r="Q95" t="s">
        <v>208</v>
      </c>
      <c r="R95" t="s">
        <v>91</v>
      </c>
      <c r="S95" t="s">
        <v>92</v>
      </c>
      <c r="T95" t="s">
        <v>106</v>
      </c>
      <c r="U95">
        <v>1</v>
      </c>
      <c r="V95" t="s">
        <v>131</v>
      </c>
      <c r="W95" t="s">
        <v>119</v>
      </c>
      <c r="X95" t="s">
        <v>132</v>
      </c>
      <c r="Y95">
        <v>1</v>
      </c>
      <c r="Z95">
        <v>2</v>
      </c>
      <c r="AA95">
        <v>48</v>
      </c>
      <c r="AB95">
        <v>2E-3</v>
      </c>
      <c r="AC95" t="s">
        <v>131</v>
      </c>
      <c r="AD95">
        <v>2</v>
      </c>
      <c r="AE95">
        <v>4</v>
      </c>
      <c r="AF95">
        <v>0</v>
      </c>
      <c r="AG95">
        <v>1.7629999999999999</v>
      </c>
      <c r="AH95">
        <v>0.41699999999999998</v>
      </c>
      <c r="AI95">
        <v>0</v>
      </c>
    </row>
    <row r="96" spans="1:35" x14ac:dyDescent="0.25">
      <c r="A96">
        <v>259</v>
      </c>
      <c r="B96" t="s">
        <v>35</v>
      </c>
      <c r="C96">
        <v>3</v>
      </c>
      <c r="D96" t="s">
        <v>36</v>
      </c>
      <c r="E96">
        <v>1</v>
      </c>
      <c r="F96" t="s">
        <v>259</v>
      </c>
      <c r="G96">
        <v>1</v>
      </c>
      <c r="H96">
        <v>3</v>
      </c>
      <c r="I96">
        <v>2</v>
      </c>
      <c r="J96">
        <v>23</v>
      </c>
      <c r="K96">
        <v>12</v>
      </c>
      <c r="L96">
        <v>44</v>
      </c>
      <c r="M96">
        <v>2</v>
      </c>
      <c r="N96" t="s">
        <v>76</v>
      </c>
      <c r="O96" t="s">
        <v>39</v>
      </c>
      <c r="P96" t="s">
        <v>77</v>
      </c>
      <c r="Q96" t="s">
        <v>78</v>
      </c>
      <c r="R96" t="s">
        <v>51</v>
      </c>
      <c r="S96" t="s">
        <v>52</v>
      </c>
      <c r="T96" t="s">
        <v>79</v>
      </c>
      <c r="U96">
        <v>4</v>
      </c>
      <c r="V96" t="s">
        <v>80</v>
      </c>
      <c r="W96" t="s">
        <v>146</v>
      </c>
      <c r="X96" t="s">
        <v>124</v>
      </c>
      <c r="Y96">
        <v>1</v>
      </c>
      <c r="Z96">
        <v>2</v>
      </c>
      <c r="AA96">
        <v>48</v>
      </c>
      <c r="AB96">
        <v>4.0000000000000001E-3</v>
      </c>
      <c r="AC96" t="s">
        <v>80</v>
      </c>
      <c r="AD96">
        <v>2</v>
      </c>
      <c r="AE96">
        <v>2</v>
      </c>
      <c r="AF96">
        <v>0</v>
      </c>
      <c r="AG96">
        <v>2.4390000000000001</v>
      </c>
      <c r="AH96">
        <v>0.83299999999999996</v>
      </c>
      <c r="AI96">
        <v>0</v>
      </c>
    </row>
    <row r="97" spans="1:35" x14ac:dyDescent="0.25">
      <c r="A97">
        <v>259</v>
      </c>
      <c r="B97" t="s">
        <v>35</v>
      </c>
      <c r="C97">
        <v>3</v>
      </c>
      <c r="D97" t="s">
        <v>36</v>
      </c>
      <c r="E97">
        <v>1</v>
      </c>
      <c r="F97" t="s">
        <v>259</v>
      </c>
      <c r="G97">
        <v>1</v>
      </c>
      <c r="H97">
        <v>3</v>
      </c>
      <c r="I97">
        <v>2</v>
      </c>
      <c r="J97">
        <v>24</v>
      </c>
      <c r="K97">
        <v>19</v>
      </c>
      <c r="L97">
        <v>5</v>
      </c>
      <c r="M97">
        <v>1</v>
      </c>
      <c r="N97" t="s">
        <v>192</v>
      </c>
      <c r="O97" t="s">
        <v>39</v>
      </c>
      <c r="P97" t="s">
        <v>193</v>
      </c>
      <c r="Q97" t="s">
        <v>194</v>
      </c>
      <c r="R97" t="s">
        <v>51</v>
      </c>
      <c r="S97" t="s">
        <v>52</v>
      </c>
      <c r="T97" t="s">
        <v>144</v>
      </c>
      <c r="U97">
        <v>1</v>
      </c>
      <c r="V97" t="s">
        <v>53</v>
      </c>
      <c r="W97" t="s">
        <v>107</v>
      </c>
      <c r="X97" t="s">
        <v>211</v>
      </c>
      <c r="Y97">
        <v>2</v>
      </c>
      <c r="Z97">
        <v>2</v>
      </c>
      <c r="AA97">
        <v>48</v>
      </c>
      <c r="AB97">
        <v>4.0000000000000001E-3</v>
      </c>
      <c r="AC97" t="s">
        <v>211</v>
      </c>
      <c r="AD97">
        <v>4</v>
      </c>
      <c r="AE97">
        <v>5</v>
      </c>
      <c r="AF97">
        <v>0</v>
      </c>
      <c r="AG97">
        <v>2.4369999999999998</v>
      </c>
      <c r="AH97">
        <v>0.3</v>
      </c>
      <c r="AI97">
        <v>0</v>
      </c>
    </row>
    <row r="98" spans="1:35" x14ac:dyDescent="0.25">
      <c r="A98">
        <v>259</v>
      </c>
      <c r="B98" t="s">
        <v>35</v>
      </c>
      <c r="C98">
        <v>3</v>
      </c>
      <c r="D98" t="s">
        <v>36</v>
      </c>
      <c r="E98">
        <v>1</v>
      </c>
      <c r="F98" t="s">
        <v>259</v>
      </c>
      <c r="G98">
        <v>1</v>
      </c>
      <c r="H98">
        <v>3</v>
      </c>
      <c r="I98">
        <v>2</v>
      </c>
      <c r="J98">
        <v>25</v>
      </c>
      <c r="K98">
        <v>26</v>
      </c>
      <c r="L98">
        <v>72</v>
      </c>
      <c r="M98">
        <v>2</v>
      </c>
      <c r="N98" t="s">
        <v>112</v>
      </c>
      <c r="O98" t="s">
        <v>113</v>
      </c>
      <c r="P98" t="s">
        <v>114</v>
      </c>
      <c r="Q98" t="s">
        <v>115</v>
      </c>
      <c r="R98" t="s">
        <v>114</v>
      </c>
      <c r="S98" t="s">
        <v>43</v>
      </c>
      <c r="T98" t="s">
        <v>104</v>
      </c>
      <c r="U98">
        <v>5</v>
      </c>
      <c r="V98" t="s">
        <v>116</v>
      </c>
      <c r="W98" t="s">
        <v>183</v>
      </c>
      <c r="X98" t="s">
        <v>93</v>
      </c>
      <c r="Y98">
        <v>2</v>
      </c>
      <c r="Z98">
        <v>2</v>
      </c>
      <c r="AA98">
        <v>48</v>
      </c>
      <c r="AB98">
        <v>2E-3</v>
      </c>
      <c r="AC98" t="s">
        <v>116</v>
      </c>
      <c r="AD98">
        <v>3</v>
      </c>
      <c r="AE98">
        <v>2</v>
      </c>
      <c r="AF98">
        <v>0</v>
      </c>
      <c r="AG98">
        <v>1.8440000000000001</v>
      </c>
      <c r="AH98">
        <v>0.48299999999999998</v>
      </c>
      <c r="AI98">
        <v>0</v>
      </c>
    </row>
    <row r="99" spans="1:35" x14ac:dyDescent="0.25">
      <c r="A99">
        <v>259</v>
      </c>
      <c r="B99" t="s">
        <v>35</v>
      </c>
      <c r="C99">
        <v>3</v>
      </c>
      <c r="D99" t="s">
        <v>36</v>
      </c>
      <c r="E99">
        <v>1</v>
      </c>
      <c r="F99" t="s">
        <v>259</v>
      </c>
      <c r="G99">
        <v>1</v>
      </c>
      <c r="H99">
        <v>3</v>
      </c>
      <c r="I99">
        <v>2</v>
      </c>
      <c r="J99">
        <v>26</v>
      </c>
      <c r="K99">
        <v>40</v>
      </c>
      <c r="L99">
        <v>32</v>
      </c>
      <c r="M99">
        <v>1</v>
      </c>
      <c r="N99" t="s">
        <v>234</v>
      </c>
      <c r="O99" t="s">
        <v>113</v>
      </c>
      <c r="P99" t="s">
        <v>114</v>
      </c>
      <c r="Q99" t="s">
        <v>231</v>
      </c>
      <c r="R99" t="s">
        <v>114</v>
      </c>
      <c r="S99" t="s">
        <v>43</v>
      </c>
      <c r="T99" t="s">
        <v>111</v>
      </c>
      <c r="U99">
        <v>2</v>
      </c>
      <c r="V99" t="s">
        <v>81</v>
      </c>
      <c r="W99" t="s">
        <v>106</v>
      </c>
      <c r="X99" t="s">
        <v>103</v>
      </c>
      <c r="Y99">
        <v>2</v>
      </c>
      <c r="Z99">
        <v>2</v>
      </c>
      <c r="AA99">
        <v>48</v>
      </c>
      <c r="AB99">
        <v>2E-3</v>
      </c>
      <c r="AC99" t="s">
        <v>103</v>
      </c>
      <c r="AD99">
        <v>4</v>
      </c>
      <c r="AE99">
        <v>1</v>
      </c>
      <c r="AF99">
        <v>0</v>
      </c>
      <c r="AG99">
        <v>1.833</v>
      </c>
      <c r="AH99">
        <v>0.33300000000000002</v>
      </c>
      <c r="AI99">
        <v>0</v>
      </c>
    </row>
    <row r="100" spans="1:35" x14ac:dyDescent="0.25">
      <c r="A100">
        <v>259</v>
      </c>
      <c r="B100" t="s">
        <v>35</v>
      </c>
      <c r="C100">
        <v>3</v>
      </c>
      <c r="D100" t="s">
        <v>36</v>
      </c>
      <c r="E100">
        <v>1</v>
      </c>
      <c r="F100" t="s">
        <v>259</v>
      </c>
      <c r="G100">
        <v>1</v>
      </c>
      <c r="H100">
        <v>3</v>
      </c>
      <c r="I100">
        <v>2</v>
      </c>
      <c r="J100">
        <v>27</v>
      </c>
      <c r="K100">
        <v>38</v>
      </c>
      <c r="L100">
        <v>36</v>
      </c>
      <c r="M100">
        <v>1</v>
      </c>
      <c r="N100" t="s">
        <v>227</v>
      </c>
      <c r="O100" t="s">
        <v>113</v>
      </c>
      <c r="P100" t="s">
        <v>114</v>
      </c>
      <c r="Q100" t="s">
        <v>220</v>
      </c>
      <c r="R100" t="s">
        <v>114</v>
      </c>
      <c r="S100" t="s">
        <v>43</v>
      </c>
      <c r="T100" t="s">
        <v>116</v>
      </c>
      <c r="U100">
        <v>4</v>
      </c>
      <c r="V100" t="s">
        <v>179</v>
      </c>
      <c r="W100" t="s">
        <v>66</v>
      </c>
      <c r="X100" t="s">
        <v>132</v>
      </c>
      <c r="Y100">
        <v>1</v>
      </c>
      <c r="Z100">
        <v>2</v>
      </c>
      <c r="AA100">
        <v>48</v>
      </c>
      <c r="AB100">
        <v>4.0000000000000001E-3</v>
      </c>
      <c r="AC100" t="s">
        <v>66</v>
      </c>
      <c r="AD100">
        <v>4</v>
      </c>
      <c r="AE100">
        <v>2</v>
      </c>
      <c r="AF100">
        <v>0</v>
      </c>
      <c r="AG100">
        <v>1.474</v>
      </c>
      <c r="AH100">
        <v>0.61699999999999999</v>
      </c>
      <c r="AI100">
        <v>0</v>
      </c>
    </row>
    <row r="101" spans="1:35" x14ac:dyDescent="0.25">
      <c r="A101">
        <v>259</v>
      </c>
      <c r="B101" t="s">
        <v>35</v>
      </c>
      <c r="C101">
        <v>3</v>
      </c>
      <c r="D101" t="s">
        <v>36</v>
      </c>
      <c r="E101">
        <v>1</v>
      </c>
      <c r="F101" t="s">
        <v>259</v>
      </c>
      <c r="G101">
        <v>1</v>
      </c>
      <c r="H101">
        <v>3</v>
      </c>
      <c r="I101">
        <v>2</v>
      </c>
      <c r="J101">
        <v>28</v>
      </c>
      <c r="K101">
        <v>27</v>
      </c>
      <c r="L101">
        <v>25</v>
      </c>
      <c r="M101">
        <v>1</v>
      </c>
      <c r="N101" t="s">
        <v>122</v>
      </c>
      <c r="O101" t="s">
        <v>113</v>
      </c>
      <c r="P101" t="s">
        <v>114</v>
      </c>
      <c r="Q101" t="s">
        <v>123</v>
      </c>
      <c r="R101" t="s">
        <v>114</v>
      </c>
      <c r="S101" t="s">
        <v>59</v>
      </c>
      <c r="T101" t="s">
        <v>124</v>
      </c>
      <c r="U101">
        <v>1</v>
      </c>
      <c r="V101" t="s">
        <v>46</v>
      </c>
      <c r="W101" t="s">
        <v>94</v>
      </c>
      <c r="X101" t="s">
        <v>99</v>
      </c>
      <c r="Y101">
        <v>2</v>
      </c>
      <c r="Z101">
        <v>2</v>
      </c>
      <c r="AA101">
        <v>48</v>
      </c>
      <c r="AB101">
        <v>3.0000000000000001E-3</v>
      </c>
      <c r="AC101" t="s">
        <v>46</v>
      </c>
      <c r="AD101">
        <v>3</v>
      </c>
      <c r="AE101">
        <v>4</v>
      </c>
      <c r="AF101">
        <v>0</v>
      </c>
      <c r="AG101">
        <v>1.0669999999999999</v>
      </c>
      <c r="AH101">
        <v>0.41699999999999998</v>
      </c>
      <c r="AI101">
        <v>0</v>
      </c>
    </row>
    <row r="102" spans="1:35" x14ac:dyDescent="0.25">
      <c r="A102">
        <v>259</v>
      </c>
      <c r="B102" t="s">
        <v>35</v>
      </c>
      <c r="C102">
        <v>3</v>
      </c>
      <c r="D102" t="s">
        <v>36</v>
      </c>
      <c r="E102">
        <v>1</v>
      </c>
      <c r="F102" t="s">
        <v>259</v>
      </c>
      <c r="G102">
        <v>1</v>
      </c>
      <c r="H102">
        <v>3</v>
      </c>
      <c r="I102">
        <v>2</v>
      </c>
      <c r="J102">
        <v>29</v>
      </c>
      <c r="K102">
        <v>46</v>
      </c>
      <c r="L102">
        <v>70</v>
      </c>
      <c r="M102">
        <v>2</v>
      </c>
      <c r="N102" t="s">
        <v>232</v>
      </c>
      <c r="O102" t="s">
        <v>113</v>
      </c>
      <c r="P102" t="s">
        <v>114</v>
      </c>
      <c r="Q102" t="s">
        <v>222</v>
      </c>
      <c r="R102" t="s">
        <v>114</v>
      </c>
      <c r="S102" t="s">
        <v>43</v>
      </c>
      <c r="T102" t="s">
        <v>81</v>
      </c>
      <c r="U102">
        <v>5</v>
      </c>
      <c r="V102" t="s">
        <v>69</v>
      </c>
      <c r="W102" t="s">
        <v>147</v>
      </c>
      <c r="X102" t="s">
        <v>68</v>
      </c>
      <c r="Y102">
        <v>1</v>
      </c>
      <c r="Z102">
        <v>2</v>
      </c>
      <c r="AA102">
        <v>48</v>
      </c>
      <c r="AB102">
        <v>3.0000000000000001E-3</v>
      </c>
      <c r="AC102" t="s">
        <v>68</v>
      </c>
      <c r="AD102">
        <v>4</v>
      </c>
      <c r="AE102">
        <v>4</v>
      </c>
      <c r="AF102">
        <v>0</v>
      </c>
      <c r="AG102">
        <v>1.7729999999999999</v>
      </c>
      <c r="AH102">
        <v>0.28299999999999997</v>
      </c>
      <c r="AI102">
        <v>0</v>
      </c>
    </row>
    <row r="103" spans="1:35" x14ac:dyDescent="0.25">
      <c r="A103">
        <v>259</v>
      </c>
      <c r="B103" t="s">
        <v>35</v>
      </c>
      <c r="C103">
        <v>3</v>
      </c>
      <c r="D103" t="s">
        <v>36</v>
      </c>
      <c r="E103">
        <v>1</v>
      </c>
      <c r="F103" t="s">
        <v>259</v>
      </c>
      <c r="G103">
        <v>1</v>
      </c>
      <c r="H103">
        <v>3</v>
      </c>
      <c r="I103">
        <v>2</v>
      </c>
      <c r="J103">
        <v>30</v>
      </c>
      <c r="K103">
        <v>31</v>
      </c>
      <c r="L103">
        <v>63</v>
      </c>
      <c r="M103">
        <v>2</v>
      </c>
      <c r="N103" t="s">
        <v>140</v>
      </c>
      <c r="O103" t="s">
        <v>113</v>
      </c>
      <c r="P103" t="s">
        <v>114</v>
      </c>
      <c r="Q103" t="s">
        <v>134</v>
      </c>
      <c r="R103" t="s">
        <v>114</v>
      </c>
      <c r="S103" t="s">
        <v>59</v>
      </c>
      <c r="T103" t="s">
        <v>95</v>
      </c>
      <c r="U103">
        <v>5</v>
      </c>
      <c r="V103" t="s">
        <v>100</v>
      </c>
      <c r="W103" t="s">
        <v>79</v>
      </c>
      <c r="X103" t="s">
        <v>141</v>
      </c>
      <c r="Y103">
        <v>1</v>
      </c>
      <c r="Z103">
        <v>2</v>
      </c>
      <c r="AA103">
        <v>48</v>
      </c>
      <c r="AB103">
        <v>5.0000000000000001E-3</v>
      </c>
      <c r="AC103" t="s">
        <v>95</v>
      </c>
      <c r="AD103">
        <v>1</v>
      </c>
      <c r="AE103">
        <v>5</v>
      </c>
      <c r="AF103">
        <v>1</v>
      </c>
      <c r="AG103">
        <v>1.2170000000000001</v>
      </c>
      <c r="AH103">
        <v>0.25</v>
      </c>
      <c r="AI103">
        <v>0</v>
      </c>
    </row>
    <row r="104" spans="1:35" x14ac:dyDescent="0.25">
      <c r="A104">
        <v>259</v>
      </c>
      <c r="B104" t="s">
        <v>35</v>
      </c>
      <c r="C104">
        <v>3</v>
      </c>
      <c r="D104" t="s">
        <v>36</v>
      </c>
      <c r="E104">
        <v>1</v>
      </c>
      <c r="F104" t="s">
        <v>259</v>
      </c>
      <c r="G104">
        <v>1</v>
      </c>
      <c r="H104">
        <v>3</v>
      </c>
      <c r="I104">
        <v>2</v>
      </c>
      <c r="J104">
        <v>31</v>
      </c>
      <c r="K104">
        <v>29</v>
      </c>
      <c r="L104">
        <v>61</v>
      </c>
      <c r="M104">
        <v>2</v>
      </c>
      <c r="N104" t="s">
        <v>125</v>
      </c>
      <c r="O104" t="s">
        <v>113</v>
      </c>
      <c r="P104" t="s">
        <v>114</v>
      </c>
      <c r="Q104" t="s">
        <v>126</v>
      </c>
      <c r="R104" t="s">
        <v>114</v>
      </c>
      <c r="S104" t="s">
        <v>92</v>
      </c>
      <c r="T104" t="s">
        <v>127</v>
      </c>
      <c r="U104">
        <v>4</v>
      </c>
      <c r="V104" t="s">
        <v>128</v>
      </c>
      <c r="W104" t="s">
        <v>161</v>
      </c>
      <c r="X104" t="s">
        <v>131</v>
      </c>
      <c r="Y104">
        <v>1</v>
      </c>
      <c r="Z104">
        <v>2</v>
      </c>
      <c r="AA104">
        <v>48</v>
      </c>
      <c r="AB104">
        <v>2E-3</v>
      </c>
      <c r="AC104" t="s">
        <v>127</v>
      </c>
      <c r="AD104">
        <v>1</v>
      </c>
      <c r="AE104">
        <v>4</v>
      </c>
      <c r="AF104">
        <v>1</v>
      </c>
      <c r="AG104">
        <v>2.0720000000000001</v>
      </c>
      <c r="AH104">
        <v>0.41699999999999998</v>
      </c>
      <c r="AI104">
        <v>0</v>
      </c>
    </row>
    <row r="105" spans="1:35" x14ac:dyDescent="0.25">
      <c r="A105">
        <v>259</v>
      </c>
      <c r="B105" t="s">
        <v>35</v>
      </c>
      <c r="C105">
        <v>3</v>
      </c>
      <c r="D105" t="s">
        <v>36</v>
      </c>
      <c r="E105">
        <v>1</v>
      </c>
      <c r="F105" t="s">
        <v>259</v>
      </c>
      <c r="G105">
        <v>1</v>
      </c>
      <c r="H105">
        <v>3</v>
      </c>
      <c r="I105">
        <v>2</v>
      </c>
      <c r="J105">
        <v>32</v>
      </c>
      <c r="K105">
        <v>34</v>
      </c>
      <c r="L105">
        <v>28</v>
      </c>
      <c r="M105">
        <v>1</v>
      </c>
      <c r="N105" t="s">
        <v>117</v>
      </c>
      <c r="O105" t="s">
        <v>113</v>
      </c>
      <c r="P105" t="s">
        <v>114</v>
      </c>
      <c r="Q105" t="s">
        <v>118</v>
      </c>
      <c r="R105" t="s">
        <v>114</v>
      </c>
      <c r="S105" t="s">
        <v>52</v>
      </c>
      <c r="T105" t="s">
        <v>119</v>
      </c>
      <c r="U105">
        <v>2</v>
      </c>
      <c r="V105" t="s">
        <v>120</v>
      </c>
      <c r="W105" t="s">
        <v>45</v>
      </c>
      <c r="X105" t="s">
        <v>110</v>
      </c>
      <c r="Y105">
        <v>1</v>
      </c>
      <c r="Z105">
        <v>2</v>
      </c>
      <c r="AA105">
        <v>48</v>
      </c>
      <c r="AB105">
        <v>4.0000000000000001E-3</v>
      </c>
      <c r="AC105" t="s">
        <v>120</v>
      </c>
      <c r="AD105">
        <v>2</v>
      </c>
      <c r="AE105">
        <v>5</v>
      </c>
      <c r="AF105">
        <v>0</v>
      </c>
      <c r="AG105">
        <v>1.1779999999999999</v>
      </c>
      <c r="AH105">
        <v>0.35</v>
      </c>
      <c r="AI105">
        <v>0</v>
      </c>
    </row>
    <row r="106" spans="1:35" x14ac:dyDescent="0.25">
      <c r="A106">
        <v>259</v>
      </c>
      <c r="B106" t="s">
        <v>35</v>
      </c>
      <c r="C106">
        <v>3</v>
      </c>
      <c r="D106" t="s">
        <v>36</v>
      </c>
      <c r="E106">
        <v>1</v>
      </c>
      <c r="F106" t="s">
        <v>259</v>
      </c>
      <c r="G106">
        <v>1</v>
      </c>
      <c r="H106">
        <v>3</v>
      </c>
      <c r="I106">
        <v>2</v>
      </c>
      <c r="J106">
        <v>33</v>
      </c>
      <c r="K106">
        <v>35</v>
      </c>
      <c r="L106">
        <v>67</v>
      </c>
      <c r="M106">
        <v>2</v>
      </c>
      <c r="N106" t="s">
        <v>145</v>
      </c>
      <c r="O106" t="s">
        <v>113</v>
      </c>
      <c r="P106" t="s">
        <v>114</v>
      </c>
      <c r="Q106" t="s">
        <v>136</v>
      </c>
      <c r="R106" t="s">
        <v>114</v>
      </c>
      <c r="S106" t="s">
        <v>92</v>
      </c>
      <c r="T106" t="s">
        <v>137</v>
      </c>
      <c r="U106">
        <v>2</v>
      </c>
      <c r="V106" t="s">
        <v>127</v>
      </c>
      <c r="W106" t="s">
        <v>47</v>
      </c>
      <c r="X106" t="s">
        <v>144</v>
      </c>
      <c r="Y106">
        <v>2</v>
      </c>
      <c r="Z106">
        <v>2</v>
      </c>
      <c r="AA106">
        <v>48</v>
      </c>
      <c r="AB106">
        <v>3.0000000000000001E-3</v>
      </c>
      <c r="AC106" t="s">
        <v>144</v>
      </c>
      <c r="AD106">
        <v>4</v>
      </c>
      <c r="AE106">
        <v>1</v>
      </c>
      <c r="AF106">
        <v>0</v>
      </c>
      <c r="AG106">
        <v>1.573</v>
      </c>
      <c r="AH106">
        <v>0.217</v>
      </c>
      <c r="AI106">
        <v>0</v>
      </c>
    </row>
    <row r="107" spans="1:35" x14ac:dyDescent="0.25">
      <c r="A107">
        <v>259</v>
      </c>
      <c r="B107" t="s">
        <v>35</v>
      </c>
      <c r="C107">
        <v>3</v>
      </c>
      <c r="D107" t="s">
        <v>36</v>
      </c>
      <c r="E107">
        <v>1</v>
      </c>
      <c r="F107" t="s">
        <v>259</v>
      </c>
      <c r="G107">
        <v>1</v>
      </c>
      <c r="H107">
        <v>3</v>
      </c>
      <c r="I107">
        <v>2</v>
      </c>
      <c r="J107">
        <v>34</v>
      </c>
      <c r="K107">
        <v>43</v>
      </c>
      <c r="L107">
        <v>29</v>
      </c>
      <c r="M107">
        <v>1</v>
      </c>
      <c r="N107" t="s">
        <v>217</v>
      </c>
      <c r="O107" t="s">
        <v>113</v>
      </c>
      <c r="P107" t="s">
        <v>114</v>
      </c>
      <c r="Q107" t="s">
        <v>218</v>
      </c>
      <c r="R107" t="s">
        <v>114</v>
      </c>
      <c r="S107" t="s">
        <v>52</v>
      </c>
      <c r="T107" t="s">
        <v>214</v>
      </c>
      <c r="U107">
        <v>5</v>
      </c>
      <c r="V107" t="s">
        <v>74</v>
      </c>
      <c r="W107" t="s">
        <v>204</v>
      </c>
      <c r="X107" t="s">
        <v>156</v>
      </c>
      <c r="Y107">
        <v>2</v>
      </c>
      <c r="Z107">
        <v>2</v>
      </c>
      <c r="AA107">
        <v>48</v>
      </c>
      <c r="AB107">
        <v>4.0000000000000001E-3</v>
      </c>
      <c r="AC107" t="s">
        <v>204</v>
      </c>
      <c r="AD107">
        <v>4</v>
      </c>
      <c r="AE107">
        <v>4</v>
      </c>
      <c r="AF107">
        <v>0</v>
      </c>
      <c r="AG107">
        <v>2.524</v>
      </c>
      <c r="AH107">
        <v>0.28299999999999997</v>
      </c>
      <c r="AI107">
        <v>0</v>
      </c>
    </row>
    <row r="108" spans="1:35" x14ac:dyDescent="0.25">
      <c r="A108">
        <v>259</v>
      </c>
      <c r="B108" t="s">
        <v>35</v>
      </c>
      <c r="C108">
        <v>3</v>
      </c>
      <c r="D108" t="s">
        <v>36</v>
      </c>
      <c r="E108">
        <v>1</v>
      </c>
      <c r="F108" t="s">
        <v>259</v>
      </c>
      <c r="G108">
        <v>1</v>
      </c>
      <c r="H108">
        <v>3</v>
      </c>
      <c r="I108">
        <v>2</v>
      </c>
      <c r="J108">
        <v>35</v>
      </c>
      <c r="K108">
        <v>30</v>
      </c>
      <c r="L108">
        <v>62</v>
      </c>
      <c r="M108">
        <v>2</v>
      </c>
      <c r="N108" t="s">
        <v>142</v>
      </c>
      <c r="O108" t="s">
        <v>113</v>
      </c>
      <c r="P108" t="s">
        <v>114</v>
      </c>
      <c r="Q108" t="s">
        <v>126</v>
      </c>
      <c r="R108" t="s">
        <v>114</v>
      </c>
      <c r="S108" t="s">
        <v>52</v>
      </c>
      <c r="T108" t="s">
        <v>128</v>
      </c>
      <c r="U108">
        <v>4</v>
      </c>
      <c r="V108" t="s">
        <v>61</v>
      </c>
      <c r="W108" t="s">
        <v>155</v>
      </c>
      <c r="X108" t="s">
        <v>44</v>
      </c>
      <c r="Y108">
        <v>2</v>
      </c>
      <c r="Z108">
        <v>2</v>
      </c>
      <c r="AA108">
        <v>48</v>
      </c>
      <c r="AB108">
        <v>4.0000000000000001E-3</v>
      </c>
      <c r="AC108" t="s">
        <v>61</v>
      </c>
      <c r="AD108">
        <v>3</v>
      </c>
      <c r="AE108">
        <v>5</v>
      </c>
      <c r="AF108">
        <v>0</v>
      </c>
      <c r="AG108">
        <v>1.9279999999999999</v>
      </c>
      <c r="AH108">
        <v>0.317</v>
      </c>
      <c r="AI108">
        <v>0</v>
      </c>
    </row>
    <row r="109" spans="1:35" x14ac:dyDescent="0.25">
      <c r="A109">
        <v>259</v>
      </c>
      <c r="B109" t="s">
        <v>35</v>
      </c>
      <c r="C109">
        <v>3</v>
      </c>
      <c r="D109" t="s">
        <v>36</v>
      </c>
      <c r="E109">
        <v>1</v>
      </c>
      <c r="F109" t="s">
        <v>259</v>
      </c>
      <c r="G109">
        <v>1</v>
      </c>
      <c r="H109">
        <v>3</v>
      </c>
      <c r="I109">
        <v>2</v>
      </c>
      <c r="J109">
        <v>36</v>
      </c>
      <c r="K109">
        <v>41</v>
      </c>
      <c r="L109">
        <v>65</v>
      </c>
      <c r="M109">
        <v>2</v>
      </c>
      <c r="N109" t="s">
        <v>225</v>
      </c>
      <c r="O109" t="s">
        <v>113</v>
      </c>
      <c r="P109" t="s">
        <v>114</v>
      </c>
      <c r="Q109" t="s">
        <v>226</v>
      </c>
      <c r="R109" t="s">
        <v>114</v>
      </c>
      <c r="S109" t="s">
        <v>59</v>
      </c>
      <c r="T109" t="s">
        <v>87</v>
      </c>
      <c r="U109">
        <v>5</v>
      </c>
      <c r="V109" t="s">
        <v>162</v>
      </c>
      <c r="W109" t="s">
        <v>85</v>
      </c>
      <c r="X109" t="s">
        <v>187</v>
      </c>
      <c r="Y109">
        <v>2</v>
      </c>
      <c r="Z109">
        <v>2</v>
      </c>
      <c r="AA109">
        <v>48</v>
      </c>
      <c r="AB109">
        <v>2E-3</v>
      </c>
      <c r="AC109" t="s">
        <v>162</v>
      </c>
      <c r="AD109">
        <v>3</v>
      </c>
      <c r="AE109">
        <v>1</v>
      </c>
      <c r="AF109">
        <v>0</v>
      </c>
      <c r="AG109">
        <v>1.5289999999999999</v>
      </c>
      <c r="AH109">
        <v>0.26700000000000002</v>
      </c>
      <c r="AI109">
        <v>0</v>
      </c>
    </row>
    <row r="110" spans="1:35" x14ac:dyDescent="0.25">
      <c r="A110">
        <v>259</v>
      </c>
      <c r="B110" t="s">
        <v>35</v>
      </c>
      <c r="C110">
        <v>3</v>
      </c>
      <c r="D110" t="s">
        <v>36</v>
      </c>
      <c r="E110">
        <v>1</v>
      </c>
      <c r="F110" t="s">
        <v>259</v>
      </c>
      <c r="G110">
        <v>1</v>
      </c>
      <c r="H110">
        <v>3</v>
      </c>
      <c r="I110">
        <v>2</v>
      </c>
      <c r="J110">
        <v>37</v>
      </c>
      <c r="K110">
        <v>47</v>
      </c>
      <c r="L110">
        <v>33</v>
      </c>
      <c r="M110">
        <v>1</v>
      </c>
      <c r="N110" t="s">
        <v>223</v>
      </c>
      <c r="O110" t="s">
        <v>113</v>
      </c>
      <c r="P110" t="s">
        <v>114</v>
      </c>
      <c r="Q110" t="s">
        <v>224</v>
      </c>
      <c r="R110" t="s">
        <v>114</v>
      </c>
      <c r="S110" t="s">
        <v>59</v>
      </c>
      <c r="T110" t="s">
        <v>56</v>
      </c>
      <c r="U110">
        <v>5</v>
      </c>
      <c r="V110" t="s">
        <v>95</v>
      </c>
      <c r="W110" t="s">
        <v>82</v>
      </c>
      <c r="X110" t="s">
        <v>67</v>
      </c>
      <c r="Y110">
        <v>2</v>
      </c>
      <c r="Z110">
        <v>2</v>
      </c>
      <c r="AA110">
        <v>48</v>
      </c>
      <c r="AB110">
        <v>2E-3</v>
      </c>
      <c r="AC110" t="s">
        <v>82</v>
      </c>
      <c r="AD110">
        <v>4</v>
      </c>
      <c r="AE110">
        <v>2</v>
      </c>
      <c r="AF110">
        <v>0</v>
      </c>
      <c r="AG110">
        <v>1.2310000000000001</v>
      </c>
      <c r="AH110">
        <v>0.3</v>
      </c>
      <c r="AI110">
        <v>0</v>
      </c>
    </row>
    <row r="111" spans="1:35" x14ac:dyDescent="0.25">
      <c r="A111">
        <v>259</v>
      </c>
      <c r="B111" t="s">
        <v>35</v>
      </c>
      <c r="C111">
        <v>3</v>
      </c>
      <c r="D111" t="s">
        <v>36</v>
      </c>
      <c r="E111">
        <v>1</v>
      </c>
      <c r="F111" t="s">
        <v>259</v>
      </c>
      <c r="G111">
        <v>1</v>
      </c>
      <c r="H111">
        <v>3</v>
      </c>
      <c r="I111">
        <v>2</v>
      </c>
      <c r="J111">
        <v>38</v>
      </c>
      <c r="K111">
        <v>33</v>
      </c>
      <c r="L111">
        <v>27</v>
      </c>
      <c r="M111">
        <v>1</v>
      </c>
      <c r="N111" t="s">
        <v>129</v>
      </c>
      <c r="O111" t="s">
        <v>113</v>
      </c>
      <c r="P111" t="s">
        <v>114</v>
      </c>
      <c r="Q111" t="s">
        <v>118</v>
      </c>
      <c r="R111" t="s">
        <v>114</v>
      </c>
      <c r="S111" t="s">
        <v>92</v>
      </c>
      <c r="T111" t="s">
        <v>120</v>
      </c>
      <c r="U111">
        <v>2</v>
      </c>
      <c r="V111" t="s">
        <v>130</v>
      </c>
      <c r="W111" t="s">
        <v>96</v>
      </c>
      <c r="X111" t="s">
        <v>138</v>
      </c>
      <c r="Y111">
        <v>2</v>
      </c>
      <c r="Z111">
        <v>2</v>
      </c>
      <c r="AA111">
        <v>48</v>
      </c>
      <c r="AB111">
        <v>4.0000000000000001E-3</v>
      </c>
      <c r="AC111" t="s">
        <v>138</v>
      </c>
      <c r="AD111">
        <v>4</v>
      </c>
      <c r="AE111">
        <v>4</v>
      </c>
      <c r="AF111">
        <v>0</v>
      </c>
      <c r="AG111">
        <v>1.1679999999999999</v>
      </c>
      <c r="AH111">
        <v>0.317</v>
      </c>
      <c r="AI111">
        <v>0</v>
      </c>
    </row>
    <row r="112" spans="1:35" x14ac:dyDescent="0.25">
      <c r="A112">
        <v>259</v>
      </c>
      <c r="B112" t="s">
        <v>35</v>
      </c>
      <c r="C112">
        <v>3</v>
      </c>
      <c r="D112" t="s">
        <v>36</v>
      </c>
      <c r="E112">
        <v>1</v>
      </c>
      <c r="F112" t="s">
        <v>259</v>
      </c>
      <c r="G112">
        <v>1</v>
      </c>
      <c r="H112">
        <v>3</v>
      </c>
      <c r="I112">
        <v>2</v>
      </c>
      <c r="J112">
        <v>39</v>
      </c>
      <c r="K112">
        <v>42</v>
      </c>
      <c r="L112">
        <v>66</v>
      </c>
      <c r="M112">
        <v>2</v>
      </c>
      <c r="N112" t="s">
        <v>229</v>
      </c>
      <c r="O112" t="s">
        <v>113</v>
      </c>
      <c r="P112" t="s">
        <v>114</v>
      </c>
      <c r="Q112" t="s">
        <v>226</v>
      </c>
      <c r="R112" t="s">
        <v>114</v>
      </c>
      <c r="S112" t="s">
        <v>92</v>
      </c>
      <c r="T112" t="s">
        <v>209</v>
      </c>
      <c r="U112">
        <v>1</v>
      </c>
      <c r="V112" t="s">
        <v>87</v>
      </c>
      <c r="W112" t="s">
        <v>53</v>
      </c>
      <c r="X112" t="s">
        <v>121</v>
      </c>
      <c r="Y112">
        <v>1</v>
      </c>
      <c r="Z112">
        <v>2</v>
      </c>
      <c r="AA112">
        <v>48</v>
      </c>
      <c r="AB112">
        <v>2E-3</v>
      </c>
      <c r="AC112" t="s">
        <v>209</v>
      </c>
      <c r="AD112">
        <v>1</v>
      </c>
      <c r="AE112">
        <v>1</v>
      </c>
      <c r="AF112">
        <v>1</v>
      </c>
      <c r="AG112">
        <v>1.8879999999999999</v>
      </c>
      <c r="AH112">
        <v>0.35</v>
      </c>
      <c r="AI112">
        <v>0</v>
      </c>
    </row>
    <row r="113" spans="1:35" x14ac:dyDescent="0.25">
      <c r="A113">
        <v>259</v>
      </c>
      <c r="B113" t="s">
        <v>35</v>
      </c>
      <c r="C113">
        <v>3</v>
      </c>
      <c r="D113" t="s">
        <v>36</v>
      </c>
      <c r="E113">
        <v>1</v>
      </c>
      <c r="F113" t="s">
        <v>259</v>
      </c>
      <c r="G113">
        <v>1</v>
      </c>
      <c r="H113">
        <v>3</v>
      </c>
      <c r="I113">
        <v>2</v>
      </c>
      <c r="J113">
        <v>40</v>
      </c>
      <c r="K113">
        <v>48</v>
      </c>
      <c r="L113">
        <v>34</v>
      </c>
      <c r="M113">
        <v>1</v>
      </c>
      <c r="N113" t="s">
        <v>228</v>
      </c>
      <c r="O113" t="s">
        <v>113</v>
      </c>
      <c r="P113" t="s">
        <v>114</v>
      </c>
      <c r="Q113" t="s">
        <v>224</v>
      </c>
      <c r="R113" t="s">
        <v>114</v>
      </c>
      <c r="S113" t="s">
        <v>52</v>
      </c>
      <c r="T113" t="s">
        <v>61</v>
      </c>
      <c r="U113">
        <v>1</v>
      </c>
      <c r="V113" t="s">
        <v>56</v>
      </c>
      <c r="W113" t="s">
        <v>185</v>
      </c>
      <c r="X113" t="s">
        <v>55</v>
      </c>
      <c r="Y113">
        <v>1</v>
      </c>
      <c r="Z113">
        <v>2</v>
      </c>
      <c r="AA113">
        <v>48</v>
      </c>
      <c r="AB113">
        <v>1.4999999999999999E-2</v>
      </c>
      <c r="AC113" t="s">
        <v>185</v>
      </c>
      <c r="AD113">
        <v>4</v>
      </c>
      <c r="AE113">
        <v>5</v>
      </c>
      <c r="AF113">
        <v>0</v>
      </c>
      <c r="AG113">
        <v>1.788</v>
      </c>
      <c r="AH113">
        <v>0.35</v>
      </c>
      <c r="AI113">
        <v>0</v>
      </c>
    </row>
    <row r="114" spans="1:35" x14ac:dyDescent="0.25">
      <c r="A114">
        <v>259</v>
      </c>
      <c r="B114" t="s">
        <v>35</v>
      </c>
      <c r="C114">
        <v>3</v>
      </c>
      <c r="D114" t="s">
        <v>36</v>
      </c>
      <c r="E114">
        <v>1</v>
      </c>
      <c r="F114" t="s">
        <v>259</v>
      </c>
      <c r="G114">
        <v>1</v>
      </c>
      <c r="H114">
        <v>3</v>
      </c>
      <c r="I114">
        <v>2</v>
      </c>
      <c r="J114">
        <v>41</v>
      </c>
      <c r="K114">
        <v>37</v>
      </c>
      <c r="L114">
        <v>35</v>
      </c>
      <c r="M114">
        <v>1</v>
      </c>
      <c r="N114" t="s">
        <v>219</v>
      </c>
      <c r="O114" t="s">
        <v>113</v>
      </c>
      <c r="P114" t="s">
        <v>114</v>
      </c>
      <c r="Q114" t="s">
        <v>220</v>
      </c>
      <c r="R114" t="s">
        <v>114</v>
      </c>
      <c r="S114" t="s">
        <v>92</v>
      </c>
      <c r="T114" t="s">
        <v>179</v>
      </c>
      <c r="U114">
        <v>1</v>
      </c>
      <c r="V114" t="s">
        <v>209</v>
      </c>
      <c r="W114" t="s">
        <v>166</v>
      </c>
      <c r="X114" t="s">
        <v>149</v>
      </c>
      <c r="Y114">
        <v>2</v>
      </c>
      <c r="Z114">
        <v>2</v>
      </c>
      <c r="AA114">
        <v>48</v>
      </c>
      <c r="AB114">
        <v>2E-3</v>
      </c>
      <c r="AC114" t="s">
        <v>166</v>
      </c>
      <c r="AD114">
        <v>4</v>
      </c>
      <c r="AE114">
        <v>5</v>
      </c>
      <c r="AF114">
        <v>0</v>
      </c>
      <c r="AG114">
        <v>2.5830000000000002</v>
      </c>
      <c r="AH114">
        <v>0.33300000000000002</v>
      </c>
      <c r="AI114">
        <v>0</v>
      </c>
    </row>
    <row r="115" spans="1:35" x14ac:dyDescent="0.25">
      <c r="A115">
        <v>259</v>
      </c>
      <c r="B115" t="s">
        <v>35</v>
      </c>
      <c r="C115">
        <v>3</v>
      </c>
      <c r="D115" t="s">
        <v>36</v>
      </c>
      <c r="E115">
        <v>1</v>
      </c>
      <c r="F115" t="s">
        <v>259</v>
      </c>
      <c r="G115">
        <v>1</v>
      </c>
      <c r="H115">
        <v>3</v>
      </c>
      <c r="I115">
        <v>2</v>
      </c>
      <c r="J115">
        <v>42</v>
      </c>
      <c r="K115">
        <v>28</v>
      </c>
      <c r="L115">
        <v>26</v>
      </c>
      <c r="M115">
        <v>1</v>
      </c>
      <c r="N115" t="s">
        <v>148</v>
      </c>
      <c r="O115" t="s">
        <v>113</v>
      </c>
      <c r="P115" t="s">
        <v>114</v>
      </c>
      <c r="Q115" t="s">
        <v>123</v>
      </c>
      <c r="R115" t="s">
        <v>114</v>
      </c>
      <c r="S115" t="s">
        <v>92</v>
      </c>
      <c r="T115" t="s">
        <v>130</v>
      </c>
      <c r="U115">
        <v>5</v>
      </c>
      <c r="V115" t="s">
        <v>124</v>
      </c>
      <c r="W115" t="s">
        <v>75</v>
      </c>
      <c r="X115" t="s">
        <v>172</v>
      </c>
      <c r="Y115">
        <v>1</v>
      </c>
      <c r="Z115">
        <v>2</v>
      </c>
      <c r="AA115">
        <v>48</v>
      </c>
      <c r="AB115">
        <v>2E-3</v>
      </c>
      <c r="AC115" t="s">
        <v>124</v>
      </c>
      <c r="AD115">
        <v>2</v>
      </c>
      <c r="AE115">
        <v>1</v>
      </c>
      <c r="AF115">
        <v>0</v>
      </c>
      <c r="AG115">
        <v>2.032</v>
      </c>
      <c r="AH115">
        <v>0.35</v>
      </c>
      <c r="AI115">
        <v>0</v>
      </c>
    </row>
    <row r="116" spans="1:35" x14ac:dyDescent="0.25">
      <c r="A116">
        <v>259</v>
      </c>
      <c r="B116" t="s">
        <v>35</v>
      </c>
      <c r="C116">
        <v>3</v>
      </c>
      <c r="D116" t="s">
        <v>36</v>
      </c>
      <c r="E116">
        <v>1</v>
      </c>
      <c r="F116" t="s">
        <v>259</v>
      </c>
      <c r="G116">
        <v>1</v>
      </c>
      <c r="H116">
        <v>3</v>
      </c>
      <c r="I116">
        <v>2</v>
      </c>
      <c r="J116">
        <v>43</v>
      </c>
      <c r="K116">
        <v>25</v>
      </c>
      <c r="L116">
        <v>71</v>
      </c>
      <c r="M116">
        <v>2</v>
      </c>
      <c r="N116" t="s">
        <v>143</v>
      </c>
      <c r="O116" t="s">
        <v>113</v>
      </c>
      <c r="P116" t="s">
        <v>114</v>
      </c>
      <c r="Q116" t="s">
        <v>115</v>
      </c>
      <c r="R116" t="s">
        <v>114</v>
      </c>
      <c r="S116" t="s">
        <v>59</v>
      </c>
      <c r="T116" t="s">
        <v>46</v>
      </c>
      <c r="U116">
        <v>2</v>
      </c>
      <c r="V116" t="s">
        <v>104</v>
      </c>
      <c r="W116" t="s">
        <v>62</v>
      </c>
      <c r="X116" t="s">
        <v>54</v>
      </c>
      <c r="Y116">
        <v>1</v>
      </c>
      <c r="Z116">
        <v>2</v>
      </c>
      <c r="AA116">
        <v>48</v>
      </c>
      <c r="AB116">
        <v>4.0000000000000001E-3</v>
      </c>
      <c r="AC116" t="s">
        <v>54</v>
      </c>
      <c r="AD116">
        <v>4</v>
      </c>
      <c r="AE116">
        <v>1</v>
      </c>
      <c r="AF116">
        <v>0</v>
      </c>
      <c r="AG116">
        <v>2.2090000000000001</v>
      </c>
      <c r="AH116">
        <v>0.26700000000000002</v>
      </c>
      <c r="AI116">
        <v>0</v>
      </c>
    </row>
    <row r="117" spans="1:35" x14ac:dyDescent="0.25">
      <c r="A117">
        <v>259</v>
      </c>
      <c r="B117" t="s">
        <v>35</v>
      </c>
      <c r="C117">
        <v>3</v>
      </c>
      <c r="D117" t="s">
        <v>36</v>
      </c>
      <c r="E117">
        <v>1</v>
      </c>
      <c r="F117" t="s">
        <v>259</v>
      </c>
      <c r="G117">
        <v>1</v>
      </c>
      <c r="H117">
        <v>3</v>
      </c>
      <c r="I117">
        <v>2</v>
      </c>
      <c r="J117">
        <v>44</v>
      </c>
      <c r="K117">
        <v>39</v>
      </c>
      <c r="L117">
        <v>31</v>
      </c>
      <c r="M117">
        <v>1</v>
      </c>
      <c r="N117" t="s">
        <v>230</v>
      </c>
      <c r="O117" t="s">
        <v>113</v>
      </c>
      <c r="P117" t="s">
        <v>114</v>
      </c>
      <c r="Q117" t="s">
        <v>231</v>
      </c>
      <c r="R117" t="s">
        <v>114</v>
      </c>
      <c r="S117" t="s">
        <v>59</v>
      </c>
      <c r="T117" t="s">
        <v>162</v>
      </c>
      <c r="U117">
        <v>5</v>
      </c>
      <c r="V117" t="s">
        <v>111</v>
      </c>
      <c r="W117" t="s">
        <v>102</v>
      </c>
      <c r="X117" t="s">
        <v>86</v>
      </c>
      <c r="Y117">
        <v>1</v>
      </c>
      <c r="Z117">
        <v>2</v>
      </c>
      <c r="AA117">
        <v>48</v>
      </c>
      <c r="AB117">
        <v>3.0000000000000001E-3</v>
      </c>
      <c r="AC117" t="s">
        <v>86</v>
      </c>
      <c r="AD117">
        <v>4</v>
      </c>
      <c r="AE117">
        <v>1</v>
      </c>
      <c r="AF117">
        <v>0</v>
      </c>
      <c r="AG117">
        <v>2.214</v>
      </c>
      <c r="AH117">
        <v>0.35</v>
      </c>
      <c r="AI117">
        <v>0</v>
      </c>
    </row>
    <row r="118" spans="1:35" x14ac:dyDescent="0.25">
      <c r="A118">
        <v>259</v>
      </c>
      <c r="B118" t="s">
        <v>35</v>
      </c>
      <c r="C118">
        <v>3</v>
      </c>
      <c r="D118" t="s">
        <v>36</v>
      </c>
      <c r="E118">
        <v>1</v>
      </c>
      <c r="F118" t="s">
        <v>259</v>
      </c>
      <c r="G118">
        <v>1</v>
      </c>
      <c r="H118">
        <v>3</v>
      </c>
      <c r="I118">
        <v>2</v>
      </c>
      <c r="J118">
        <v>45</v>
      </c>
      <c r="K118">
        <v>44</v>
      </c>
      <c r="L118">
        <v>30</v>
      </c>
      <c r="M118">
        <v>1</v>
      </c>
      <c r="N118" t="s">
        <v>233</v>
      </c>
      <c r="O118" t="s">
        <v>113</v>
      </c>
      <c r="P118" t="s">
        <v>114</v>
      </c>
      <c r="Q118" t="s">
        <v>218</v>
      </c>
      <c r="R118" t="s">
        <v>114</v>
      </c>
      <c r="S118" t="s">
        <v>43</v>
      </c>
      <c r="T118" t="s">
        <v>107</v>
      </c>
      <c r="U118">
        <v>4</v>
      </c>
      <c r="V118" t="s">
        <v>214</v>
      </c>
      <c r="W118" t="s">
        <v>60</v>
      </c>
      <c r="X118" t="s">
        <v>211</v>
      </c>
      <c r="Y118">
        <v>1</v>
      </c>
      <c r="Z118">
        <v>2</v>
      </c>
      <c r="AA118">
        <v>48</v>
      </c>
      <c r="AB118">
        <v>3.0000000000000001E-3</v>
      </c>
      <c r="AC118" t="s">
        <v>107</v>
      </c>
      <c r="AD118">
        <v>1</v>
      </c>
      <c r="AE118">
        <v>4</v>
      </c>
      <c r="AF118">
        <v>1</v>
      </c>
      <c r="AG118">
        <v>2.25</v>
      </c>
      <c r="AH118">
        <v>0.28299999999999997</v>
      </c>
      <c r="AI118">
        <v>0</v>
      </c>
    </row>
    <row r="119" spans="1:35" x14ac:dyDescent="0.25">
      <c r="A119">
        <v>259</v>
      </c>
      <c r="B119" t="s">
        <v>35</v>
      </c>
      <c r="C119">
        <v>3</v>
      </c>
      <c r="D119" t="s">
        <v>36</v>
      </c>
      <c r="E119">
        <v>1</v>
      </c>
      <c r="F119" t="s">
        <v>259</v>
      </c>
      <c r="G119">
        <v>1</v>
      </c>
      <c r="H119">
        <v>3</v>
      </c>
      <c r="I119">
        <v>2</v>
      </c>
      <c r="J119">
        <v>46</v>
      </c>
      <c r="K119">
        <v>45</v>
      </c>
      <c r="L119">
        <v>69</v>
      </c>
      <c r="M119">
        <v>2</v>
      </c>
      <c r="N119" t="s">
        <v>221</v>
      </c>
      <c r="O119" t="s">
        <v>113</v>
      </c>
      <c r="P119" t="s">
        <v>114</v>
      </c>
      <c r="Q119" t="s">
        <v>222</v>
      </c>
      <c r="R119" t="s">
        <v>114</v>
      </c>
      <c r="S119" t="s">
        <v>52</v>
      </c>
      <c r="T119" t="s">
        <v>69</v>
      </c>
      <c r="U119">
        <v>4</v>
      </c>
      <c r="V119" t="s">
        <v>119</v>
      </c>
      <c r="W119" t="s">
        <v>146</v>
      </c>
      <c r="X119" t="s">
        <v>80</v>
      </c>
      <c r="Y119">
        <v>2</v>
      </c>
      <c r="Z119">
        <v>2</v>
      </c>
      <c r="AA119">
        <v>48</v>
      </c>
      <c r="AB119">
        <v>3.0000000000000001E-3</v>
      </c>
      <c r="AC119" t="s">
        <v>69</v>
      </c>
      <c r="AD119">
        <v>1</v>
      </c>
      <c r="AE119">
        <v>4</v>
      </c>
      <c r="AF119">
        <v>1</v>
      </c>
      <c r="AG119">
        <v>0.86499999999999999</v>
      </c>
      <c r="AH119">
        <v>0.317</v>
      </c>
      <c r="AI119">
        <v>0</v>
      </c>
    </row>
    <row r="120" spans="1:35" x14ac:dyDescent="0.25">
      <c r="A120">
        <v>259</v>
      </c>
      <c r="B120" t="s">
        <v>35</v>
      </c>
      <c r="C120">
        <v>3</v>
      </c>
      <c r="D120" t="s">
        <v>36</v>
      </c>
      <c r="E120">
        <v>1</v>
      </c>
      <c r="F120" t="s">
        <v>259</v>
      </c>
      <c r="G120">
        <v>1</v>
      </c>
      <c r="H120">
        <v>3</v>
      </c>
      <c r="I120">
        <v>2</v>
      </c>
      <c r="J120">
        <v>47</v>
      </c>
      <c r="K120">
        <v>36</v>
      </c>
      <c r="L120">
        <v>68</v>
      </c>
      <c r="M120">
        <v>2</v>
      </c>
      <c r="N120" t="s">
        <v>135</v>
      </c>
      <c r="O120" t="s">
        <v>113</v>
      </c>
      <c r="P120" t="s">
        <v>114</v>
      </c>
      <c r="Q120" t="s">
        <v>136</v>
      </c>
      <c r="R120" t="s">
        <v>114</v>
      </c>
      <c r="S120" t="s">
        <v>52</v>
      </c>
      <c r="T120" t="s">
        <v>74</v>
      </c>
      <c r="U120">
        <v>5</v>
      </c>
      <c r="V120" t="s">
        <v>137</v>
      </c>
      <c r="W120" t="s">
        <v>108</v>
      </c>
      <c r="X120" t="s">
        <v>73</v>
      </c>
      <c r="Y120">
        <v>1</v>
      </c>
      <c r="Z120">
        <v>2</v>
      </c>
      <c r="AA120">
        <v>48</v>
      </c>
      <c r="AB120">
        <v>3.0000000000000001E-3</v>
      </c>
      <c r="AC120" t="s">
        <v>137</v>
      </c>
      <c r="AD120">
        <v>2</v>
      </c>
      <c r="AE120">
        <v>2</v>
      </c>
      <c r="AF120">
        <v>0</v>
      </c>
      <c r="AG120">
        <v>1.4590000000000001</v>
      </c>
      <c r="AH120">
        <v>0.55000000000000004</v>
      </c>
      <c r="AI120">
        <v>0</v>
      </c>
    </row>
    <row r="121" spans="1:35" x14ac:dyDescent="0.25">
      <c r="A121">
        <v>259</v>
      </c>
      <c r="B121" t="s">
        <v>35</v>
      </c>
      <c r="C121">
        <v>3</v>
      </c>
      <c r="D121" t="s">
        <v>36</v>
      </c>
      <c r="E121">
        <v>1</v>
      </c>
      <c r="F121" t="s">
        <v>259</v>
      </c>
      <c r="G121">
        <v>1</v>
      </c>
      <c r="H121">
        <v>3</v>
      </c>
      <c r="I121">
        <v>2</v>
      </c>
      <c r="J121">
        <v>48</v>
      </c>
      <c r="K121">
        <v>32</v>
      </c>
      <c r="L121">
        <v>64</v>
      </c>
      <c r="M121">
        <v>2</v>
      </c>
      <c r="N121" t="s">
        <v>133</v>
      </c>
      <c r="O121" t="s">
        <v>113</v>
      </c>
      <c r="P121" t="s">
        <v>114</v>
      </c>
      <c r="Q121" t="s">
        <v>134</v>
      </c>
      <c r="R121" t="s">
        <v>114</v>
      </c>
      <c r="S121" t="s">
        <v>43</v>
      </c>
      <c r="T121" t="s">
        <v>100</v>
      </c>
      <c r="U121">
        <v>5</v>
      </c>
      <c r="V121" t="s">
        <v>107</v>
      </c>
      <c r="W121" t="s">
        <v>98</v>
      </c>
      <c r="X121" t="s">
        <v>139</v>
      </c>
      <c r="Y121">
        <v>2</v>
      </c>
      <c r="Z121">
        <v>2</v>
      </c>
      <c r="AA121">
        <v>48</v>
      </c>
      <c r="AB121">
        <v>2E-3</v>
      </c>
      <c r="AC121" t="s">
        <v>100</v>
      </c>
      <c r="AD121">
        <v>1</v>
      </c>
      <c r="AE121">
        <v>5</v>
      </c>
      <c r="AF121">
        <v>1</v>
      </c>
      <c r="AG121">
        <v>2.552</v>
      </c>
      <c r="AH121">
        <v>0.33300000000000002</v>
      </c>
      <c r="AI121">
        <v>0</v>
      </c>
    </row>
    <row r="122" spans="1:35" x14ac:dyDescent="0.25">
      <c r="A122">
        <v>259</v>
      </c>
      <c r="B122" t="s">
        <v>35</v>
      </c>
      <c r="C122">
        <v>3</v>
      </c>
      <c r="D122" t="s">
        <v>36</v>
      </c>
      <c r="E122">
        <v>1</v>
      </c>
      <c r="F122" t="s">
        <v>259</v>
      </c>
      <c r="G122">
        <v>1</v>
      </c>
      <c r="H122">
        <v>3</v>
      </c>
      <c r="I122">
        <v>2</v>
      </c>
      <c r="J122">
        <v>49</v>
      </c>
      <c r="K122">
        <v>72</v>
      </c>
      <c r="L122">
        <v>22</v>
      </c>
      <c r="M122">
        <v>1</v>
      </c>
      <c r="N122" t="s">
        <v>241</v>
      </c>
      <c r="O122" t="s">
        <v>151</v>
      </c>
      <c r="P122" t="s">
        <v>242</v>
      </c>
      <c r="Q122" t="s">
        <v>243</v>
      </c>
      <c r="R122" t="s">
        <v>174</v>
      </c>
      <c r="S122" t="s">
        <v>52</v>
      </c>
      <c r="T122" t="s">
        <v>132</v>
      </c>
      <c r="U122">
        <v>1</v>
      </c>
      <c r="V122" t="s">
        <v>146</v>
      </c>
      <c r="W122" t="s">
        <v>185</v>
      </c>
      <c r="X122" t="s">
        <v>127</v>
      </c>
      <c r="Y122">
        <v>1</v>
      </c>
      <c r="Z122">
        <v>2</v>
      </c>
      <c r="AA122">
        <v>48</v>
      </c>
      <c r="AB122">
        <v>3.0000000000000001E-3</v>
      </c>
      <c r="AC122" t="s">
        <v>127</v>
      </c>
      <c r="AD122">
        <v>4</v>
      </c>
      <c r="AE122">
        <v>2</v>
      </c>
      <c r="AF122">
        <v>0</v>
      </c>
      <c r="AG122">
        <v>2.3820000000000001</v>
      </c>
      <c r="AH122">
        <v>0.33300000000000002</v>
      </c>
      <c r="AI122">
        <v>0</v>
      </c>
    </row>
    <row r="123" spans="1:35" x14ac:dyDescent="0.25">
      <c r="A123">
        <v>259</v>
      </c>
      <c r="B123" t="s">
        <v>35</v>
      </c>
      <c r="C123">
        <v>3</v>
      </c>
      <c r="D123" t="s">
        <v>36</v>
      </c>
      <c r="E123">
        <v>1</v>
      </c>
      <c r="F123" t="s">
        <v>259</v>
      </c>
      <c r="G123">
        <v>1</v>
      </c>
      <c r="H123">
        <v>3</v>
      </c>
      <c r="I123">
        <v>2</v>
      </c>
      <c r="J123">
        <v>50</v>
      </c>
      <c r="K123">
        <v>69</v>
      </c>
      <c r="L123">
        <v>57</v>
      </c>
      <c r="M123">
        <v>2</v>
      </c>
      <c r="N123" t="s">
        <v>247</v>
      </c>
      <c r="O123" t="s">
        <v>151</v>
      </c>
      <c r="P123" t="s">
        <v>236</v>
      </c>
      <c r="Q123" t="s">
        <v>237</v>
      </c>
      <c r="R123" t="s">
        <v>174</v>
      </c>
      <c r="S123" t="s">
        <v>52</v>
      </c>
      <c r="T123" t="s">
        <v>75</v>
      </c>
      <c r="U123">
        <v>4</v>
      </c>
      <c r="V123" t="s">
        <v>99</v>
      </c>
      <c r="W123" t="s">
        <v>60</v>
      </c>
      <c r="X123" t="s">
        <v>46</v>
      </c>
      <c r="Y123">
        <v>2</v>
      </c>
      <c r="Z123">
        <v>2</v>
      </c>
      <c r="AA123">
        <v>48</v>
      </c>
      <c r="AB123">
        <v>3.0000000000000001E-3</v>
      </c>
      <c r="AC123" t="s">
        <v>99</v>
      </c>
      <c r="AD123">
        <v>3</v>
      </c>
      <c r="AE123">
        <v>5</v>
      </c>
      <c r="AF123">
        <v>0</v>
      </c>
      <c r="AG123">
        <v>1.462</v>
      </c>
      <c r="AH123">
        <v>8.3000000000000004E-2</v>
      </c>
      <c r="AI123">
        <v>0</v>
      </c>
    </row>
    <row r="124" spans="1:35" x14ac:dyDescent="0.25">
      <c r="A124">
        <v>259</v>
      </c>
      <c r="B124" t="s">
        <v>35</v>
      </c>
      <c r="C124">
        <v>3</v>
      </c>
      <c r="D124" t="s">
        <v>36</v>
      </c>
      <c r="E124">
        <v>1</v>
      </c>
      <c r="F124" t="s">
        <v>259</v>
      </c>
      <c r="G124">
        <v>1</v>
      </c>
      <c r="H124">
        <v>3</v>
      </c>
      <c r="I124">
        <v>2</v>
      </c>
      <c r="J124">
        <v>51</v>
      </c>
      <c r="K124">
        <v>68</v>
      </c>
      <c r="L124">
        <v>18</v>
      </c>
      <c r="M124">
        <v>1</v>
      </c>
      <c r="N124" t="s">
        <v>258</v>
      </c>
      <c r="O124" t="s">
        <v>151</v>
      </c>
      <c r="P124" t="s">
        <v>255</v>
      </c>
      <c r="Q124" t="s">
        <v>256</v>
      </c>
      <c r="R124" t="s">
        <v>160</v>
      </c>
      <c r="S124" t="s">
        <v>43</v>
      </c>
      <c r="T124" t="s">
        <v>110</v>
      </c>
      <c r="U124">
        <v>1</v>
      </c>
      <c r="V124" t="s">
        <v>47</v>
      </c>
      <c r="W124" t="s">
        <v>179</v>
      </c>
      <c r="X124" t="s">
        <v>93</v>
      </c>
      <c r="Y124">
        <v>1</v>
      </c>
      <c r="Z124">
        <v>2</v>
      </c>
      <c r="AA124">
        <v>48</v>
      </c>
      <c r="AB124">
        <v>3.0000000000000001E-3</v>
      </c>
      <c r="AC124" t="s">
        <v>93</v>
      </c>
      <c r="AD124">
        <v>4</v>
      </c>
      <c r="AE124">
        <v>2</v>
      </c>
      <c r="AF124">
        <v>0</v>
      </c>
      <c r="AG124">
        <v>2.2909999999999999</v>
      </c>
      <c r="AH124">
        <v>0.93300000000000005</v>
      </c>
      <c r="AI124">
        <v>0</v>
      </c>
    </row>
    <row r="125" spans="1:35" x14ac:dyDescent="0.25">
      <c r="A125">
        <v>259</v>
      </c>
      <c r="B125" t="s">
        <v>35</v>
      </c>
      <c r="C125">
        <v>3</v>
      </c>
      <c r="D125" t="s">
        <v>36</v>
      </c>
      <c r="E125">
        <v>1</v>
      </c>
      <c r="F125" t="s">
        <v>259</v>
      </c>
      <c r="G125">
        <v>1</v>
      </c>
      <c r="H125">
        <v>3</v>
      </c>
      <c r="I125">
        <v>2</v>
      </c>
      <c r="J125">
        <v>52</v>
      </c>
      <c r="K125">
        <v>66</v>
      </c>
      <c r="L125">
        <v>54</v>
      </c>
      <c r="M125">
        <v>2</v>
      </c>
      <c r="N125" t="s">
        <v>248</v>
      </c>
      <c r="O125" t="s">
        <v>151</v>
      </c>
      <c r="P125" t="s">
        <v>249</v>
      </c>
      <c r="Q125" t="s">
        <v>250</v>
      </c>
      <c r="R125" t="s">
        <v>154</v>
      </c>
      <c r="S125" t="s">
        <v>92</v>
      </c>
      <c r="T125" t="s">
        <v>68</v>
      </c>
      <c r="U125">
        <v>5</v>
      </c>
      <c r="V125" t="s">
        <v>204</v>
      </c>
      <c r="W125" t="s">
        <v>104</v>
      </c>
      <c r="X125" t="s">
        <v>44</v>
      </c>
      <c r="Y125">
        <v>1</v>
      </c>
      <c r="Z125">
        <v>2</v>
      </c>
      <c r="AA125">
        <v>48</v>
      </c>
      <c r="AB125">
        <v>3.0000000000000001E-3</v>
      </c>
      <c r="AC125" t="s">
        <v>104</v>
      </c>
      <c r="AD125">
        <v>4</v>
      </c>
      <c r="AE125">
        <v>2</v>
      </c>
      <c r="AF125">
        <v>0</v>
      </c>
      <c r="AG125">
        <v>2.6749999999999998</v>
      </c>
      <c r="AH125">
        <v>0.3</v>
      </c>
      <c r="AI125">
        <v>0</v>
      </c>
    </row>
    <row r="126" spans="1:35" x14ac:dyDescent="0.25">
      <c r="A126">
        <v>259</v>
      </c>
      <c r="B126" t="s">
        <v>35</v>
      </c>
      <c r="C126">
        <v>3</v>
      </c>
      <c r="D126" t="s">
        <v>36</v>
      </c>
      <c r="E126">
        <v>1</v>
      </c>
      <c r="F126" t="s">
        <v>259</v>
      </c>
      <c r="G126">
        <v>1</v>
      </c>
      <c r="H126">
        <v>3</v>
      </c>
      <c r="I126">
        <v>2</v>
      </c>
      <c r="J126">
        <v>53</v>
      </c>
      <c r="K126">
        <v>63</v>
      </c>
      <c r="L126">
        <v>19</v>
      </c>
      <c r="M126">
        <v>1</v>
      </c>
      <c r="N126" t="s">
        <v>253</v>
      </c>
      <c r="O126" t="s">
        <v>151</v>
      </c>
      <c r="P126" t="s">
        <v>239</v>
      </c>
      <c r="Q126" t="s">
        <v>240</v>
      </c>
      <c r="R126" t="s">
        <v>170</v>
      </c>
      <c r="S126" t="s">
        <v>59</v>
      </c>
      <c r="T126" t="s">
        <v>211</v>
      </c>
      <c r="U126">
        <v>5</v>
      </c>
      <c r="V126" t="s">
        <v>82</v>
      </c>
      <c r="W126" t="s">
        <v>214</v>
      </c>
      <c r="X126" t="s">
        <v>54</v>
      </c>
      <c r="Y126">
        <v>1</v>
      </c>
      <c r="Z126">
        <v>2</v>
      </c>
      <c r="AA126">
        <v>48</v>
      </c>
      <c r="AB126">
        <v>3.0000000000000001E-3</v>
      </c>
      <c r="AC126" t="s">
        <v>211</v>
      </c>
      <c r="AD126">
        <v>1</v>
      </c>
      <c r="AE126">
        <v>5</v>
      </c>
      <c r="AF126">
        <v>1</v>
      </c>
      <c r="AG126">
        <v>1.409</v>
      </c>
      <c r="AH126">
        <v>8.3000000000000004E-2</v>
      </c>
      <c r="AI126">
        <v>0</v>
      </c>
    </row>
    <row r="127" spans="1:35" x14ac:dyDescent="0.25">
      <c r="A127">
        <v>259</v>
      </c>
      <c r="B127" t="s">
        <v>35</v>
      </c>
      <c r="C127">
        <v>3</v>
      </c>
      <c r="D127" t="s">
        <v>36</v>
      </c>
      <c r="E127">
        <v>1</v>
      </c>
      <c r="F127" t="s">
        <v>259</v>
      </c>
      <c r="G127">
        <v>1</v>
      </c>
      <c r="H127">
        <v>3</v>
      </c>
      <c r="I127">
        <v>2</v>
      </c>
      <c r="J127">
        <v>54</v>
      </c>
      <c r="K127">
        <v>62</v>
      </c>
      <c r="L127">
        <v>24</v>
      </c>
      <c r="M127">
        <v>1</v>
      </c>
      <c r="N127" t="s">
        <v>251</v>
      </c>
      <c r="O127" t="s">
        <v>151</v>
      </c>
      <c r="P127" t="s">
        <v>245</v>
      </c>
      <c r="Q127" t="s">
        <v>246</v>
      </c>
      <c r="R127" t="s">
        <v>160</v>
      </c>
      <c r="S127" t="s">
        <v>43</v>
      </c>
      <c r="T127" t="s">
        <v>121</v>
      </c>
      <c r="U127">
        <v>2</v>
      </c>
      <c r="V127" t="s">
        <v>62</v>
      </c>
      <c r="W127" t="s">
        <v>87</v>
      </c>
      <c r="X127" t="s">
        <v>73</v>
      </c>
      <c r="Y127">
        <v>1</v>
      </c>
      <c r="Z127">
        <v>2</v>
      </c>
      <c r="AA127">
        <v>48</v>
      </c>
      <c r="AB127">
        <v>3.0000000000000001E-3</v>
      </c>
      <c r="AC127" t="s">
        <v>121</v>
      </c>
      <c r="AD127">
        <v>1</v>
      </c>
      <c r="AE127">
        <v>2</v>
      </c>
      <c r="AF127">
        <v>1</v>
      </c>
      <c r="AG127">
        <v>1.4690000000000001</v>
      </c>
      <c r="AH127">
        <v>0.33300000000000002</v>
      </c>
      <c r="AI127">
        <v>0</v>
      </c>
    </row>
    <row r="128" spans="1:35" x14ac:dyDescent="0.25">
      <c r="A128">
        <v>259</v>
      </c>
      <c r="B128" t="s">
        <v>35</v>
      </c>
      <c r="C128">
        <v>3</v>
      </c>
      <c r="D128" t="s">
        <v>36</v>
      </c>
      <c r="E128">
        <v>1</v>
      </c>
      <c r="F128" t="s">
        <v>259</v>
      </c>
      <c r="G128">
        <v>1</v>
      </c>
      <c r="H128">
        <v>3</v>
      </c>
      <c r="I128">
        <v>2</v>
      </c>
      <c r="J128">
        <v>55</v>
      </c>
      <c r="K128">
        <v>49</v>
      </c>
      <c r="L128">
        <v>59</v>
      </c>
      <c r="M128">
        <v>2</v>
      </c>
      <c r="N128" t="s">
        <v>171</v>
      </c>
      <c r="O128" t="s">
        <v>151</v>
      </c>
      <c r="P128" t="s">
        <v>158</v>
      </c>
      <c r="Q128" t="s">
        <v>159</v>
      </c>
      <c r="R128" t="s">
        <v>170</v>
      </c>
      <c r="S128" t="s">
        <v>59</v>
      </c>
      <c r="T128" t="s">
        <v>103</v>
      </c>
      <c r="U128">
        <v>5</v>
      </c>
      <c r="V128" t="s">
        <v>161</v>
      </c>
      <c r="W128" t="s">
        <v>106</v>
      </c>
      <c r="X128" t="s">
        <v>61</v>
      </c>
      <c r="Y128">
        <v>1</v>
      </c>
      <c r="Z128">
        <v>2</v>
      </c>
      <c r="AA128">
        <v>48</v>
      </c>
      <c r="AB128">
        <v>4.0000000000000001E-3</v>
      </c>
      <c r="AC128" t="s">
        <v>103</v>
      </c>
      <c r="AD128">
        <v>1</v>
      </c>
      <c r="AE128">
        <v>5</v>
      </c>
      <c r="AF128">
        <v>1</v>
      </c>
      <c r="AG128">
        <v>1.526</v>
      </c>
      <c r="AH128">
        <v>2.1</v>
      </c>
      <c r="AI128">
        <v>0</v>
      </c>
    </row>
    <row r="129" spans="1:35" x14ac:dyDescent="0.25">
      <c r="A129">
        <v>259</v>
      </c>
      <c r="B129" t="s">
        <v>35</v>
      </c>
      <c r="C129">
        <v>3</v>
      </c>
      <c r="D129" t="s">
        <v>36</v>
      </c>
      <c r="E129">
        <v>1</v>
      </c>
      <c r="F129" t="s">
        <v>259</v>
      </c>
      <c r="G129">
        <v>1</v>
      </c>
      <c r="H129">
        <v>3</v>
      </c>
      <c r="I129">
        <v>2</v>
      </c>
      <c r="J129">
        <v>56</v>
      </c>
      <c r="K129">
        <v>71</v>
      </c>
      <c r="L129">
        <v>21</v>
      </c>
      <c r="M129">
        <v>1</v>
      </c>
      <c r="N129" t="s">
        <v>252</v>
      </c>
      <c r="O129" t="s">
        <v>151</v>
      </c>
      <c r="P129" t="s">
        <v>242</v>
      </c>
      <c r="Q129" t="s">
        <v>243</v>
      </c>
      <c r="R129" t="s">
        <v>170</v>
      </c>
      <c r="S129" t="s">
        <v>59</v>
      </c>
      <c r="T129" t="s">
        <v>146</v>
      </c>
      <c r="U129">
        <v>4</v>
      </c>
      <c r="V129" t="s">
        <v>139</v>
      </c>
      <c r="W129" t="s">
        <v>79</v>
      </c>
      <c r="X129" t="s">
        <v>209</v>
      </c>
      <c r="Y129">
        <v>2</v>
      </c>
      <c r="Z129">
        <v>2</v>
      </c>
      <c r="AA129">
        <v>48</v>
      </c>
      <c r="AB129">
        <v>4.0000000000000001E-3</v>
      </c>
      <c r="AC129" t="s">
        <v>146</v>
      </c>
      <c r="AD129">
        <v>1</v>
      </c>
      <c r="AE129">
        <v>4</v>
      </c>
      <c r="AF129">
        <v>1</v>
      </c>
      <c r="AG129">
        <v>1.3819999999999999</v>
      </c>
      <c r="AH129">
        <v>1.1160000000000001</v>
      </c>
      <c r="AI129">
        <v>0</v>
      </c>
    </row>
    <row r="130" spans="1:35" x14ac:dyDescent="0.25">
      <c r="A130">
        <v>259</v>
      </c>
      <c r="B130" t="s">
        <v>35</v>
      </c>
      <c r="C130">
        <v>3</v>
      </c>
      <c r="D130" t="s">
        <v>36</v>
      </c>
      <c r="E130">
        <v>1</v>
      </c>
      <c r="F130" t="s">
        <v>259</v>
      </c>
      <c r="G130">
        <v>1</v>
      </c>
      <c r="H130">
        <v>3</v>
      </c>
      <c r="I130">
        <v>2</v>
      </c>
      <c r="J130">
        <v>57</v>
      </c>
      <c r="K130">
        <v>67</v>
      </c>
      <c r="L130">
        <v>17</v>
      </c>
      <c r="M130">
        <v>1</v>
      </c>
      <c r="N130" t="s">
        <v>254</v>
      </c>
      <c r="O130" t="s">
        <v>151</v>
      </c>
      <c r="P130" t="s">
        <v>255</v>
      </c>
      <c r="Q130" t="s">
        <v>256</v>
      </c>
      <c r="R130" t="s">
        <v>174</v>
      </c>
      <c r="S130" t="s">
        <v>52</v>
      </c>
      <c r="T130" t="s">
        <v>47</v>
      </c>
      <c r="U130">
        <v>5</v>
      </c>
      <c r="V130" t="s">
        <v>187</v>
      </c>
      <c r="W130" t="s">
        <v>137</v>
      </c>
      <c r="X130" t="s">
        <v>156</v>
      </c>
      <c r="Y130">
        <v>2</v>
      </c>
      <c r="Z130">
        <v>2</v>
      </c>
      <c r="AA130">
        <v>48</v>
      </c>
      <c r="AB130">
        <v>2E-3</v>
      </c>
      <c r="AC130" t="s">
        <v>156</v>
      </c>
      <c r="AD130">
        <v>4</v>
      </c>
      <c r="AE130">
        <v>2</v>
      </c>
      <c r="AF130">
        <v>0</v>
      </c>
      <c r="AG130">
        <v>1.538</v>
      </c>
      <c r="AH130">
        <v>0.35</v>
      </c>
      <c r="AI130">
        <v>0</v>
      </c>
    </row>
    <row r="131" spans="1:35" x14ac:dyDescent="0.25">
      <c r="A131">
        <v>259</v>
      </c>
      <c r="B131" t="s">
        <v>35</v>
      </c>
      <c r="C131">
        <v>3</v>
      </c>
      <c r="D131" t="s">
        <v>36</v>
      </c>
      <c r="E131">
        <v>1</v>
      </c>
      <c r="F131" t="s">
        <v>259</v>
      </c>
      <c r="G131">
        <v>1</v>
      </c>
      <c r="H131">
        <v>3</v>
      </c>
      <c r="I131">
        <v>2</v>
      </c>
      <c r="J131">
        <v>58</v>
      </c>
      <c r="K131">
        <v>56</v>
      </c>
      <c r="L131">
        <v>52</v>
      </c>
      <c r="M131">
        <v>2</v>
      </c>
      <c r="N131" t="s">
        <v>188</v>
      </c>
      <c r="O131" t="s">
        <v>151</v>
      </c>
      <c r="P131" t="s">
        <v>177</v>
      </c>
      <c r="Q131" t="s">
        <v>178</v>
      </c>
      <c r="R131" t="s">
        <v>160</v>
      </c>
      <c r="S131" t="s">
        <v>43</v>
      </c>
      <c r="T131" t="s">
        <v>108</v>
      </c>
      <c r="U131">
        <v>4</v>
      </c>
      <c r="V131" t="s">
        <v>55</v>
      </c>
      <c r="W131" t="s">
        <v>56</v>
      </c>
      <c r="X131" t="s">
        <v>149</v>
      </c>
      <c r="Y131">
        <v>2</v>
      </c>
      <c r="Z131">
        <v>2</v>
      </c>
      <c r="AA131">
        <v>48</v>
      </c>
      <c r="AB131">
        <v>2E-3</v>
      </c>
      <c r="AC131" t="s">
        <v>108</v>
      </c>
      <c r="AD131">
        <v>1</v>
      </c>
      <c r="AE131">
        <v>4</v>
      </c>
      <c r="AF131">
        <v>1</v>
      </c>
      <c r="AG131">
        <v>1.3680000000000001</v>
      </c>
      <c r="AH131">
        <v>0.53300000000000003</v>
      </c>
      <c r="AI131">
        <v>0</v>
      </c>
    </row>
    <row r="132" spans="1:35" x14ac:dyDescent="0.25">
      <c r="A132">
        <v>259</v>
      </c>
      <c r="B132" t="s">
        <v>35</v>
      </c>
      <c r="C132">
        <v>3</v>
      </c>
      <c r="D132" t="s">
        <v>36</v>
      </c>
      <c r="E132">
        <v>1</v>
      </c>
      <c r="F132" t="s">
        <v>259</v>
      </c>
      <c r="G132">
        <v>1</v>
      </c>
      <c r="H132">
        <v>3</v>
      </c>
      <c r="I132">
        <v>2</v>
      </c>
      <c r="J132">
        <v>59</v>
      </c>
      <c r="K132">
        <v>52</v>
      </c>
      <c r="L132">
        <v>14</v>
      </c>
      <c r="M132">
        <v>1</v>
      </c>
      <c r="N132" t="s">
        <v>184</v>
      </c>
      <c r="O132" t="s">
        <v>151</v>
      </c>
      <c r="P132" t="s">
        <v>168</v>
      </c>
      <c r="Q132" t="s">
        <v>169</v>
      </c>
      <c r="R132" t="s">
        <v>154</v>
      </c>
      <c r="S132" t="s">
        <v>92</v>
      </c>
      <c r="T132" t="s">
        <v>141</v>
      </c>
      <c r="U132">
        <v>5</v>
      </c>
      <c r="V132" t="s">
        <v>96</v>
      </c>
      <c r="W132" t="s">
        <v>102</v>
      </c>
      <c r="X132" t="s">
        <v>107</v>
      </c>
      <c r="Y132">
        <v>1</v>
      </c>
      <c r="Z132">
        <v>2</v>
      </c>
      <c r="AA132">
        <v>48</v>
      </c>
      <c r="AB132">
        <v>3.0000000000000001E-3</v>
      </c>
      <c r="AC132" t="s">
        <v>96</v>
      </c>
      <c r="AD132">
        <v>2</v>
      </c>
      <c r="AE132">
        <v>4</v>
      </c>
      <c r="AF132">
        <v>0</v>
      </c>
      <c r="AG132">
        <v>1.7909999999999999</v>
      </c>
      <c r="AH132">
        <v>0.317</v>
      </c>
      <c r="AI132">
        <v>0</v>
      </c>
    </row>
    <row r="133" spans="1:35" x14ac:dyDescent="0.25">
      <c r="A133">
        <v>259</v>
      </c>
      <c r="B133" t="s">
        <v>35</v>
      </c>
      <c r="C133">
        <v>3</v>
      </c>
      <c r="D133" t="s">
        <v>36</v>
      </c>
      <c r="E133">
        <v>1</v>
      </c>
      <c r="F133" t="s">
        <v>259</v>
      </c>
      <c r="G133">
        <v>1</v>
      </c>
      <c r="H133">
        <v>3</v>
      </c>
      <c r="I133">
        <v>2</v>
      </c>
      <c r="J133">
        <v>60</v>
      </c>
      <c r="K133">
        <v>70</v>
      </c>
      <c r="L133">
        <v>58</v>
      </c>
      <c r="M133">
        <v>2</v>
      </c>
      <c r="N133" t="s">
        <v>235</v>
      </c>
      <c r="O133" t="s">
        <v>151</v>
      </c>
      <c r="P133" t="s">
        <v>236</v>
      </c>
      <c r="Q133" t="s">
        <v>237</v>
      </c>
      <c r="R133" t="s">
        <v>160</v>
      </c>
      <c r="S133" t="s">
        <v>43</v>
      </c>
      <c r="T133" t="s">
        <v>55</v>
      </c>
      <c r="U133">
        <v>5</v>
      </c>
      <c r="V133" t="s">
        <v>75</v>
      </c>
      <c r="W133" t="s">
        <v>94</v>
      </c>
      <c r="X133" t="s">
        <v>95</v>
      </c>
      <c r="Y133">
        <v>1</v>
      </c>
      <c r="Z133">
        <v>2</v>
      </c>
      <c r="AA133">
        <v>48</v>
      </c>
      <c r="AB133">
        <v>4.0000000000000001E-3</v>
      </c>
      <c r="AC133" t="s">
        <v>94</v>
      </c>
      <c r="AD133">
        <v>4</v>
      </c>
      <c r="AE133">
        <v>4</v>
      </c>
      <c r="AF133">
        <v>0</v>
      </c>
      <c r="AG133">
        <v>1.7529999999999999</v>
      </c>
      <c r="AH133">
        <v>0.4</v>
      </c>
      <c r="AI133">
        <v>0</v>
      </c>
    </row>
    <row r="134" spans="1:35" x14ac:dyDescent="0.25">
      <c r="A134">
        <v>259</v>
      </c>
      <c r="B134" t="s">
        <v>35</v>
      </c>
      <c r="C134">
        <v>3</v>
      </c>
      <c r="D134" t="s">
        <v>36</v>
      </c>
      <c r="E134">
        <v>1</v>
      </c>
      <c r="F134" t="s">
        <v>259</v>
      </c>
      <c r="G134">
        <v>1</v>
      </c>
      <c r="H134">
        <v>3</v>
      </c>
      <c r="I134">
        <v>2</v>
      </c>
      <c r="J134">
        <v>61</v>
      </c>
      <c r="K134">
        <v>55</v>
      </c>
      <c r="L134">
        <v>51</v>
      </c>
      <c r="M134">
        <v>2</v>
      </c>
      <c r="N134" t="s">
        <v>176</v>
      </c>
      <c r="O134" t="s">
        <v>151</v>
      </c>
      <c r="P134" t="s">
        <v>177</v>
      </c>
      <c r="Q134" t="s">
        <v>178</v>
      </c>
      <c r="R134" t="s">
        <v>170</v>
      </c>
      <c r="S134" t="s">
        <v>59</v>
      </c>
      <c r="T134" t="s">
        <v>139</v>
      </c>
      <c r="U134">
        <v>1</v>
      </c>
      <c r="V134" t="s">
        <v>108</v>
      </c>
      <c r="W134" t="s">
        <v>120</v>
      </c>
      <c r="X134" t="s">
        <v>172</v>
      </c>
      <c r="Y134">
        <v>1</v>
      </c>
      <c r="Z134">
        <v>2</v>
      </c>
      <c r="AA134">
        <v>48</v>
      </c>
      <c r="AB134">
        <v>5.0000000000000001E-3</v>
      </c>
      <c r="AC134" t="s">
        <v>120</v>
      </c>
      <c r="AD134">
        <v>4</v>
      </c>
      <c r="AE134">
        <v>4</v>
      </c>
      <c r="AF134">
        <v>0</v>
      </c>
      <c r="AG134">
        <v>2.0270000000000001</v>
      </c>
      <c r="AH134">
        <v>0.61699999999999999</v>
      </c>
      <c r="AI134">
        <v>0</v>
      </c>
    </row>
    <row r="135" spans="1:35" x14ac:dyDescent="0.25">
      <c r="A135">
        <v>259</v>
      </c>
      <c r="B135" t="s">
        <v>35</v>
      </c>
      <c r="C135">
        <v>3</v>
      </c>
      <c r="D135" t="s">
        <v>36</v>
      </c>
      <c r="E135">
        <v>1</v>
      </c>
      <c r="F135" t="s">
        <v>259</v>
      </c>
      <c r="G135">
        <v>1</v>
      </c>
      <c r="H135">
        <v>3</v>
      </c>
      <c r="I135">
        <v>2</v>
      </c>
      <c r="J135">
        <v>62</v>
      </c>
      <c r="K135">
        <v>58</v>
      </c>
      <c r="L135">
        <v>16</v>
      </c>
      <c r="M135">
        <v>1</v>
      </c>
      <c r="N135" t="s">
        <v>173</v>
      </c>
      <c r="O135" t="s">
        <v>151</v>
      </c>
      <c r="P135" t="s">
        <v>152</v>
      </c>
      <c r="Q135" t="s">
        <v>153</v>
      </c>
      <c r="R135" t="s">
        <v>174</v>
      </c>
      <c r="S135" t="s">
        <v>52</v>
      </c>
      <c r="T135" t="s">
        <v>99</v>
      </c>
      <c r="U135">
        <v>1</v>
      </c>
      <c r="V135" t="s">
        <v>155</v>
      </c>
      <c r="W135" t="s">
        <v>147</v>
      </c>
      <c r="X135" t="s">
        <v>162</v>
      </c>
      <c r="Y135">
        <v>1</v>
      </c>
      <c r="Z135">
        <v>2</v>
      </c>
      <c r="AA135">
        <v>48</v>
      </c>
      <c r="AB135">
        <v>5.0000000000000001E-3</v>
      </c>
      <c r="AC135" t="s">
        <v>155</v>
      </c>
      <c r="AD135">
        <v>2</v>
      </c>
      <c r="AE135">
        <v>5</v>
      </c>
      <c r="AF135">
        <v>0</v>
      </c>
      <c r="AG135">
        <v>2.1110000000000002</v>
      </c>
      <c r="AH135">
        <v>0.56699999999999995</v>
      </c>
      <c r="AI135">
        <v>0</v>
      </c>
    </row>
    <row r="136" spans="1:35" x14ac:dyDescent="0.25">
      <c r="A136">
        <v>259</v>
      </c>
      <c r="B136" t="s">
        <v>35</v>
      </c>
      <c r="C136">
        <v>3</v>
      </c>
      <c r="D136" t="s">
        <v>36</v>
      </c>
      <c r="E136">
        <v>1</v>
      </c>
      <c r="F136" t="s">
        <v>259</v>
      </c>
      <c r="G136">
        <v>1</v>
      </c>
      <c r="H136">
        <v>3</v>
      </c>
      <c r="I136">
        <v>2</v>
      </c>
      <c r="J136">
        <v>63</v>
      </c>
      <c r="K136">
        <v>50</v>
      </c>
      <c r="L136">
        <v>60</v>
      </c>
      <c r="M136">
        <v>2</v>
      </c>
      <c r="N136" t="s">
        <v>157</v>
      </c>
      <c r="O136" t="s">
        <v>151</v>
      </c>
      <c r="P136" t="s">
        <v>158</v>
      </c>
      <c r="Q136" t="s">
        <v>159</v>
      </c>
      <c r="R136" t="s">
        <v>160</v>
      </c>
      <c r="S136" t="s">
        <v>43</v>
      </c>
      <c r="T136" t="s">
        <v>161</v>
      </c>
      <c r="U136">
        <v>5</v>
      </c>
      <c r="V136" t="s">
        <v>121</v>
      </c>
      <c r="W136" t="s">
        <v>98</v>
      </c>
      <c r="X136" t="s">
        <v>130</v>
      </c>
      <c r="Y136">
        <v>2</v>
      </c>
      <c r="Z136">
        <v>2</v>
      </c>
      <c r="AA136">
        <v>48</v>
      </c>
      <c r="AB136">
        <v>2E-3</v>
      </c>
      <c r="AC136" t="s">
        <v>98</v>
      </c>
      <c r="AD136">
        <v>4</v>
      </c>
      <c r="AE136">
        <v>1</v>
      </c>
      <c r="AF136">
        <v>0</v>
      </c>
      <c r="AG136">
        <v>2.2669999999999999</v>
      </c>
      <c r="AH136">
        <v>0.3</v>
      </c>
      <c r="AI136">
        <v>0</v>
      </c>
    </row>
    <row r="137" spans="1:35" x14ac:dyDescent="0.25">
      <c r="A137">
        <v>259</v>
      </c>
      <c r="B137" t="s">
        <v>35</v>
      </c>
      <c r="C137">
        <v>3</v>
      </c>
      <c r="D137" t="s">
        <v>36</v>
      </c>
      <c r="E137">
        <v>1</v>
      </c>
      <c r="F137" t="s">
        <v>259</v>
      </c>
      <c r="G137">
        <v>1</v>
      </c>
      <c r="H137">
        <v>3</v>
      </c>
      <c r="I137">
        <v>2</v>
      </c>
      <c r="J137">
        <v>64</v>
      </c>
      <c r="K137">
        <v>65</v>
      </c>
      <c r="L137">
        <v>53</v>
      </c>
      <c r="M137">
        <v>2</v>
      </c>
      <c r="N137" t="s">
        <v>257</v>
      </c>
      <c r="O137" t="s">
        <v>151</v>
      </c>
      <c r="P137" t="s">
        <v>249</v>
      </c>
      <c r="Q137" t="s">
        <v>250</v>
      </c>
      <c r="R137" t="s">
        <v>170</v>
      </c>
      <c r="S137" t="s">
        <v>59</v>
      </c>
      <c r="T137" t="s">
        <v>204</v>
      </c>
      <c r="U137">
        <v>4</v>
      </c>
      <c r="V137" t="s">
        <v>211</v>
      </c>
      <c r="W137" t="s">
        <v>85</v>
      </c>
      <c r="X137" t="s">
        <v>119</v>
      </c>
      <c r="Y137">
        <v>2</v>
      </c>
      <c r="Z137">
        <v>2</v>
      </c>
      <c r="AA137">
        <v>48</v>
      </c>
      <c r="AB137">
        <v>2E-3</v>
      </c>
      <c r="AC137" t="s">
        <v>85</v>
      </c>
      <c r="AD137">
        <v>4</v>
      </c>
      <c r="AE137">
        <v>1</v>
      </c>
      <c r="AF137">
        <v>0</v>
      </c>
      <c r="AG137">
        <v>2.1960000000000002</v>
      </c>
      <c r="AH137">
        <v>0.41699999999999998</v>
      </c>
      <c r="AI137">
        <v>0</v>
      </c>
    </row>
    <row r="138" spans="1:35" x14ac:dyDescent="0.25">
      <c r="A138">
        <v>259</v>
      </c>
      <c r="B138" t="s">
        <v>35</v>
      </c>
      <c r="C138">
        <v>3</v>
      </c>
      <c r="D138" t="s">
        <v>36</v>
      </c>
      <c r="E138">
        <v>1</v>
      </c>
      <c r="F138" t="s">
        <v>259</v>
      </c>
      <c r="G138">
        <v>1</v>
      </c>
      <c r="H138">
        <v>3</v>
      </c>
      <c r="I138">
        <v>2</v>
      </c>
      <c r="J138">
        <v>65</v>
      </c>
      <c r="K138">
        <v>53</v>
      </c>
      <c r="L138">
        <v>49</v>
      </c>
      <c r="M138">
        <v>2</v>
      </c>
      <c r="N138" t="s">
        <v>180</v>
      </c>
      <c r="O138" t="s">
        <v>151</v>
      </c>
      <c r="P138" t="s">
        <v>181</v>
      </c>
      <c r="Q138" t="s">
        <v>182</v>
      </c>
      <c r="R138" t="s">
        <v>154</v>
      </c>
      <c r="S138" t="s">
        <v>92</v>
      </c>
      <c r="T138" t="s">
        <v>183</v>
      </c>
      <c r="U138">
        <v>2</v>
      </c>
      <c r="V138" t="s">
        <v>86</v>
      </c>
      <c r="W138" t="s">
        <v>128</v>
      </c>
      <c r="X138" t="s">
        <v>144</v>
      </c>
      <c r="Y138">
        <v>2</v>
      </c>
      <c r="Z138">
        <v>2</v>
      </c>
      <c r="AA138">
        <v>48</v>
      </c>
      <c r="AB138">
        <v>4.0000000000000001E-3</v>
      </c>
      <c r="AC138" t="s">
        <v>144</v>
      </c>
      <c r="AD138">
        <v>4</v>
      </c>
      <c r="AE138">
        <v>4</v>
      </c>
      <c r="AF138">
        <v>0</v>
      </c>
      <c r="AG138">
        <v>1.4</v>
      </c>
      <c r="AH138">
        <v>0.317</v>
      </c>
      <c r="AI138">
        <v>0</v>
      </c>
    </row>
    <row r="139" spans="1:35" x14ac:dyDescent="0.25">
      <c r="A139">
        <v>259</v>
      </c>
      <c r="B139" t="s">
        <v>35</v>
      </c>
      <c r="C139">
        <v>3</v>
      </c>
      <c r="D139" t="s">
        <v>36</v>
      </c>
      <c r="E139">
        <v>1</v>
      </c>
      <c r="F139" t="s">
        <v>259</v>
      </c>
      <c r="G139">
        <v>1</v>
      </c>
      <c r="H139">
        <v>3</v>
      </c>
      <c r="I139">
        <v>2</v>
      </c>
      <c r="J139">
        <v>66</v>
      </c>
      <c r="K139">
        <v>64</v>
      </c>
      <c r="L139">
        <v>20</v>
      </c>
      <c r="M139">
        <v>1</v>
      </c>
      <c r="N139" t="s">
        <v>238</v>
      </c>
      <c r="O139" t="s">
        <v>151</v>
      </c>
      <c r="P139" t="s">
        <v>239</v>
      </c>
      <c r="Q139" t="s">
        <v>240</v>
      </c>
      <c r="R139" t="s">
        <v>160</v>
      </c>
      <c r="S139" t="s">
        <v>43</v>
      </c>
      <c r="T139" t="s">
        <v>82</v>
      </c>
      <c r="U139">
        <v>1</v>
      </c>
      <c r="V139" t="s">
        <v>110</v>
      </c>
      <c r="W139" t="s">
        <v>69</v>
      </c>
      <c r="X139" t="s">
        <v>80</v>
      </c>
      <c r="Y139">
        <v>2</v>
      </c>
      <c r="Z139">
        <v>2</v>
      </c>
      <c r="AA139">
        <v>48</v>
      </c>
      <c r="AB139">
        <v>3.0000000000000001E-3</v>
      </c>
      <c r="AC139" t="s">
        <v>80</v>
      </c>
      <c r="AD139">
        <v>4</v>
      </c>
      <c r="AE139">
        <v>2</v>
      </c>
      <c r="AF139">
        <v>0</v>
      </c>
      <c r="AG139">
        <v>1.5309999999999999</v>
      </c>
      <c r="AH139">
        <v>0.3</v>
      </c>
      <c r="AI139">
        <v>0</v>
      </c>
    </row>
    <row r="140" spans="1:35" x14ac:dyDescent="0.25">
      <c r="A140">
        <v>259</v>
      </c>
      <c r="B140" t="s">
        <v>35</v>
      </c>
      <c r="C140">
        <v>3</v>
      </c>
      <c r="D140" t="s">
        <v>36</v>
      </c>
      <c r="E140">
        <v>1</v>
      </c>
      <c r="F140" t="s">
        <v>259</v>
      </c>
      <c r="G140">
        <v>1</v>
      </c>
      <c r="H140">
        <v>3</v>
      </c>
      <c r="I140">
        <v>2</v>
      </c>
      <c r="J140">
        <v>67</v>
      </c>
      <c r="K140">
        <v>60</v>
      </c>
      <c r="L140">
        <v>56</v>
      </c>
      <c r="M140">
        <v>2</v>
      </c>
      <c r="N140" t="s">
        <v>175</v>
      </c>
      <c r="O140" t="s">
        <v>151</v>
      </c>
      <c r="P140" t="s">
        <v>164</v>
      </c>
      <c r="Q140" t="s">
        <v>165</v>
      </c>
      <c r="R140" t="s">
        <v>174</v>
      </c>
      <c r="S140" t="s">
        <v>52</v>
      </c>
      <c r="T140" t="s">
        <v>166</v>
      </c>
      <c r="U140">
        <v>5</v>
      </c>
      <c r="V140" t="s">
        <v>132</v>
      </c>
      <c r="W140" t="s">
        <v>45</v>
      </c>
      <c r="X140" t="s">
        <v>116</v>
      </c>
      <c r="Y140">
        <v>2</v>
      </c>
      <c r="Z140">
        <v>2</v>
      </c>
      <c r="AA140">
        <v>48</v>
      </c>
      <c r="AB140">
        <v>3.0000000000000001E-3</v>
      </c>
      <c r="AC140" t="s">
        <v>116</v>
      </c>
      <c r="AD140">
        <v>4</v>
      </c>
      <c r="AE140">
        <v>1</v>
      </c>
      <c r="AF140">
        <v>0</v>
      </c>
      <c r="AG140">
        <v>2.44</v>
      </c>
      <c r="AH140">
        <v>0.68300000000000005</v>
      </c>
      <c r="AI140">
        <v>0</v>
      </c>
    </row>
    <row r="141" spans="1:35" x14ac:dyDescent="0.25">
      <c r="A141">
        <v>259</v>
      </c>
      <c r="B141" t="s">
        <v>35</v>
      </c>
      <c r="C141">
        <v>3</v>
      </c>
      <c r="D141" t="s">
        <v>36</v>
      </c>
      <c r="E141">
        <v>1</v>
      </c>
      <c r="F141" t="s">
        <v>259</v>
      </c>
      <c r="G141">
        <v>1</v>
      </c>
      <c r="H141">
        <v>3</v>
      </c>
      <c r="I141">
        <v>2</v>
      </c>
      <c r="J141">
        <v>68</v>
      </c>
      <c r="K141">
        <v>57</v>
      </c>
      <c r="L141">
        <v>15</v>
      </c>
      <c r="M141">
        <v>1</v>
      </c>
      <c r="N141" t="s">
        <v>150</v>
      </c>
      <c r="O141" t="s">
        <v>151</v>
      </c>
      <c r="P141" t="s">
        <v>152</v>
      </c>
      <c r="Q141" t="s">
        <v>153</v>
      </c>
      <c r="R141" t="s">
        <v>154</v>
      </c>
      <c r="S141" t="s">
        <v>92</v>
      </c>
      <c r="T141" t="s">
        <v>155</v>
      </c>
      <c r="U141">
        <v>5</v>
      </c>
      <c r="V141" t="s">
        <v>141</v>
      </c>
      <c r="W141" t="s">
        <v>53</v>
      </c>
      <c r="X141" t="s">
        <v>74</v>
      </c>
      <c r="Y141">
        <v>2</v>
      </c>
      <c r="Z141">
        <v>2</v>
      </c>
      <c r="AA141">
        <v>48</v>
      </c>
      <c r="AB141">
        <v>2E-3</v>
      </c>
      <c r="AC141" t="s">
        <v>155</v>
      </c>
      <c r="AD141">
        <v>1</v>
      </c>
      <c r="AE141">
        <v>5</v>
      </c>
      <c r="AF141">
        <v>1</v>
      </c>
      <c r="AG141">
        <v>2.411</v>
      </c>
      <c r="AH141">
        <v>6.7000000000000004E-2</v>
      </c>
      <c r="AI141">
        <v>0</v>
      </c>
    </row>
    <row r="142" spans="1:35" x14ac:dyDescent="0.25">
      <c r="A142">
        <v>259</v>
      </c>
      <c r="B142" t="s">
        <v>35</v>
      </c>
      <c r="C142">
        <v>3</v>
      </c>
      <c r="D142" t="s">
        <v>36</v>
      </c>
      <c r="E142">
        <v>1</v>
      </c>
      <c r="F142" t="s">
        <v>259</v>
      </c>
      <c r="G142">
        <v>1</v>
      </c>
      <c r="H142">
        <v>3</v>
      </c>
      <c r="I142">
        <v>2</v>
      </c>
      <c r="J142">
        <v>69</v>
      </c>
      <c r="K142">
        <v>54</v>
      </c>
      <c r="L142">
        <v>50</v>
      </c>
      <c r="M142">
        <v>2</v>
      </c>
      <c r="N142" t="s">
        <v>186</v>
      </c>
      <c r="O142" t="s">
        <v>151</v>
      </c>
      <c r="P142" t="s">
        <v>181</v>
      </c>
      <c r="Q142" t="s">
        <v>182</v>
      </c>
      <c r="R142" t="s">
        <v>174</v>
      </c>
      <c r="S142" t="s">
        <v>52</v>
      </c>
      <c r="T142" t="s">
        <v>187</v>
      </c>
      <c r="U142">
        <v>1</v>
      </c>
      <c r="V142" t="s">
        <v>183</v>
      </c>
      <c r="W142" t="s">
        <v>124</v>
      </c>
      <c r="X142" t="s">
        <v>138</v>
      </c>
      <c r="Y142">
        <v>1</v>
      </c>
      <c r="Z142">
        <v>2</v>
      </c>
      <c r="AA142">
        <v>48</v>
      </c>
      <c r="AB142">
        <v>2E-3</v>
      </c>
      <c r="AC142" t="s">
        <v>138</v>
      </c>
      <c r="AD142">
        <v>4</v>
      </c>
      <c r="AE142">
        <v>2</v>
      </c>
      <c r="AF142">
        <v>0</v>
      </c>
      <c r="AG142">
        <v>1.9139999999999999</v>
      </c>
      <c r="AH142">
        <v>0.7</v>
      </c>
      <c r="AI142">
        <v>0</v>
      </c>
    </row>
    <row r="143" spans="1:35" x14ac:dyDescent="0.25">
      <c r="A143">
        <v>259</v>
      </c>
      <c r="B143" t="s">
        <v>35</v>
      </c>
      <c r="C143">
        <v>3</v>
      </c>
      <c r="D143" t="s">
        <v>36</v>
      </c>
      <c r="E143">
        <v>1</v>
      </c>
      <c r="F143" t="s">
        <v>259</v>
      </c>
      <c r="G143">
        <v>1</v>
      </c>
      <c r="H143">
        <v>3</v>
      </c>
      <c r="I143">
        <v>2</v>
      </c>
      <c r="J143">
        <v>70</v>
      </c>
      <c r="K143">
        <v>51</v>
      </c>
      <c r="L143">
        <v>13</v>
      </c>
      <c r="M143">
        <v>1</v>
      </c>
      <c r="N143" t="s">
        <v>167</v>
      </c>
      <c r="O143" t="s">
        <v>151</v>
      </c>
      <c r="P143" t="s">
        <v>168</v>
      </c>
      <c r="Q143" t="s">
        <v>169</v>
      </c>
      <c r="R143" t="s">
        <v>170</v>
      </c>
      <c r="S143" t="s">
        <v>59</v>
      </c>
      <c r="T143" t="s">
        <v>96</v>
      </c>
      <c r="U143">
        <v>2</v>
      </c>
      <c r="V143" t="s">
        <v>103</v>
      </c>
      <c r="W143" t="s">
        <v>111</v>
      </c>
      <c r="X143" t="s">
        <v>67</v>
      </c>
      <c r="Y143">
        <v>2</v>
      </c>
      <c r="Z143">
        <v>2</v>
      </c>
      <c r="AA143">
        <v>48</v>
      </c>
      <c r="AB143">
        <v>2E-3</v>
      </c>
      <c r="AC143" t="s">
        <v>103</v>
      </c>
      <c r="AD143">
        <v>3</v>
      </c>
      <c r="AE143">
        <v>1</v>
      </c>
      <c r="AF143">
        <v>0</v>
      </c>
      <c r="AG143">
        <v>1.958</v>
      </c>
      <c r="AH143">
        <v>0.38300000000000001</v>
      </c>
      <c r="AI143">
        <v>0</v>
      </c>
    </row>
    <row r="144" spans="1:35" x14ac:dyDescent="0.25">
      <c r="A144">
        <v>259</v>
      </c>
      <c r="B144" t="s">
        <v>35</v>
      </c>
      <c r="C144">
        <v>3</v>
      </c>
      <c r="D144" t="s">
        <v>36</v>
      </c>
      <c r="E144">
        <v>1</v>
      </c>
      <c r="F144" t="s">
        <v>259</v>
      </c>
      <c r="G144">
        <v>1</v>
      </c>
      <c r="H144">
        <v>3</v>
      </c>
      <c r="I144">
        <v>2</v>
      </c>
      <c r="J144">
        <v>71</v>
      </c>
      <c r="K144">
        <v>61</v>
      </c>
      <c r="L144">
        <v>23</v>
      </c>
      <c r="M144">
        <v>1</v>
      </c>
      <c r="N144" t="s">
        <v>244</v>
      </c>
      <c r="O144" t="s">
        <v>151</v>
      </c>
      <c r="P144" t="s">
        <v>245</v>
      </c>
      <c r="Q144" t="s">
        <v>246</v>
      </c>
      <c r="R144" t="s">
        <v>154</v>
      </c>
      <c r="S144" t="s">
        <v>92</v>
      </c>
      <c r="T144" t="s">
        <v>62</v>
      </c>
      <c r="U144">
        <v>4</v>
      </c>
      <c r="V144" t="s">
        <v>68</v>
      </c>
      <c r="W144" t="s">
        <v>66</v>
      </c>
      <c r="X144" t="s">
        <v>81</v>
      </c>
      <c r="Y144">
        <v>2</v>
      </c>
      <c r="Z144">
        <v>2</v>
      </c>
      <c r="AA144">
        <v>48</v>
      </c>
      <c r="AB144">
        <v>4.0000000000000001E-3</v>
      </c>
      <c r="AC144" t="s">
        <v>81</v>
      </c>
      <c r="AD144">
        <v>4</v>
      </c>
      <c r="AE144">
        <v>5</v>
      </c>
      <c r="AF144">
        <v>0</v>
      </c>
      <c r="AG144">
        <v>2.367</v>
      </c>
      <c r="AH144">
        <v>0.317</v>
      </c>
      <c r="AI144">
        <v>0</v>
      </c>
    </row>
    <row r="145" spans="1:35" x14ac:dyDescent="0.25">
      <c r="A145">
        <v>259</v>
      </c>
      <c r="B145" t="s">
        <v>35</v>
      </c>
      <c r="C145">
        <v>3</v>
      </c>
      <c r="D145" t="s">
        <v>36</v>
      </c>
      <c r="E145">
        <v>1</v>
      </c>
      <c r="F145" t="s">
        <v>259</v>
      </c>
      <c r="G145">
        <v>1</v>
      </c>
      <c r="H145">
        <v>3</v>
      </c>
      <c r="I145">
        <v>2</v>
      </c>
      <c r="J145">
        <v>72</v>
      </c>
      <c r="K145">
        <v>59</v>
      </c>
      <c r="L145">
        <v>55</v>
      </c>
      <c r="M145">
        <v>2</v>
      </c>
      <c r="N145" t="s">
        <v>163</v>
      </c>
      <c r="O145" t="s">
        <v>151</v>
      </c>
      <c r="P145" t="s">
        <v>164</v>
      </c>
      <c r="Q145" t="s">
        <v>165</v>
      </c>
      <c r="R145" t="s">
        <v>154</v>
      </c>
      <c r="S145" t="s">
        <v>92</v>
      </c>
      <c r="T145" t="s">
        <v>86</v>
      </c>
      <c r="U145">
        <v>4</v>
      </c>
      <c r="V145" t="s">
        <v>166</v>
      </c>
      <c r="W145" t="s">
        <v>100</v>
      </c>
      <c r="X145" t="s">
        <v>131</v>
      </c>
      <c r="Y145">
        <v>1</v>
      </c>
      <c r="Z145">
        <v>2</v>
      </c>
      <c r="AA145">
        <v>48</v>
      </c>
      <c r="AB145">
        <v>3.0000000000000001E-3</v>
      </c>
      <c r="AC145" t="s">
        <v>86</v>
      </c>
      <c r="AD145">
        <v>1</v>
      </c>
      <c r="AE145">
        <v>4</v>
      </c>
      <c r="AF145">
        <v>1</v>
      </c>
      <c r="AG145">
        <v>1.246</v>
      </c>
      <c r="AH145">
        <v>0.26700000000000002</v>
      </c>
      <c r="AI145">
        <v>0</v>
      </c>
    </row>
    <row r="146" spans="1:35" x14ac:dyDescent="0.25">
      <c r="A146">
        <v>259</v>
      </c>
      <c r="B146" t="s">
        <v>35</v>
      </c>
      <c r="C146">
        <v>3</v>
      </c>
      <c r="D146" t="s">
        <v>36</v>
      </c>
      <c r="E146">
        <v>1</v>
      </c>
      <c r="F146" t="s">
        <v>259</v>
      </c>
      <c r="G146">
        <v>1</v>
      </c>
      <c r="H146">
        <v>3</v>
      </c>
      <c r="I146">
        <v>3</v>
      </c>
      <c r="J146">
        <v>1</v>
      </c>
      <c r="K146">
        <v>21</v>
      </c>
      <c r="L146">
        <v>45</v>
      </c>
      <c r="M146">
        <v>2</v>
      </c>
      <c r="N146" t="s">
        <v>210</v>
      </c>
      <c r="O146" t="s">
        <v>39</v>
      </c>
      <c r="P146" t="s">
        <v>190</v>
      </c>
      <c r="Q146" t="s">
        <v>191</v>
      </c>
      <c r="R146" t="s">
        <v>51</v>
      </c>
      <c r="S146" t="s">
        <v>52</v>
      </c>
      <c r="T146" t="s">
        <v>149</v>
      </c>
      <c r="U146">
        <v>2</v>
      </c>
      <c r="V146" t="s">
        <v>45</v>
      </c>
      <c r="W146" t="s">
        <v>130</v>
      </c>
      <c r="X146" t="s">
        <v>183</v>
      </c>
      <c r="Y146">
        <v>1</v>
      </c>
      <c r="Z146">
        <v>4</v>
      </c>
      <c r="AA146">
        <v>48</v>
      </c>
      <c r="AB146">
        <v>3.0000000000000001E-3</v>
      </c>
      <c r="AC146" t="s">
        <v>183</v>
      </c>
      <c r="AD146">
        <v>4</v>
      </c>
      <c r="AE146">
        <v>5</v>
      </c>
      <c r="AF146">
        <v>0</v>
      </c>
      <c r="AG146">
        <v>1.9</v>
      </c>
      <c r="AH146">
        <v>1.383</v>
      </c>
      <c r="AI146">
        <v>0</v>
      </c>
    </row>
    <row r="147" spans="1:35" x14ac:dyDescent="0.25">
      <c r="A147">
        <v>259</v>
      </c>
      <c r="B147" t="s">
        <v>35</v>
      </c>
      <c r="C147">
        <v>3</v>
      </c>
      <c r="D147" t="s">
        <v>36</v>
      </c>
      <c r="E147">
        <v>1</v>
      </c>
      <c r="F147" t="s">
        <v>259</v>
      </c>
      <c r="G147">
        <v>1</v>
      </c>
      <c r="H147">
        <v>3</v>
      </c>
      <c r="I147">
        <v>3</v>
      </c>
      <c r="J147">
        <v>2</v>
      </c>
      <c r="K147">
        <v>24</v>
      </c>
      <c r="L147">
        <v>10</v>
      </c>
      <c r="M147">
        <v>1</v>
      </c>
      <c r="N147" t="s">
        <v>201</v>
      </c>
      <c r="O147" t="s">
        <v>39</v>
      </c>
      <c r="P147" t="s">
        <v>202</v>
      </c>
      <c r="Q147" t="s">
        <v>203</v>
      </c>
      <c r="R147" t="s">
        <v>51</v>
      </c>
      <c r="S147" t="s">
        <v>52</v>
      </c>
      <c r="T147" t="s">
        <v>172</v>
      </c>
      <c r="U147">
        <v>4</v>
      </c>
      <c r="V147" t="s">
        <v>147</v>
      </c>
      <c r="W147" t="s">
        <v>110</v>
      </c>
      <c r="X147" t="s">
        <v>100</v>
      </c>
      <c r="Y147">
        <v>1</v>
      </c>
      <c r="Z147">
        <v>4</v>
      </c>
      <c r="AA147">
        <v>48</v>
      </c>
      <c r="AB147">
        <v>4.0000000000000001E-3</v>
      </c>
      <c r="AC147" t="s">
        <v>147</v>
      </c>
      <c r="AD147">
        <v>2</v>
      </c>
      <c r="AE147">
        <v>5</v>
      </c>
      <c r="AF147">
        <v>0</v>
      </c>
      <c r="AG147">
        <v>2.1920000000000002</v>
      </c>
      <c r="AH147">
        <v>0.183</v>
      </c>
      <c r="AI147">
        <v>0</v>
      </c>
    </row>
    <row r="148" spans="1:35" x14ac:dyDescent="0.25">
      <c r="A148">
        <v>259</v>
      </c>
      <c r="B148" t="s">
        <v>35</v>
      </c>
      <c r="C148">
        <v>3</v>
      </c>
      <c r="D148" t="s">
        <v>36</v>
      </c>
      <c r="E148">
        <v>1</v>
      </c>
      <c r="F148" t="s">
        <v>259</v>
      </c>
      <c r="G148">
        <v>1</v>
      </c>
      <c r="H148">
        <v>3</v>
      </c>
      <c r="I148">
        <v>3</v>
      </c>
      <c r="J148">
        <v>3</v>
      </c>
      <c r="K148">
        <v>22</v>
      </c>
      <c r="L148">
        <v>46</v>
      </c>
      <c r="M148">
        <v>2</v>
      </c>
      <c r="N148" t="s">
        <v>189</v>
      </c>
      <c r="O148" t="s">
        <v>39</v>
      </c>
      <c r="P148" t="s">
        <v>190</v>
      </c>
      <c r="Q148" t="s">
        <v>191</v>
      </c>
      <c r="R148" t="s">
        <v>42</v>
      </c>
      <c r="S148" t="s">
        <v>43</v>
      </c>
      <c r="T148" t="s">
        <v>45</v>
      </c>
      <c r="U148">
        <v>5</v>
      </c>
      <c r="V148" t="s">
        <v>67</v>
      </c>
      <c r="W148" t="s">
        <v>119</v>
      </c>
      <c r="X148" t="s">
        <v>204</v>
      </c>
      <c r="Y148">
        <v>2</v>
      </c>
      <c r="Z148">
        <v>4</v>
      </c>
      <c r="AA148">
        <v>48</v>
      </c>
      <c r="AB148">
        <v>2E-3</v>
      </c>
      <c r="AC148" t="s">
        <v>67</v>
      </c>
      <c r="AD148">
        <v>3</v>
      </c>
      <c r="AE148">
        <v>4</v>
      </c>
      <c r="AF148">
        <v>0</v>
      </c>
      <c r="AG148">
        <v>1.9039999999999999</v>
      </c>
      <c r="AH148">
        <v>1.45</v>
      </c>
      <c r="AI148">
        <v>0</v>
      </c>
    </row>
    <row r="149" spans="1:35" x14ac:dyDescent="0.25">
      <c r="A149">
        <v>259</v>
      </c>
      <c r="B149" t="s">
        <v>35</v>
      </c>
      <c r="C149">
        <v>3</v>
      </c>
      <c r="D149" t="s">
        <v>36</v>
      </c>
      <c r="E149">
        <v>1</v>
      </c>
      <c r="F149" t="s">
        <v>259</v>
      </c>
      <c r="G149">
        <v>1</v>
      </c>
      <c r="H149">
        <v>3</v>
      </c>
      <c r="I149">
        <v>3</v>
      </c>
      <c r="J149">
        <v>4</v>
      </c>
      <c r="K149">
        <v>12</v>
      </c>
      <c r="L149">
        <v>44</v>
      </c>
      <c r="M149">
        <v>2</v>
      </c>
      <c r="N149" t="s">
        <v>76</v>
      </c>
      <c r="O149" t="s">
        <v>39</v>
      </c>
      <c r="P149" t="s">
        <v>77</v>
      </c>
      <c r="Q149" t="s">
        <v>78</v>
      </c>
      <c r="R149" t="s">
        <v>51</v>
      </c>
      <c r="S149" t="s">
        <v>52</v>
      </c>
      <c r="T149" t="s">
        <v>79</v>
      </c>
      <c r="U149">
        <v>4</v>
      </c>
      <c r="V149" t="s">
        <v>149</v>
      </c>
      <c r="W149" t="s">
        <v>121</v>
      </c>
      <c r="X149" t="s">
        <v>111</v>
      </c>
      <c r="Y149">
        <v>2</v>
      </c>
      <c r="Z149">
        <v>4</v>
      </c>
      <c r="AA149">
        <v>48</v>
      </c>
      <c r="AB149">
        <v>3.0000000000000001E-3</v>
      </c>
      <c r="AC149" t="s">
        <v>149</v>
      </c>
      <c r="AD149">
        <v>3</v>
      </c>
      <c r="AE149">
        <v>1</v>
      </c>
      <c r="AF149">
        <v>0</v>
      </c>
      <c r="AG149">
        <v>2.5219999999999998</v>
      </c>
      <c r="AH149">
        <v>0.26700000000000002</v>
      </c>
      <c r="AI149">
        <v>0</v>
      </c>
    </row>
    <row r="150" spans="1:35" x14ac:dyDescent="0.25">
      <c r="A150">
        <v>259</v>
      </c>
      <c r="B150" t="s">
        <v>35</v>
      </c>
      <c r="C150">
        <v>3</v>
      </c>
      <c r="D150" t="s">
        <v>36</v>
      </c>
      <c r="E150">
        <v>1</v>
      </c>
      <c r="F150" t="s">
        <v>259</v>
      </c>
      <c r="G150">
        <v>1</v>
      </c>
      <c r="H150">
        <v>3</v>
      </c>
      <c r="I150">
        <v>3</v>
      </c>
      <c r="J150">
        <v>5</v>
      </c>
      <c r="K150">
        <v>14</v>
      </c>
      <c r="L150">
        <v>12</v>
      </c>
      <c r="M150">
        <v>1</v>
      </c>
      <c r="N150" t="s">
        <v>206</v>
      </c>
      <c r="O150" t="s">
        <v>39</v>
      </c>
      <c r="P150" t="s">
        <v>207</v>
      </c>
      <c r="Q150" t="s">
        <v>208</v>
      </c>
      <c r="R150" t="s">
        <v>42</v>
      </c>
      <c r="S150" t="s">
        <v>43</v>
      </c>
      <c r="T150" t="s">
        <v>131</v>
      </c>
      <c r="U150">
        <v>1</v>
      </c>
      <c r="V150" t="s">
        <v>106</v>
      </c>
      <c r="W150" t="s">
        <v>211</v>
      </c>
      <c r="X150" t="s">
        <v>124</v>
      </c>
      <c r="Y150">
        <v>1</v>
      </c>
      <c r="Z150">
        <v>4</v>
      </c>
      <c r="AA150">
        <v>48</v>
      </c>
      <c r="AB150">
        <v>2E-3</v>
      </c>
      <c r="AC150" t="s">
        <v>106</v>
      </c>
      <c r="AD150">
        <v>2</v>
      </c>
      <c r="AE150">
        <v>5</v>
      </c>
      <c r="AF150">
        <v>0</v>
      </c>
      <c r="AG150">
        <v>1.829</v>
      </c>
      <c r="AH150">
        <v>0.26700000000000002</v>
      </c>
      <c r="AI150">
        <v>0</v>
      </c>
    </row>
    <row r="151" spans="1:35" x14ac:dyDescent="0.25">
      <c r="A151">
        <v>259</v>
      </c>
      <c r="B151" t="s">
        <v>35</v>
      </c>
      <c r="C151">
        <v>3</v>
      </c>
      <c r="D151" t="s">
        <v>36</v>
      </c>
      <c r="E151">
        <v>1</v>
      </c>
      <c r="F151" t="s">
        <v>259</v>
      </c>
      <c r="G151">
        <v>1</v>
      </c>
      <c r="H151">
        <v>3</v>
      </c>
      <c r="I151">
        <v>3</v>
      </c>
      <c r="J151">
        <v>6</v>
      </c>
      <c r="K151">
        <v>17</v>
      </c>
      <c r="L151">
        <v>41</v>
      </c>
      <c r="M151">
        <v>2</v>
      </c>
      <c r="N151" t="s">
        <v>198</v>
      </c>
      <c r="O151" t="s">
        <v>39</v>
      </c>
      <c r="P151" t="s">
        <v>199</v>
      </c>
      <c r="Q151" t="s">
        <v>200</v>
      </c>
      <c r="R151" t="s">
        <v>58</v>
      </c>
      <c r="S151" t="s">
        <v>59</v>
      </c>
      <c r="T151" t="s">
        <v>138</v>
      </c>
      <c r="U151">
        <v>1</v>
      </c>
      <c r="V151" t="s">
        <v>98</v>
      </c>
      <c r="W151" t="s">
        <v>132</v>
      </c>
      <c r="X151" t="s">
        <v>104</v>
      </c>
      <c r="Y151">
        <v>1</v>
      </c>
      <c r="Z151">
        <v>4</v>
      </c>
      <c r="AA151">
        <v>48</v>
      </c>
      <c r="AB151">
        <v>2E-3</v>
      </c>
      <c r="AC151" t="s">
        <v>138</v>
      </c>
      <c r="AD151">
        <v>1</v>
      </c>
      <c r="AE151">
        <v>1</v>
      </c>
      <c r="AF151">
        <v>1</v>
      </c>
      <c r="AG151">
        <v>2.2410000000000001</v>
      </c>
      <c r="AH151">
        <v>0.26700000000000002</v>
      </c>
      <c r="AI151">
        <v>0</v>
      </c>
    </row>
    <row r="152" spans="1:35" x14ac:dyDescent="0.25">
      <c r="A152">
        <v>259</v>
      </c>
      <c r="B152" t="s">
        <v>35</v>
      </c>
      <c r="C152">
        <v>3</v>
      </c>
      <c r="D152" t="s">
        <v>36</v>
      </c>
      <c r="E152">
        <v>1</v>
      </c>
      <c r="F152" t="s">
        <v>259</v>
      </c>
      <c r="G152">
        <v>1</v>
      </c>
      <c r="H152">
        <v>3</v>
      </c>
      <c r="I152">
        <v>3</v>
      </c>
      <c r="J152">
        <v>7</v>
      </c>
      <c r="K152">
        <v>6</v>
      </c>
      <c r="L152">
        <v>38</v>
      </c>
      <c r="M152">
        <v>2</v>
      </c>
      <c r="N152" t="s">
        <v>48</v>
      </c>
      <c r="O152" t="s">
        <v>39</v>
      </c>
      <c r="P152" t="s">
        <v>49</v>
      </c>
      <c r="Q152" t="s">
        <v>50</v>
      </c>
      <c r="R152" t="s">
        <v>51</v>
      </c>
      <c r="S152" t="s">
        <v>52</v>
      </c>
      <c r="T152" t="s">
        <v>53</v>
      </c>
      <c r="U152">
        <v>5</v>
      </c>
      <c r="V152" t="s">
        <v>172</v>
      </c>
      <c r="W152" t="s">
        <v>127</v>
      </c>
      <c r="X152" t="s">
        <v>146</v>
      </c>
      <c r="Y152">
        <v>2</v>
      </c>
      <c r="Z152">
        <v>4</v>
      </c>
      <c r="AA152">
        <v>48</v>
      </c>
      <c r="AB152">
        <v>3.0000000000000001E-3</v>
      </c>
      <c r="AC152" t="s">
        <v>53</v>
      </c>
      <c r="AD152">
        <v>1</v>
      </c>
      <c r="AE152">
        <v>5</v>
      </c>
      <c r="AF152">
        <v>1</v>
      </c>
      <c r="AG152">
        <v>2.21</v>
      </c>
      <c r="AH152">
        <v>0.33300000000000002</v>
      </c>
      <c r="AI152">
        <v>0</v>
      </c>
    </row>
    <row r="153" spans="1:35" x14ac:dyDescent="0.25">
      <c r="A153">
        <v>259</v>
      </c>
      <c r="B153" t="s">
        <v>35</v>
      </c>
      <c r="C153">
        <v>3</v>
      </c>
      <c r="D153" t="s">
        <v>36</v>
      </c>
      <c r="E153">
        <v>1</v>
      </c>
      <c r="F153" t="s">
        <v>259</v>
      </c>
      <c r="G153">
        <v>1</v>
      </c>
      <c r="H153">
        <v>3</v>
      </c>
      <c r="I153">
        <v>3</v>
      </c>
      <c r="J153">
        <v>8</v>
      </c>
      <c r="K153">
        <v>3</v>
      </c>
      <c r="L153">
        <v>1</v>
      </c>
      <c r="M153">
        <v>1</v>
      </c>
      <c r="N153" t="s">
        <v>70</v>
      </c>
      <c r="O153" t="s">
        <v>39</v>
      </c>
      <c r="P153" t="s">
        <v>71</v>
      </c>
      <c r="Q153" t="s">
        <v>72</v>
      </c>
      <c r="R153" t="s">
        <v>58</v>
      </c>
      <c r="S153" t="s">
        <v>59</v>
      </c>
      <c r="T153" t="s">
        <v>73</v>
      </c>
      <c r="U153">
        <v>2</v>
      </c>
      <c r="V153" t="s">
        <v>94</v>
      </c>
      <c r="W153" t="s">
        <v>81</v>
      </c>
      <c r="X153" t="s">
        <v>166</v>
      </c>
      <c r="Y153">
        <v>1</v>
      </c>
      <c r="Z153">
        <v>4</v>
      </c>
      <c r="AA153">
        <v>48</v>
      </c>
      <c r="AB153">
        <v>2E-3</v>
      </c>
      <c r="AC153" t="s">
        <v>73</v>
      </c>
      <c r="AD153">
        <v>1</v>
      </c>
      <c r="AE153">
        <v>2</v>
      </c>
      <c r="AF153">
        <v>1</v>
      </c>
      <c r="AG153">
        <v>2.42</v>
      </c>
      <c r="AH153">
        <v>0.317</v>
      </c>
      <c r="AI153">
        <v>0</v>
      </c>
    </row>
    <row r="154" spans="1:35" x14ac:dyDescent="0.25">
      <c r="A154">
        <v>259</v>
      </c>
      <c r="B154" t="s">
        <v>35</v>
      </c>
      <c r="C154">
        <v>3</v>
      </c>
      <c r="D154" t="s">
        <v>36</v>
      </c>
      <c r="E154">
        <v>1</v>
      </c>
      <c r="F154" t="s">
        <v>259</v>
      </c>
      <c r="G154">
        <v>1</v>
      </c>
      <c r="H154">
        <v>3</v>
      </c>
      <c r="I154">
        <v>3</v>
      </c>
      <c r="J154">
        <v>9</v>
      </c>
      <c r="K154">
        <v>2</v>
      </c>
      <c r="L154">
        <v>48</v>
      </c>
      <c r="M154">
        <v>2</v>
      </c>
      <c r="N154" t="s">
        <v>38</v>
      </c>
      <c r="O154" t="s">
        <v>39</v>
      </c>
      <c r="P154" t="s">
        <v>40</v>
      </c>
      <c r="Q154" t="s">
        <v>41</v>
      </c>
      <c r="R154" t="s">
        <v>42</v>
      </c>
      <c r="S154" t="s">
        <v>43</v>
      </c>
      <c r="T154" t="s">
        <v>44</v>
      </c>
      <c r="U154">
        <v>4</v>
      </c>
      <c r="V154" t="s">
        <v>60</v>
      </c>
      <c r="W154" t="s">
        <v>86</v>
      </c>
      <c r="X154" t="s">
        <v>120</v>
      </c>
      <c r="Y154">
        <v>1</v>
      </c>
      <c r="Z154">
        <v>4</v>
      </c>
      <c r="AA154">
        <v>48</v>
      </c>
      <c r="AB154">
        <v>4.0000000000000001E-3</v>
      </c>
      <c r="AC154" t="s">
        <v>60</v>
      </c>
      <c r="AD154">
        <v>2</v>
      </c>
      <c r="AE154">
        <v>5</v>
      </c>
      <c r="AF154">
        <v>0</v>
      </c>
      <c r="AG154">
        <v>1.6479999999999999</v>
      </c>
      <c r="AH154">
        <v>0.28299999999999997</v>
      </c>
      <c r="AI154">
        <v>0</v>
      </c>
    </row>
    <row r="155" spans="1:35" x14ac:dyDescent="0.25">
      <c r="A155">
        <v>259</v>
      </c>
      <c r="B155" t="s">
        <v>35</v>
      </c>
      <c r="C155">
        <v>3</v>
      </c>
      <c r="D155" t="s">
        <v>36</v>
      </c>
      <c r="E155">
        <v>1</v>
      </c>
      <c r="F155" t="s">
        <v>259</v>
      </c>
      <c r="G155">
        <v>1</v>
      </c>
      <c r="H155">
        <v>3</v>
      </c>
      <c r="I155">
        <v>3</v>
      </c>
      <c r="J155">
        <v>10</v>
      </c>
      <c r="K155">
        <v>10</v>
      </c>
      <c r="L155">
        <v>4</v>
      </c>
      <c r="M155">
        <v>1</v>
      </c>
      <c r="N155" t="s">
        <v>101</v>
      </c>
      <c r="O155" t="s">
        <v>39</v>
      </c>
      <c r="P155" t="s">
        <v>89</v>
      </c>
      <c r="Q155" t="s">
        <v>90</v>
      </c>
      <c r="R155" t="s">
        <v>51</v>
      </c>
      <c r="S155" t="s">
        <v>52</v>
      </c>
      <c r="T155" t="s">
        <v>102</v>
      </c>
      <c r="U155">
        <v>1</v>
      </c>
      <c r="V155" t="s">
        <v>144</v>
      </c>
      <c r="W155" t="s">
        <v>68</v>
      </c>
      <c r="X155" t="s">
        <v>179</v>
      </c>
      <c r="Y155">
        <v>2</v>
      </c>
      <c r="Z155">
        <v>4</v>
      </c>
      <c r="AA155">
        <v>48</v>
      </c>
      <c r="AB155">
        <v>4.0000000000000001E-3</v>
      </c>
      <c r="AC155" t="s">
        <v>102</v>
      </c>
      <c r="AD155">
        <v>1</v>
      </c>
      <c r="AE155">
        <v>1</v>
      </c>
      <c r="AF155">
        <v>1</v>
      </c>
      <c r="AG155">
        <v>1.861</v>
      </c>
      <c r="AH155">
        <v>0.6</v>
      </c>
      <c r="AI155">
        <v>0</v>
      </c>
    </row>
    <row r="156" spans="1:35" x14ac:dyDescent="0.25">
      <c r="A156">
        <v>259</v>
      </c>
      <c r="B156" t="s">
        <v>35</v>
      </c>
      <c r="C156">
        <v>3</v>
      </c>
      <c r="D156" t="s">
        <v>36</v>
      </c>
      <c r="E156">
        <v>1</v>
      </c>
      <c r="F156" t="s">
        <v>259</v>
      </c>
      <c r="G156">
        <v>1</v>
      </c>
      <c r="H156">
        <v>3</v>
      </c>
      <c r="I156">
        <v>3</v>
      </c>
      <c r="J156">
        <v>11</v>
      </c>
      <c r="K156">
        <v>4</v>
      </c>
      <c r="L156">
        <v>2</v>
      </c>
      <c r="M156">
        <v>1</v>
      </c>
      <c r="N156" t="s">
        <v>109</v>
      </c>
      <c r="O156" t="s">
        <v>39</v>
      </c>
      <c r="P156" t="s">
        <v>71</v>
      </c>
      <c r="Q156" t="s">
        <v>72</v>
      </c>
      <c r="R156" t="s">
        <v>91</v>
      </c>
      <c r="S156" t="s">
        <v>92</v>
      </c>
      <c r="T156" t="s">
        <v>94</v>
      </c>
      <c r="U156">
        <v>1</v>
      </c>
      <c r="V156" t="s">
        <v>54</v>
      </c>
      <c r="W156" t="s">
        <v>61</v>
      </c>
      <c r="X156" t="s">
        <v>161</v>
      </c>
      <c r="Y156">
        <v>2</v>
      </c>
      <c r="Z156">
        <v>4</v>
      </c>
      <c r="AA156">
        <v>48</v>
      </c>
      <c r="AB156">
        <v>2E-3</v>
      </c>
      <c r="AC156" t="s">
        <v>161</v>
      </c>
      <c r="AD156">
        <v>4</v>
      </c>
      <c r="AE156">
        <v>4</v>
      </c>
      <c r="AF156">
        <v>0</v>
      </c>
      <c r="AG156">
        <v>1.4810000000000001</v>
      </c>
      <c r="AH156">
        <v>0.3</v>
      </c>
      <c r="AI156">
        <v>0</v>
      </c>
    </row>
    <row r="157" spans="1:35" x14ac:dyDescent="0.25">
      <c r="A157">
        <v>259</v>
      </c>
      <c r="B157" t="s">
        <v>35</v>
      </c>
      <c r="C157">
        <v>3</v>
      </c>
      <c r="D157" t="s">
        <v>36</v>
      </c>
      <c r="E157">
        <v>1</v>
      </c>
      <c r="F157" t="s">
        <v>259</v>
      </c>
      <c r="G157">
        <v>1</v>
      </c>
      <c r="H157">
        <v>3</v>
      </c>
      <c r="I157">
        <v>3</v>
      </c>
      <c r="J157">
        <v>12</v>
      </c>
      <c r="K157">
        <v>1</v>
      </c>
      <c r="L157">
        <v>47</v>
      </c>
      <c r="M157">
        <v>2</v>
      </c>
      <c r="N157" t="s">
        <v>57</v>
      </c>
      <c r="O157" t="s">
        <v>39</v>
      </c>
      <c r="P157" t="s">
        <v>40</v>
      </c>
      <c r="Q157" t="s">
        <v>41</v>
      </c>
      <c r="R157" t="s">
        <v>58</v>
      </c>
      <c r="S157" t="s">
        <v>59</v>
      </c>
      <c r="T157" t="s">
        <v>60</v>
      </c>
      <c r="U157">
        <v>2</v>
      </c>
      <c r="V157" t="s">
        <v>138</v>
      </c>
      <c r="W157" t="s">
        <v>55</v>
      </c>
      <c r="X157" t="s">
        <v>69</v>
      </c>
      <c r="Y157">
        <v>2</v>
      </c>
      <c r="Z157">
        <v>4</v>
      </c>
      <c r="AA157">
        <v>48</v>
      </c>
      <c r="AB157">
        <v>2E-3</v>
      </c>
      <c r="AC157" t="s">
        <v>60</v>
      </c>
      <c r="AD157">
        <v>1</v>
      </c>
      <c r="AE157">
        <v>2</v>
      </c>
      <c r="AF157">
        <v>1</v>
      </c>
      <c r="AG157">
        <v>2.9</v>
      </c>
      <c r="AH157">
        <v>0.4</v>
      </c>
      <c r="AI157">
        <v>0</v>
      </c>
    </row>
    <row r="158" spans="1:35" x14ac:dyDescent="0.25">
      <c r="A158">
        <v>259</v>
      </c>
      <c r="B158" t="s">
        <v>35</v>
      </c>
      <c r="C158">
        <v>3</v>
      </c>
      <c r="D158" t="s">
        <v>36</v>
      </c>
      <c r="E158">
        <v>1</v>
      </c>
      <c r="F158" t="s">
        <v>259</v>
      </c>
      <c r="G158">
        <v>1</v>
      </c>
      <c r="H158">
        <v>3</v>
      </c>
      <c r="I158">
        <v>3</v>
      </c>
      <c r="J158">
        <v>13</v>
      </c>
      <c r="K158">
        <v>15</v>
      </c>
      <c r="L158">
        <v>7</v>
      </c>
      <c r="M158">
        <v>1</v>
      </c>
      <c r="N158" t="s">
        <v>205</v>
      </c>
      <c r="O158" t="s">
        <v>39</v>
      </c>
      <c r="P158" t="s">
        <v>196</v>
      </c>
      <c r="Q158" t="s">
        <v>197</v>
      </c>
      <c r="R158" t="s">
        <v>58</v>
      </c>
      <c r="S158" t="s">
        <v>59</v>
      </c>
      <c r="T158" t="s">
        <v>156</v>
      </c>
      <c r="U158">
        <v>1</v>
      </c>
      <c r="V158" t="s">
        <v>85</v>
      </c>
      <c r="W158" t="s">
        <v>187</v>
      </c>
      <c r="X158" t="s">
        <v>214</v>
      </c>
      <c r="Y158">
        <v>1</v>
      </c>
      <c r="Z158">
        <v>4</v>
      </c>
      <c r="AA158">
        <v>48</v>
      </c>
      <c r="AB158">
        <v>3.0000000000000001E-3</v>
      </c>
      <c r="AC158" t="s">
        <v>85</v>
      </c>
      <c r="AD158">
        <v>2</v>
      </c>
      <c r="AE158">
        <v>4</v>
      </c>
      <c r="AF158">
        <v>0</v>
      </c>
      <c r="AG158">
        <v>1.944</v>
      </c>
      <c r="AH158">
        <v>0.28299999999999997</v>
      </c>
      <c r="AI158">
        <v>0</v>
      </c>
    </row>
    <row r="159" spans="1:35" x14ac:dyDescent="0.25">
      <c r="A159">
        <v>259</v>
      </c>
      <c r="B159" t="s">
        <v>35</v>
      </c>
      <c r="C159">
        <v>3</v>
      </c>
      <c r="D159" t="s">
        <v>36</v>
      </c>
      <c r="E159">
        <v>1</v>
      </c>
      <c r="F159" t="s">
        <v>259</v>
      </c>
      <c r="G159">
        <v>1</v>
      </c>
      <c r="H159">
        <v>3</v>
      </c>
      <c r="I159">
        <v>3</v>
      </c>
      <c r="J159">
        <v>14</v>
      </c>
      <c r="K159">
        <v>18</v>
      </c>
      <c r="L159">
        <v>42</v>
      </c>
      <c r="M159">
        <v>2</v>
      </c>
      <c r="N159" t="s">
        <v>216</v>
      </c>
      <c r="O159" t="s">
        <v>39</v>
      </c>
      <c r="P159" t="s">
        <v>199</v>
      </c>
      <c r="Q159" t="s">
        <v>200</v>
      </c>
      <c r="R159" t="s">
        <v>91</v>
      </c>
      <c r="S159" t="s">
        <v>92</v>
      </c>
      <c r="T159" t="s">
        <v>98</v>
      </c>
      <c r="U159">
        <v>5</v>
      </c>
      <c r="V159" t="s">
        <v>80</v>
      </c>
      <c r="W159" t="s">
        <v>95</v>
      </c>
      <c r="X159" t="s">
        <v>47</v>
      </c>
      <c r="Y159">
        <v>2</v>
      </c>
      <c r="Z159">
        <v>4</v>
      </c>
      <c r="AA159">
        <v>48</v>
      </c>
      <c r="AB159">
        <v>2E-3</v>
      </c>
      <c r="AC159" t="s">
        <v>95</v>
      </c>
      <c r="AD159">
        <v>4</v>
      </c>
      <c r="AE159">
        <v>1</v>
      </c>
      <c r="AF159">
        <v>0</v>
      </c>
      <c r="AG159">
        <v>2.1120000000000001</v>
      </c>
      <c r="AH159">
        <v>1</v>
      </c>
      <c r="AI159">
        <v>0</v>
      </c>
    </row>
    <row r="160" spans="1:35" x14ac:dyDescent="0.25">
      <c r="A160">
        <v>259</v>
      </c>
      <c r="B160" t="s">
        <v>35</v>
      </c>
      <c r="C160">
        <v>3</v>
      </c>
      <c r="D160" t="s">
        <v>36</v>
      </c>
      <c r="E160">
        <v>1</v>
      </c>
      <c r="F160" t="s">
        <v>259</v>
      </c>
      <c r="G160">
        <v>1</v>
      </c>
      <c r="H160">
        <v>3</v>
      </c>
      <c r="I160">
        <v>3</v>
      </c>
      <c r="J160">
        <v>15</v>
      </c>
      <c r="K160">
        <v>13</v>
      </c>
      <c r="L160">
        <v>11</v>
      </c>
      <c r="M160">
        <v>1</v>
      </c>
      <c r="N160" t="s">
        <v>213</v>
      </c>
      <c r="O160" t="s">
        <v>39</v>
      </c>
      <c r="P160" t="s">
        <v>207</v>
      </c>
      <c r="Q160" t="s">
        <v>208</v>
      </c>
      <c r="R160" t="s">
        <v>91</v>
      </c>
      <c r="S160" t="s">
        <v>92</v>
      </c>
      <c r="T160" t="s">
        <v>106</v>
      </c>
      <c r="U160">
        <v>5</v>
      </c>
      <c r="V160" t="s">
        <v>93</v>
      </c>
      <c r="W160" t="s">
        <v>103</v>
      </c>
      <c r="X160" t="s">
        <v>87</v>
      </c>
      <c r="Y160">
        <v>2</v>
      </c>
      <c r="Z160">
        <v>4</v>
      </c>
      <c r="AA160">
        <v>48</v>
      </c>
      <c r="AB160">
        <v>1.2999999999999999E-2</v>
      </c>
      <c r="AC160" t="s">
        <v>103</v>
      </c>
      <c r="AD160">
        <v>4</v>
      </c>
      <c r="AE160">
        <v>2</v>
      </c>
      <c r="AF160">
        <v>0</v>
      </c>
      <c r="AG160">
        <v>1.8939999999999999</v>
      </c>
      <c r="AH160">
        <v>0.433</v>
      </c>
      <c r="AI160">
        <v>0</v>
      </c>
    </row>
    <row r="161" spans="1:35" x14ac:dyDescent="0.25">
      <c r="A161">
        <v>259</v>
      </c>
      <c r="B161" t="s">
        <v>35</v>
      </c>
      <c r="C161">
        <v>3</v>
      </c>
      <c r="D161" t="s">
        <v>36</v>
      </c>
      <c r="E161">
        <v>1</v>
      </c>
      <c r="F161" t="s">
        <v>259</v>
      </c>
      <c r="G161">
        <v>1</v>
      </c>
      <c r="H161">
        <v>3</v>
      </c>
      <c r="I161">
        <v>3</v>
      </c>
      <c r="J161">
        <v>16</v>
      </c>
      <c r="K161">
        <v>19</v>
      </c>
      <c r="L161">
        <v>5</v>
      </c>
      <c r="M161">
        <v>1</v>
      </c>
      <c r="N161" t="s">
        <v>192</v>
      </c>
      <c r="O161" t="s">
        <v>39</v>
      </c>
      <c r="P161" t="s">
        <v>193</v>
      </c>
      <c r="Q161" t="s">
        <v>194</v>
      </c>
      <c r="R161" t="s">
        <v>51</v>
      </c>
      <c r="S161" t="s">
        <v>52</v>
      </c>
      <c r="T161" t="s">
        <v>144</v>
      </c>
      <c r="U161">
        <v>4</v>
      </c>
      <c r="V161" t="s">
        <v>185</v>
      </c>
      <c r="W161" t="s">
        <v>46</v>
      </c>
      <c r="X161" t="s">
        <v>155</v>
      </c>
      <c r="Y161">
        <v>1</v>
      </c>
      <c r="Z161">
        <v>4</v>
      </c>
      <c r="AA161">
        <v>48</v>
      </c>
      <c r="AB161">
        <v>4.0000000000000001E-3</v>
      </c>
      <c r="AC161" t="s">
        <v>46</v>
      </c>
      <c r="AD161">
        <v>4</v>
      </c>
      <c r="AE161">
        <v>5</v>
      </c>
      <c r="AF161">
        <v>0</v>
      </c>
      <c r="AG161">
        <v>3.4060000000000001</v>
      </c>
      <c r="AH161">
        <v>0.25</v>
      </c>
      <c r="AI161">
        <v>0</v>
      </c>
    </row>
    <row r="162" spans="1:35" x14ac:dyDescent="0.25">
      <c r="A162">
        <v>259</v>
      </c>
      <c r="B162" t="s">
        <v>35</v>
      </c>
      <c r="C162">
        <v>3</v>
      </c>
      <c r="D162" t="s">
        <v>36</v>
      </c>
      <c r="E162">
        <v>1</v>
      </c>
      <c r="F162" t="s">
        <v>259</v>
      </c>
      <c r="G162">
        <v>1</v>
      </c>
      <c r="H162">
        <v>3</v>
      </c>
      <c r="I162">
        <v>3</v>
      </c>
      <c r="J162">
        <v>17</v>
      </c>
      <c r="K162">
        <v>23</v>
      </c>
      <c r="L162">
        <v>9</v>
      </c>
      <c r="M162">
        <v>1</v>
      </c>
      <c r="N162" t="s">
        <v>212</v>
      </c>
      <c r="O162" t="s">
        <v>39</v>
      </c>
      <c r="P162" t="s">
        <v>202</v>
      </c>
      <c r="Q162" t="s">
        <v>203</v>
      </c>
      <c r="R162" t="s">
        <v>58</v>
      </c>
      <c r="S162" t="s">
        <v>59</v>
      </c>
      <c r="T162" t="s">
        <v>147</v>
      </c>
      <c r="U162">
        <v>1</v>
      </c>
      <c r="V162" t="s">
        <v>156</v>
      </c>
      <c r="W162" t="s">
        <v>74</v>
      </c>
      <c r="X162" t="s">
        <v>75</v>
      </c>
      <c r="Y162">
        <v>2</v>
      </c>
      <c r="Z162">
        <v>4</v>
      </c>
      <c r="AA162">
        <v>48</v>
      </c>
      <c r="AB162">
        <v>5.0000000000000001E-3</v>
      </c>
      <c r="AC162" t="s">
        <v>147</v>
      </c>
      <c r="AD162">
        <v>1</v>
      </c>
      <c r="AE162">
        <v>1</v>
      </c>
      <c r="AF162">
        <v>1</v>
      </c>
      <c r="AG162">
        <v>3.0539999999999998</v>
      </c>
      <c r="AH162">
        <v>0.36699999999999999</v>
      </c>
      <c r="AI162">
        <v>0</v>
      </c>
    </row>
    <row r="163" spans="1:35" x14ac:dyDescent="0.25">
      <c r="A163">
        <v>259</v>
      </c>
      <c r="B163" t="s">
        <v>35</v>
      </c>
      <c r="C163">
        <v>3</v>
      </c>
      <c r="D163" t="s">
        <v>36</v>
      </c>
      <c r="E163">
        <v>1</v>
      </c>
      <c r="F163" t="s">
        <v>259</v>
      </c>
      <c r="G163">
        <v>1</v>
      </c>
      <c r="H163">
        <v>3</v>
      </c>
      <c r="I163">
        <v>3</v>
      </c>
      <c r="J163">
        <v>18</v>
      </c>
      <c r="K163">
        <v>20</v>
      </c>
      <c r="L163">
        <v>6</v>
      </c>
      <c r="M163">
        <v>1</v>
      </c>
      <c r="N163" t="s">
        <v>215</v>
      </c>
      <c r="O163" t="s">
        <v>39</v>
      </c>
      <c r="P163" t="s">
        <v>193</v>
      </c>
      <c r="Q163" t="s">
        <v>194</v>
      </c>
      <c r="R163" t="s">
        <v>42</v>
      </c>
      <c r="S163" t="s">
        <v>43</v>
      </c>
      <c r="T163" t="s">
        <v>185</v>
      </c>
      <c r="U163">
        <v>4</v>
      </c>
      <c r="V163" t="s">
        <v>131</v>
      </c>
      <c r="W163" t="s">
        <v>141</v>
      </c>
      <c r="X163" t="s">
        <v>128</v>
      </c>
      <c r="Y163">
        <v>2</v>
      </c>
      <c r="Z163">
        <v>4</v>
      </c>
      <c r="AA163">
        <v>48</v>
      </c>
      <c r="AB163">
        <v>3.0000000000000001E-3</v>
      </c>
      <c r="AC163" t="s">
        <v>128</v>
      </c>
      <c r="AD163">
        <v>4</v>
      </c>
      <c r="AE163">
        <v>1</v>
      </c>
      <c r="AF163">
        <v>0</v>
      </c>
      <c r="AG163">
        <v>1.972</v>
      </c>
      <c r="AH163">
        <v>0.433</v>
      </c>
      <c r="AI163">
        <v>0</v>
      </c>
    </row>
    <row r="164" spans="1:35" x14ac:dyDescent="0.25">
      <c r="A164">
        <v>259</v>
      </c>
      <c r="B164" t="s">
        <v>35</v>
      </c>
      <c r="C164">
        <v>3</v>
      </c>
      <c r="D164" t="s">
        <v>36</v>
      </c>
      <c r="E164">
        <v>1</v>
      </c>
      <c r="F164" t="s">
        <v>259</v>
      </c>
      <c r="G164">
        <v>1</v>
      </c>
      <c r="H164">
        <v>3</v>
      </c>
      <c r="I164">
        <v>3</v>
      </c>
      <c r="J164">
        <v>19</v>
      </c>
      <c r="K164">
        <v>16</v>
      </c>
      <c r="L164">
        <v>8</v>
      </c>
      <c r="M164">
        <v>1</v>
      </c>
      <c r="N164" t="s">
        <v>195</v>
      </c>
      <c r="O164" t="s">
        <v>39</v>
      </c>
      <c r="P164" t="s">
        <v>196</v>
      </c>
      <c r="Q164" t="s">
        <v>197</v>
      </c>
      <c r="R164" t="s">
        <v>42</v>
      </c>
      <c r="S164" t="s">
        <v>43</v>
      </c>
      <c r="T164" t="s">
        <v>85</v>
      </c>
      <c r="U164">
        <v>4</v>
      </c>
      <c r="V164" t="s">
        <v>44</v>
      </c>
      <c r="W164" t="s">
        <v>139</v>
      </c>
      <c r="X164" t="s">
        <v>56</v>
      </c>
      <c r="Y164">
        <v>2</v>
      </c>
      <c r="Z164">
        <v>4</v>
      </c>
      <c r="AA164">
        <v>48</v>
      </c>
      <c r="AB164">
        <v>4.0000000000000001E-3</v>
      </c>
      <c r="AC164" t="s">
        <v>56</v>
      </c>
      <c r="AD164">
        <v>4</v>
      </c>
      <c r="AE164">
        <v>2</v>
      </c>
      <c r="AF164">
        <v>0</v>
      </c>
      <c r="AG164">
        <v>2.472</v>
      </c>
      <c r="AH164">
        <v>0.15</v>
      </c>
      <c r="AI164">
        <v>0</v>
      </c>
    </row>
    <row r="165" spans="1:35" x14ac:dyDescent="0.25">
      <c r="A165">
        <v>259</v>
      </c>
      <c r="B165" t="s">
        <v>35</v>
      </c>
      <c r="C165">
        <v>3</v>
      </c>
      <c r="D165" t="s">
        <v>36</v>
      </c>
      <c r="E165">
        <v>1</v>
      </c>
      <c r="F165" t="s">
        <v>259</v>
      </c>
      <c r="G165">
        <v>1</v>
      </c>
      <c r="H165">
        <v>3</v>
      </c>
      <c r="I165">
        <v>3</v>
      </c>
      <c r="J165">
        <v>20</v>
      </c>
      <c r="K165">
        <v>8</v>
      </c>
      <c r="L165">
        <v>40</v>
      </c>
      <c r="M165">
        <v>2</v>
      </c>
      <c r="N165" t="s">
        <v>84</v>
      </c>
      <c r="O165" t="s">
        <v>39</v>
      </c>
      <c r="P165" t="s">
        <v>64</v>
      </c>
      <c r="Q165" t="s">
        <v>65</v>
      </c>
      <c r="R165" t="s">
        <v>42</v>
      </c>
      <c r="S165" t="s">
        <v>43</v>
      </c>
      <c r="T165" t="s">
        <v>67</v>
      </c>
      <c r="U165">
        <v>5</v>
      </c>
      <c r="V165" t="s">
        <v>66</v>
      </c>
      <c r="W165" t="s">
        <v>99</v>
      </c>
      <c r="X165" t="s">
        <v>137</v>
      </c>
      <c r="Y165">
        <v>1</v>
      </c>
      <c r="Z165">
        <v>4</v>
      </c>
      <c r="AA165">
        <v>48</v>
      </c>
      <c r="AB165">
        <v>2E-3</v>
      </c>
      <c r="AC165" t="s">
        <v>99</v>
      </c>
      <c r="AD165">
        <v>4</v>
      </c>
      <c r="AE165">
        <v>1</v>
      </c>
      <c r="AF165">
        <v>0</v>
      </c>
      <c r="AG165">
        <v>2.5310000000000001</v>
      </c>
      <c r="AH165">
        <v>0.56699999999999995</v>
      </c>
      <c r="AI165">
        <v>0</v>
      </c>
    </row>
    <row r="166" spans="1:35" x14ac:dyDescent="0.25">
      <c r="A166">
        <v>259</v>
      </c>
      <c r="B166" t="s">
        <v>35</v>
      </c>
      <c r="C166">
        <v>3</v>
      </c>
      <c r="D166" t="s">
        <v>36</v>
      </c>
      <c r="E166">
        <v>1</v>
      </c>
      <c r="F166" t="s">
        <v>259</v>
      </c>
      <c r="G166">
        <v>1</v>
      </c>
      <c r="H166">
        <v>3</v>
      </c>
      <c r="I166">
        <v>3</v>
      </c>
      <c r="J166">
        <v>21</v>
      </c>
      <c r="K166">
        <v>11</v>
      </c>
      <c r="L166">
        <v>43</v>
      </c>
      <c r="M166">
        <v>2</v>
      </c>
      <c r="N166" t="s">
        <v>105</v>
      </c>
      <c r="O166" t="s">
        <v>39</v>
      </c>
      <c r="P166" t="s">
        <v>77</v>
      </c>
      <c r="Q166" t="s">
        <v>78</v>
      </c>
      <c r="R166" t="s">
        <v>91</v>
      </c>
      <c r="S166" t="s">
        <v>92</v>
      </c>
      <c r="T166" t="s">
        <v>80</v>
      </c>
      <c r="U166">
        <v>2</v>
      </c>
      <c r="V166" t="s">
        <v>79</v>
      </c>
      <c r="W166" t="s">
        <v>116</v>
      </c>
      <c r="X166" t="s">
        <v>108</v>
      </c>
      <c r="Y166">
        <v>1</v>
      </c>
      <c r="Z166">
        <v>4</v>
      </c>
      <c r="AA166">
        <v>48</v>
      </c>
      <c r="AB166">
        <v>3.0000000000000001E-3</v>
      </c>
      <c r="AC166" t="s">
        <v>79</v>
      </c>
      <c r="AD166">
        <v>2</v>
      </c>
      <c r="AE166">
        <v>1</v>
      </c>
      <c r="AF166">
        <v>0</v>
      </c>
      <c r="AG166">
        <v>2.6219999999999999</v>
      </c>
      <c r="AH166">
        <v>0.33300000000000002</v>
      </c>
      <c r="AI166">
        <v>0</v>
      </c>
    </row>
    <row r="167" spans="1:35" x14ac:dyDescent="0.25">
      <c r="A167">
        <v>259</v>
      </c>
      <c r="B167" t="s">
        <v>35</v>
      </c>
      <c r="C167">
        <v>3</v>
      </c>
      <c r="D167" t="s">
        <v>36</v>
      </c>
      <c r="E167">
        <v>1</v>
      </c>
      <c r="F167" t="s">
        <v>259</v>
      </c>
      <c r="G167">
        <v>1</v>
      </c>
      <c r="H167">
        <v>3</v>
      </c>
      <c r="I167">
        <v>3</v>
      </c>
      <c r="J167">
        <v>22</v>
      </c>
      <c r="K167">
        <v>7</v>
      </c>
      <c r="L167">
        <v>39</v>
      </c>
      <c r="M167">
        <v>2</v>
      </c>
      <c r="N167" t="s">
        <v>63</v>
      </c>
      <c r="O167" t="s">
        <v>39</v>
      </c>
      <c r="P167" t="s">
        <v>64</v>
      </c>
      <c r="Q167" t="s">
        <v>65</v>
      </c>
      <c r="R167" t="s">
        <v>58</v>
      </c>
      <c r="S167" t="s">
        <v>59</v>
      </c>
      <c r="T167" t="s">
        <v>66</v>
      </c>
      <c r="U167">
        <v>1</v>
      </c>
      <c r="V167" t="s">
        <v>73</v>
      </c>
      <c r="W167" t="s">
        <v>209</v>
      </c>
      <c r="X167" t="s">
        <v>62</v>
      </c>
      <c r="Y167">
        <v>2</v>
      </c>
      <c r="Z167">
        <v>4</v>
      </c>
      <c r="AA167">
        <v>48</v>
      </c>
      <c r="AB167">
        <v>2E-3</v>
      </c>
      <c r="AC167" t="s">
        <v>209</v>
      </c>
      <c r="AD167">
        <v>4</v>
      </c>
      <c r="AE167">
        <v>5</v>
      </c>
      <c r="AF167">
        <v>0</v>
      </c>
      <c r="AG167">
        <v>1.88</v>
      </c>
      <c r="AH167">
        <v>0.3</v>
      </c>
      <c r="AI167">
        <v>0</v>
      </c>
    </row>
    <row r="168" spans="1:35" x14ac:dyDescent="0.25">
      <c r="A168">
        <v>259</v>
      </c>
      <c r="B168" t="s">
        <v>35</v>
      </c>
      <c r="C168">
        <v>3</v>
      </c>
      <c r="D168" t="s">
        <v>36</v>
      </c>
      <c r="E168">
        <v>1</v>
      </c>
      <c r="F168" t="s">
        <v>259</v>
      </c>
      <c r="G168">
        <v>1</v>
      </c>
      <c r="H168">
        <v>3</v>
      </c>
      <c r="I168">
        <v>3</v>
      </c>
      <c r="J168">
        <v>23</v>
      </c>
      <c r="K168">
        <v>9</v>
      </c>
      <c r="L168">
        <v>3</v>
      </c>
      <c r="M168">
        <v>1</v>
      </c>
      <c r="N168" t="s">
        <v>88</v>
      </c>
      <c r="O168" t="s">
        <v>39</v>
      </c>
      <c r="P168" t="s">
        <v>89</v>
      </c>
      <c r="Q168" t="s">
        <v>90</v>
      </c>
      <c r="R168" t="s">
        <v>91</v>
      </c>
      <c r="S168" t="s">
        <v>92</v>
      </c>
      <c r="T168" t="s">
        <v>93</v>
      </c>
      <c r="U168">
        <v>1</v>
      </c>
      <c r="V168" t="s">
        <v>102</v>
      </c>
      <c r="W168" t="s">
        <v>107</v>
      </c>
      <c r="X168" t="s">
        <v>96</v>
      </c>
      <c r="Y168">
        <v>1</v>
      </c>
      <c r="Z168">
        <v>4</v>
      </c>
      <c r="AA168">
        <v>48</v>
      </c>
      <c r="AB168">
        <v>1.2999999999999999E-2</v>
      </c>
      <c r="AC168" t="s">
        <v>102</v>
      </c>
      <c r="AD168">
        <v>2</v>
      </c>
      <c r="AE168">
        <v>2</v>
      </c>
      <c r="AF168">
        <v>0</v>
      </c>
      <c r="AG168">
        <v>2.069</v>
      </c>
      <c r="AH168">
        <v>0.53300000000000003</v>
      </c>
      <c r="AI168">
        <v>0</v>
      </c>
    </row>
    <row r="169" spans="1:35" x14ac:dyDescent="0.25">
      <c r="A169">
        <v>259</v>
      </c>
      <c r="B169" t="s">
        <v>35</v>
      </c>
      <c r="C169">
        <v>3</v>
      </c>
      <c r="D169" t="s">
        <v>36</v>
      </c>
      <c r="E169">
        <v>1</v>
      </c>
      <c r="F169" t="s">
        <v>259</v>
      </c>
      <c r="G169">
        <v>1</v>
      </c>
      <c r="H169">
        <v>3</v>
      </c>
      <c r="I169">
        <v>3</v>
      </c>
      <c r="J169">
        <v>24</v>
      </c>
      <c r="K169">
        <v>5</v>
      </c>
      <c r="L169">
        <v>37</v>
      </c>
      <c r="M169">
        <v>2</v>
      </c>
      <c r="N169" t="s">
        <v>97</v>
      </c>
      <c r="O169" t="s">
        <v>39</v>
      </c>
      <c r="P169" t="s">
        <v>49</v>
      </c>
      <c r="Q169" t="s">
        <v>50</v>
      </c>
      <c r="R169" t="s">
        <v>91</v>
      </c>
      <c r="S169" t="s">
        <v>92</v>
      </c>
      <c r="T169" t="s">
        <v>54</v>
      </c>
      <c r="U169">
        <v>1</v>
      </c>
      <c r="V169" t="s">
        <v>53</v>
      </c>
      <c r="W169" t="s">
        <v>162</v>
      </c>
      <c r="X169" t="s">
        <v>82</v>
      </c>
      <c r="Y169">
        <v>1</v>
      </c>
      <c r="Z169">
        <v>4</v>
      </c>
      <c r="AA169">
        <v>48</v>
      </c>
      <c r="AB169">
        <v>4.0000000000000001E-3</v>
      </c>
      <c r="AC169" t="s">
        <v>82</v>
      </c>
      <c r="AD169">
        <v>4</v>
      </c>
      <c r="AE169">
        <v>2</v>
      </c>
      <c r="AF169">
        <v>0</v>
      </c>
      <c r="AG169">
        <v>2.5270000000000001</v>
      </c>
      <c r="AH169">
        <v>0.433</v>
      </c>
      <c r="AI169">
        <v>0</v>
      </c>
    </row>
    <row r="170" spans="1:35" x14ac:dyDescent="0.25">
      <c r="A170">
        <v>259</v>
      </c>
      <c r="B170" t="s">
        <v>35</v>
      </c>
      <c r="C170">
        <v>3</v>
      </c>
      <c r="D170" t="s">
        <v>36</v>
      </c>
      <c r="E170">
        <v>1</v>
      </c>
      <c r="F170" t="s">
        <v>259</v>
      </c>
      <c r="G170">
        <v>1</v>
      </c>
      <c r="H170">
        <v>3</v>
      </c>
      <c r="I170">
        <v>3</v>
      </c>
      <c r="J170">
        <v>25</v>
      </c>
      <c r="K170">
        <v>27</v>
      </c>
      <c r="L170">
        <v>25</v>
      </c>
      <c r="M170">
        <v>1</v>
      </c>
      <c r="N170" t="s">
        <v>122</v>
      </c>
      <c r="O170" t="s">
        <v>113</v>
      </c>
      <c r="P170" t="s">
        <v>114</v>
      </c>
      <c r="Q170" t="s">
        <v>123</v>
      </c>
      <c r="R170" t="s">
        <v>114</v>
      </c>
      <c r="S170" t="s">
        <v>59</v>
      </c>
      <c r="T170" t="s">
        <v>124</v>
      </c>
      <c r="U170">
        <v>4</v>
      </c>
      <c r="V170" t="s">
        <v>130</v>
      </c>
      <c r="W170" t="s">
        <v>67</v>
      </c>
      <c r="X170" t="s">
        <v>187</v>
      </c>
      <c r="Y170">
        <v>1</v>
      </c>
      <c r="Z170">
        <v>4</v>
      </c>
      <c r="AA170">
        <v>48</v>
      </c>
      <c r="AB170">
        <v>5.0000000000000001E-3</v>
      </c>
      <c r="AC170" t="s">
        <v>130</v>
      </c>
      <c r="AD170">
        <v>2</v>
      </c>
      <c r="AE170">
        <v>5</v>
      </c>
      <c r="AF170">
        <v>0</v>
      </c>
      <c r="AG170">
        <v>1.9650000000000001</v>
      </c>
      <c r="AH170">
        <v>0.55000000000000004</v>
      </c>
      <c r="AI170">
        <v>0</v>
      </c>
    </row>
    <row r="171" spans="1:35" x14ac:dyDescent="0.25">
      <c r="A171">
        <v>259</v>
      </c>
      <c r="B171" t="s">
        <v>35</v>
      </c>
      <c r="C171">
        <v>3</v>
      </c>
      <c r="D171" t="s">
        <v>36</v>
      </c>
      <c r="E171">
        <v>1</v>
      </c>
      <c r="F171" t="s">
        <v>259</v>
      </c>
      <c r="G171">
        <v>1</v>
      </c>
      <c r="H171">
        <v>3</v>
      </c>
      <c r="I171">
        <v>3</v>
      </c>
      <c r="J171">
        <v>26</v>
      </c>
      <c r="K171">
        <v>40</v>
      </c>
      <c r="L171">
        <v>32</v>
      </c>
      <c r="M171">
        <v>1</v>
      </c>
      <c r="N171" t="s">
        <v>234</v>
      </c>
      <c r="O171" t="s">
        <v>113</v>
      </c>
      <c r="P171" t="s">
        <v>114</v>
      </c>
      <c r="Q171" t="s">
        <v>231</v>
      </c>
      <c r="R171" t="s">
        <v>114</v>
      </c>
      <c r="S171" t="s">
        <v>43</v>
      </c>
      <c r="T171" t="s">
        <v>111</v>
      </c>
      <c r="U171">
        <v>1</v>
      </c>
      <c r="V171" t="s">
        <v>162</v>
      </c>
      <c r="W171" t="s">
        <v>80</v>
      </c>
      <c r="X171" t="s">
        <v>132</v>
      </c>
      <c r="Y171">
        <v>1</v>
      </c>
      <c r="Z171">
        <v>4</v>
      </c>
      <c r="AA171">
        <v>48</v>
      </c>
      <c r="AB171">
        <v>2E-3</v>
      </c>
      <c r="AC171" t="s">
        <v>162</v>
      </c>
      <c r="AD171">
        <v>2</v>
      </c>
      <c r="AE171">
        <v>2</v>
      </c>
      <c r="AF171">
        <v>0</v>
      </c>
      <c r="AG171">
        <v>2.665</v>
      </c>
      <c r="AH171">
        <v>0.33300000000000002</v>
      </c>
      <c r="AI171">
        <v>0</v>
      </c>
    </row>
    <row r="172" spans="1:35" x14ac:dyDescent="0.25">
      <c r="A172">
        <v>259</v>
      </c>
      <c r="B172" t="s">
        <v>35</v>
      </c>
      <c r="C172">
        <v>3</v>
      </c>
      <c r="D172" t="s">
        <v>36</v>
      </c>
      <c r="E172">
        <v>1</v>
      </c>
      <c r="F172" t="s">
        <v>259</v>
      </c>
      <c r="G172">
        <v>1</v>
      </c>
      <c r="H172">
        <v>3</v>
      </c>
      <c r="I172">
        <v>3</v>
      </c>
      <c r="J172">
        <v>27</v>
      </c>
      <c r="K172">
        <v>34</v>
      </c>
      <c r="L172">
        <v>28</v>
      </c>
      <c r="M172">
        <v>1</v>
      </c>
      <c r="N172" t="s">
        <v>117</v>
      </c>
      <c r="O172" t="s">
        <v>113</v>
      </c>
      <c r="P172" t="s">
        <v>114</v>
      </c>
      <c r="Q172" t="s">
        <v>118</v>
      </c>
      <c r="R172" t="s">
        <v>114</v>
      </c>
      <c r="S172" t="s">
        <v>52</v>
      </c>
      <c r="T172" t="s">
        <v>119</v>
      </c>
      <c r="U172">
        <v>1</v>
      </c>
      <c r="V172" t="s">
        <v>214</v>
      </c>
      <c r="W172" t="s">
        <v>146</v>
      </c>
      <c r="X172" t="s">
        <v>147</v>
      </c>
      <c r="Y172">
        <v>2</v>
      </c>
      <c r="Z172">
        <v>4</v>
      </c>
      <c r="AA172">
        <v>48</v>
      </c>
      <c r="AB172">
        <v>3.0000000000000001E-3</v>
      </c>
      <c r="AC172" t="s">
        <v>119</v>
      </c>
      <c r="AD172">
        <v>1</v>
      </c>
      <c r="AE172">
        <v>1</v>
      </c>
      <c r="AF172">
        <v>1</v>
      </c>
      <c r="AG172">
        <v>2.113</v>
      </c>
      <c r="AH172">
        <v>0.66700000000000004</v>
      </c>
      <c r="AI172">
        <v>0</v>
      </c>
    </row>
    <row r="173" spans="1:35" x14ac:dyDescent="0.25">
      <c r="A173">
        <v>259</v>
      </c>
      <c r="B173" t="s">
        <v>35</v>
      </c>
      <c r="C173">
        <v>3</v>
      </c>
      <c r="D173" t="s">
        <v>36</v>
      </c>
      <c r="E173">
        <v>1</v>
      </c>
      <c r="F173" t="s">
        <v>259</v>
      </c>
      <c r="G173">
        <v>1</v>
      </c>
      <c r="H173">
        <v>3</v>
      </c>
      <c r="I173">
        <v>3</v>
      </c>
      <c r="J173">
        <v>28</v>
      </c>
      <c r="K173">
        <v>25</v>
      </c>
      <c r="L173">
        <v>71</v>
      </c>
      <c r="M173">
        <v>2</v>
      </c>
      <c r="N173" t="s">
        <v>143</v>
      </c>
      <c r="O173" t="s">
        <v>113</v>
      </c>
      <c r="P173" t="s">
        <v>114</v>
      </c>
      <c r="Q173" t="s">
        <v>115</v>
      </c>
      <c r="R173" t="s">
        <v>114</v>
      </c>
      <c r="S173" t="s">
        <v>59</v>
      </c>
      <c r="T173" t="s">
        <v>46</v>
      </c>
      <c r="U173">
        <v>4</v>
      </c>
      <c r="V173" t="s">
        <v>87</v>
      </c>
      <c r="W173" t="s">
        <v>166</v>
      </c>
      <c r="X173" t="s">
        <v>98</v>
      </c>
      <c r="Y173">
        <v>2</v>
      </c>
      <c r="Z173">
        <v>4</v>
      </c>
      <c r="AA173">
        <v>48</v>
      </c>
      <c r="AB173">
        <v>4.0000000000000001E-3</v>
      </c>
      <c r="AC173" t="s">
        <v>46</v>
      </c>
      <c r="AD173">
        <v>1</v>
      </c>
      <c r="AE173">
        <v>4</v>
      </c>
      <c r="AF173">
        <v>1</v>
      </c>
      <c r="AG173">
        <v>2.8159999999999998</v>
      </c>
      <c r="AH173">
        <v>0.433</v>
      </c>
      <c r="AI173">
        <v>0</v>
      </c>
    </row>
    <row r="174" spans="1:35" x14ac:dyDescent="0.25">
      <c r="A174">
        <v>259</v>
      </c>
      <c r="B174" t="s">
        <v>35</v>
      </c>
      <c r="C174">
        <v>3</v>
      </c>
      <c r="D174" t="s">
        <v>36</v>
      </c>
      <c r="E174">
        <v>1</v>
      </c>
      <c r="F174" t="s">
        <v>259</v>
      </c>
      <c r="G174">
        <v>1</v>
      </c>
      <c r="H174">
        <v>3</v>
      </c>
      <c r="I174">
        <v>3</v>
      </c>
      <c r="J174">
        <v>29</v>
      </c>
      <c r="K174">
        <v>44</v>
      </c>
      <c r="L174">
        <v>30</v>
      </c>
      <c r="M174">
        <v>1</v>
      </c>
      <c r="N174" t="s">
        <v>233</v>
      </c>
      <c r="O174" t="s">
        <v>113</v>
      </c>
      <c r="P174" t="s">
        <v>114</v>
      </c>
      <c r="Q174" t="s">
        <v>218</v>
      </c>
      <c r="R174" t="s">
        <v>114</v>
      </c>
      <c r="S174" t="s">
        <v>43</v>
      </c>
      <c r="T174" t="s">
        <v>107</v>
      </c>
      <c r="U174">
        <v>1</v>
      </c>
      <c r="V174" t="s">
        <v>111</v>
      </c>
      <c r="W174" t="s">
        <v>155</v>
      </c>
      <c r="X174" t="s">
        <v>53</v>
      </c>
      <c r="Y174">
        <v>2</v>
      </c>
      <c r="Z174">
        <v>4</v>
      </c>
      <c r="AA174">
        <v>48</v>
      </c>
      <c r="AB174">
        <v>2E-3</v>
      </c>
      <c r="AC174" t="s">
        <v>53</v>
      </c>
      <c r="AD174">
        <v>4</v>
      </c>
      <c r="AE174">
        <v>4</v>
      </c>
      <c r="AF174">
        <v>0</v>
      </c>
      <c r="AG174">
        <v>2.048</v>
      </c>
      <c r="AH174">
        <v>0.28299999999999997</v>
      </c>
      <c r="AI174">
        <v>0</v>
      </c>
    </row>
    <row r="175" spans="1:35" x14ac:dyDescent="0.25">
      <c r="A175">
        <v>259</v>
      </c>
      <c r="B175" t="s">
        <v>35</v>
      </c>
      <c r="C175">
        <v>3</v>
      </c>
      <c r="D175" t="s">
        <v>36</v>
      </c>
      <c r="E175">
        <v>1</v>
      </c>
      <c r="F175" t="s">
        <v>259</v>
      </c>
      <c r="G175">
        <v>1</v>
      </c>
      <c r="H175">
        <v>3</v>
      </c>
      <c r="I175">
        <v>3</v>
      </c>
      <c r="J175">
        <v>30</v>
      </c>
      <c r="K175">
        <v>48</v>
      </c>
      <c r="L175">
        <v>34</v>
      </c>
      <c r="M175">
        <v>1</v>
      </c>
      <c r="N175" t="s">
        <v>228</v>
      </c>
      <c r="O175" t="s">
        <v>113</v>
      </c>
      <c r="P175" t="s">
        <v>114</v>
      </c>
      <c r="Q175" t="s">
        <v>224</v>
      </c>
      <c r="R175" t="s">
        <v>114</v>
      </c>
      <c r="S175" t="s">
        <v>52</v>
      </c>
      <c r="T175" t="s">
        <v>61</v>
      </c>
      <c r="U175">
        <v>5</v>
      </c>
      <c r="V175" t="s">
        <v>69</v>
      </c>
      <c r="W175" t="s">
        <v>108</v>
      </c>
      <c r="X175" t="s">
        <v>45</v>
      </c>
      <c r="Y175">
        <v>2</v>
      </c>
      <c r="Z175">
        <v>4</v>
      </c>
      <c r="AA175">
        <v>48</v>
      </c>
      <c r="AB175">
        <v>2E-3</v>
      </c>
      <c r="AC175" t="s">
        <v>61</v>
      </c>
      <c r="AD175">
        <v>1</v>
      </c>
      <c r="AE175">
        <v>5</v>
      </c>
      <c r="AF175">
        <v>1</v>
      </c>
      <c r="AG175">
        <v>2.3239999999999998</v>
      </c>
      <c r="AH175">
        <v>0.3</v>
      </c>
      <c r="AI175">
        <v>0</v>
      </c>
    </row>
    <row r="176" spans="1:35" x14ac:dyDescent="0.25">
      <c r="A176">
        <v>259</v>
      </c>
      <c r="B176" t="s">
        <v>35</v>
      </c>
      <c r="C176">
        <v>3</v>
      </c>
      <c r="D176" t="s">
        <v>36</v>
      </c>
      <c r="E176">
        <v>1</v>
      </c>
      <c r="F176" t="s">
        <v>259</v>
      </c>
      <c r="G176">
        <v>1</v>
      </c>
      <c r="H176">
        <v>3</v>
      </c>
      <c r="I176">
        <v>3</v>
      </c>
      <c r="J176">
        <v>31</v>
      </c>
      <c r="K176">
        <v>37</v>
      </c>
      <c r="L176">
        <v>35</v>
      </c>
      <c r="M176">
        <v>1</v>
      </c>
      <c r="N176" t="s">
        <v>219</v>
      </c>
      <c r="O176" t="s">
        <v>113</v>
      </c>
      <c r="P176" t="s">
        <v>114</v>
      </c>
      <c r="Q176" t="s">
        <v>220</v>
      </c>
      <c r="R176" t="s">
        <v>114</v>
      </c>
      <c r="S176" t="s">
        <v>92</v>
      </c>
      <c r="T176" t="s">
        <v>179</v>
      </c>
      <c r="U176">
        <v>4</v>
      </c>
      <c r="V176" t="s">
        <v>116</v>
      </c>
      <c r="W176" t="s">
        <v>96</v>
      </c>
      <c r="X176" t="s">
        <v>102</v>
      </c>
      <c r="Y176">
        <v>1</v>
      </c>
      <c r="Z176">
        <v>4</v>
      </c>
      <c r="AA176">
        <v>48</v>
      </c>
      <c r="AB176">
        <v>4.0000000000000001E-3</v>
      </c>
      <c r="AC176" t="s">
        <v>116</v>
      </c>
      <c r="AD176">
        <v>2</v>
      </c>
      <c r="AE176">
        <v>5</v>
      </c>
      <c r="AF176">
        <v>0</v>
      </c>
      <c r="AG176">
        <v>1.853</v>
      </c>
      <c r="AH176">
        <v>0.3</v>
      </c>
      <c r="AI176">
        <v>0</v>
      </c>
    </row>
    <row r="177" spans="1:35" x14ac:dyDescent="0.25">
      <c r="A177">
        <v>259</v>
      </c>
      <c r="B177" t="s">
        <v>35</v>
      </c>
      <c r="C177">
        <v>3</v>
      </c>
      <c r="D177" t="s">
        <v>36</v>
      </c>
      <c r="E177">
        <v>1</v>
      </c>
      <c r="F177" t="s">
        <v>259</v>
      </c>
      <c r="G177">
        <v>1</v>
      </c>
      <c r="H177">
        <v>3</v>
      </c>
      <c r="I177">
        <v>3</v>
      </c>
      <c r="J177">
        <v>32</v>
      </c>
      <c r="K177">
        <v>33</v>
      </c>
      <c r="L177">
        <v>27</v>
      </c>
      <c r="M177">
        <v>1</v>
      </c>
      <c r="N177" t="s">
        <v>129</v>
      </c>
      <c r="O177" t="s">
        <v>113</v>
      </c>
      <c r="P177" t="s">
        <v>114</v>
      </c>
      <c r="Q177" t="s">
        <v>118</v>
      </c>
      <c r="R177" t="s">
        <v>114</v>
      </c>
      <c r="S177" t="s">
        <v>92</v>
      </c>
      <c r="T177" t="s">
        <v>120</v>
      </c>
      <c r="U177">
        <v>4</v>
      </c>
      <c r="V177" t="s">
        <v>119</v>
      </c>
      <c r="W177" t="s">
        <v>204</v>
      </c>
      <c r="X177" t="s">
        <v>60</v>
      </c>
      <c r="Y177">
        <v>1</v>
      </c>
      <c r="Z177">
        <v>4</v>
      </c>
      <c r="AA177">
        <v>48</v>
      </c>
      <c r="AB177">
        <v>3.0000000000000001E-3</v>
      </c>
      <c r="AC177" t="s">
        <v>204</v>
      </c>
      <c r="AD177">
        <v>4</v>
      </c>
      <c r="AE177">
        <v>1</v>
      </c>
      <c r="AF177">
        <v>0</v>
      </c>
      <c r="AG177">
        <v>2.2450000000000001</v>
      </c>
      <c r="AH177">
        <v>0.4</v>
      </c>
      <c r="AI177">
        <v>0</v>
      </c>
    </row>
    <row r="178" spans="1:35" x14ac:dyDescent="0.25">
      <c r="A178">
        <v>259</v>
      </c>
      <c r="B178" t="s">
        <v>35</v>
      </c>
      <c r="C178">
        <v>3</v>
      </c>
      <c r="D178" t="s">
        <v>36</v>
      </c>
      <c r="E178">
        <v>1</v>
      </c>
      <c r="F178" t="s">
        <v>259</v>
      </c>
      <c r="G178">
        <v>1</v>
      </c>
      <c r="H178">
        <v>3</v>
      </c>
      <c r="I178">
        <v>3</v>
      </c>
      <c r="J178">
        <v>33</v>
      </c>
      <c r="K178">
        <v>47</v>
      </c>
      <c r="L178">
        <v>33</v>
      </c>
      <c r="M178">
        <v>1</v>
      </c>
      <c r="N178" t="s">
        <v>223</v>
      </c>
      <c r="O178" t="s">
        <v>113</v>
      </c>
      <c r="P178" t="s">
        <v>114</v>
      </c>
      <c r="Q178" t="s">
        <v>224</v>
      </c>
      <c r="R178" t="s">
        <v>114</v>
      </c>
      <c r="S178" t="s">
        <v>59</v>
      </c>
      <c r="T178" t="s">
        <v>56</v>
      </c>
      <c r="U178">
        <v>5</v>
      </c>
      <c r="V178" t="s">
        <v>61</v>
      </c>
      <c r="W178" t="s">
        <v>82</v>
      </c>
      <c r="X178" t="s">
        <v>185</v>
      </c>
      <c r="Y178">
        <v>1</v>
      </c>
      <c r="Z178">
        <v>4</v>
      </c>
      <c r="AA178">
        <v>48</v>
      </c>
      <c r="AB178">
        <v>5.0000000000000001E-3</v>
      </c>
      <c r="AC178" t="s">
        <v>56</v>
      </c>
      <c r="AD178">
        <v>1</v>
      </c>
      <c r="AE178">
        <v>5</v>
      </c>
      <c r="AF178">
        <v>1</v>
      </c>
      <c r="AG178">
        <v>2.363</v>
      </c>
      <c r="AH178">
        <v>1.7000000000000001E-2</v>
      </c>
      <c r="AI178">
        <v>0</v>
      </c>
    </row>
    <row r="179" spans="1:35" x14ac:dyDescent="0.25">
      <c r="A179">
        <v>259</v>
      </c>
      <c r="B179" t="s">
        <v>35</v>
      </c>
      <c r="C179">
        <v>3</v>
      </c>
      <c r="D179" t="s">
        <v>36</v>
      </c>
      <c r="E179">
        <v>1</v>
      </c>
      <c r="F179" t="s">
        <v>259</v>
      </c>
      <c r="G179">
        <v>1</v>
      </c>
      <c r="H179">
        <v>3</v>
      </c>
      <c r="I179">
        <v>3</v>
      </c>
      <c r="J179">
        <v>34</v>
      </c>
      <c r="K179">
        <v>32</v>
      </c>
      <c r="L179">
        <v>64</v>
      </c>
      <c r="M179">
        <v>2</v>
      </c>
      <c r="N179" t="s">
        <v>133</v>
      </c>
      <c r="O179" t="s">
        <v>113</v>
      </c>
      <c r="P179" t="s">
        <v>114</v>
      </c>
      <c r="Q179" t="s">
        <v>134</v>
      </c>
      <c r="R179" t="s">
        <v>114</v>
      </c>
      <c r="S179" t="s">
        <v>43</v>
      </c>
      <c r="T179" t="s">
        <v>100</v>
      </c>
      <c r="U179">
        <v>4</v>
      </c>
      <c r="V179" t="s">
        <v>95</v>
      </c>
      <c r="W179" t="s">
        <v>54</v>
      </c>
      <c r="X179" t="s">
        <v>68</v>
      </c>
      <c r="Y179">
        <v>1</v>
      </c>
      <c r="Z179">
        <v>4</v>
      </c>
      <c r="AA179">
        <v>48</v>
      </c>
      <c r="AB179">
        <v>3.0000000000000001E-3</v>
      </c>
      <c r="AC179" t="s">
        <v>54</v>
      </c>
      <c r="AD179">
        <v>4</v>
      </c>
      <c r="AE179">
        <v>5</v>
      </c>
      <c r="AF179">
        <v>0</v>
      </c>
      <c r="AG179">
        <v>2.1930000000000001</v>
      </c>
      <c r="AH179">
        <v>0.2</v>
      </c>
      <c r="AI179">
        <v>0</v>
      </c>
    </row>
    <row r="180" spans="1:35" x14ac:dyDescent="0.25">
      <c r="A180">
        <v>259</v>
      </c>
      <c r="B180" t="s">
        <v>35</v>
      </c>
      <c r="C180">
        <v>3</v>
      </c>
      <c r="D180" t="s">
        <v>36</v>
      </c>
      <c r="E180">
        <v>1</v>
      </c>
      <c r="F180" t="s">
        <v>259</v>
      </c>
      <c r="G180">
        <v>1</v>
      </c>
      <c r="H180">
        <v>3</v>
      </c>
      <c r="I180">
        <v>3</v>
      </c>
      <c r="J180">
        <v>35</v>
      </c>
      <c r="K180">
        <v>43</v>
      </c>
      <c r="L180">
        <v>29</v>
      </c>
      <c r="M180">
        <v>1</v>
      </c>
      <c r="N180" t="s">
        <v>217</v>
      </c>
      <c r="O180" t="s">
        <v>113</v>
      </c>
      <c r="P180" t="s">
        <v>114</v>
      </c>
      <c r="Q180" t="s">
        <v>218</v>
      </c>
      <c r="R180" t="s">
        <v>114</v>
      </c>
      <c r="S180" t="s">
        <v>52</v>
      </c>
      <c r="T180" t="s">
        <v>214</v>
      </c>
      <c r="U180">
        <v>5</v>
      </c>
      <c r="V180" t="s">
        <v>107</v>
      </c>
      <c r="W180" t="s">
        <v>62</v>
      </c>
      <c r="X180" t="s">
        <v>66</v>
      </c>
      <c r="Y180">
        <v>1</v>
      </c>
      <c r="Z180">
        <v>4</v>
      </c>
      <c r="AA180">
        <v>48</v>
      </c>
      <c r="AB180">
        <v>2E-3</v>
      </c>
      <c r="AC180" t="s">
        <v>107</v>
      </c>
      <c r="AD180">
        <v>2</v>
      </c>
      <c r="AE180">
        <v>2</v>
      </c>
      <c r="AF180">
        <v>0</v>
      </c>
      <c r="AG180">
        <v>2.5369999999999999</v>
      </c>
      <c r="AH180">
        <v>0.217</v>
      </c>
      <c r="AI180">
        <v>0</v>
      </c>
    </row>
    <row r="181" spans="1:35" x14ac:dyDescent="0.25">
      <c r="A181">
        <v>259</v>
      </c>
      <c r="B181" t="s">
        <v>35</v>
      </c>
      <c r="C181">
        <v>3</v>
      </c>
      <c r="D181" t="s">
        <v>36</v>
      </c>
      <c r="E181">
        <v>1</v>
      </c>
      <c r="F181" t="s">
        <v>259</v>
      </c>
      <c r="G181">
        <v>1</v>
      </c>
      <c r="H181">
        <v>3</v>
      </c>
      <c r="I181">
        <v>3</v>
      </c>
      <c r="J181">
        <v>36</v>
      </c>
      <c r="K181">
        <v>36</v>
      </c>
      <c r="L181">
        <v>68</v>
      </c>
      <c r="M181">
        <v>2</v>
      </c>
      <c r="N181" t="s">
        <v>135</v>
      </c>
      <c r="O181" t="s">
        <v>113</v>
      </c>
      <c r="P181" t="s">
        <v>114</v>
      </c>
      <c r="Q181" t="s">
        <v>136</v>
      </c>
      <c r="R181" t="s">
        <v>114</v>
      </c>
      <c r="S181" t="s">
        <v>52</v>
      </c>
      <c r="T181" t="s">
        <v>74</v>
      </c>
      <c r="U181">
        <v>5</v>
      </c>
      <c r="V181" t="s">
        <v>128</v>
      </c>
      <c r="W181" t="s">
        <v>138</v>
      </c>
      <c r="X181" t="s">
        <v>86</v>
      </c>
      <c r="Y181">
        <v>2</v>
      </c>
      <c r="Z181">
        <v>4</v>
      </c>
      <c r="AA181">
        <v>48</v>
      </c>
      <c r="AB181">
        <v>2E-3</v>
      </c>
      <c r="AC181" t="s">
        <v>138</v>
      </c>
      <c r="AD181">
        <v>4</v>
      </c>
      <c r="AE181">
        <v>2</v>
      </c>
      <c r="AF181">
        <v>0</v>
      </c>
      <c r="AG181">
        <v>2.234</v>
      </c>
      <c r="AH181">
        <v>0.63300000000000001</v>
      </c>
      <c r="AI181">
        <v>0</v>
      </c>
    </row>
    <row r="182" spans="1:35" x14ac:dyDescent="0.25">
      <c r="A182">
        <v>259</v>
      </c>
      <c r="B182" t="s">
        <v>35</v>
      </c>
      <c r="C182">
        <v>3</v>
      </c>
      <c r="D182" t="s">
        <v>36</v>
      </c>
      <c r="E182">
        <v>1</v>
      </c>
      <c r="F182" t="s">
        <v>259</v>
      </c>
      <c r="G182">
        <v>1</v>
      </c>
      <c r="H182">
        <v>3</v>
      </c>
      <c r="I182">
        <v>3</v>
      </c>
      <c r="J182">
        <v>37</v>
      </c>
      <c r="K182">
        <v>26</v>
      </c>
      <c r="L182">
        <v>72</v>
      </c>
      <c r="M182">
        <v>2</v>
      </c>
      <c r="N182" t="s">
        <v>112</v>
      </c>
      <c r="O182" t="s">
        <v>113</v>
      </c>
      <c r="P182" t="s">
        <v>114</v>
      </c>
      <c r="Q182" t="s">
        <v>115</v>
      </c>
      <c r="R182" t="s">
        <v>114</v>
      </c>
      <c r="S182" t="s">
        <v>43</v>
      </c>
      <c r="T182" t="s">
        <v>104</v>
      </c>
      <c r="U182">
        <v>5</v>
      </c>
      <c r="V182" t="s">
        <v>46</v>
      </c>
      <c r="W182" t="s">
        <v>75</v>
      </c>
      <c r="X182" t="s">
        <v>79</v>
      </c>
      <c r="Y182">
        <v>1</v>
      </c>
      <c r="Z182">
        <v>4</v>
      </c>
      <c r="AA182">
        <v>48</v>
      </c>
      <c r="AB182">
        <v>2E-3</v>
      </c>
      <c r="AC182" t="s">
        <v>104</v>
      </c>
      <c r="AD182">
        <v>1</v>
      </c>
      <c r="AE182">
        <v>5</v>
      </c>
      <c r="AF182">
        <v>1</v>
      </c>
      <c r="AG182">
        <v>2.2160000000000002</v>
      </c>
      <c r="AH182">
        <v>0.28299999999999997</v>
      </c>
      <c r="AI182">
        <v>0</v>
      </c>
    </row>
    <row r="183" spans="1:35" x14ac:dyDescent="0.25">
      <c r="A183">
        <v>259</v>
      </c>
      <c r="B183" t="s">
        <v>35</v>
      </c>
      <c r="C183">
        <v>3</v>
      </c>
      <c r="D183" t="s">
        <v>36</v>
      </c>
      <c r="E183">
        <v>1</v>
      </c>
      <c r="F183" t="s">
        <v>259</v>
      </c>
      <c r="G183">
        <v>1</v>
      </c>
      <c r="H183">
        <v>3</v>
      </c>
      <c r="I183">
        <v>3</v>
      </c>
      <c r="J183">
        <v>38</v>
      </c>
      <c r="K183">
        <v>28</v>
      </c>
      <c r="L183">
        <v>26</v>
      </c>
      <c r="M183">
        <v>1</v>
      </c>
      <c r="N183" t="s">
        <v>148</v>
      </c>
      <c r="O183" t="s">
        <v>113</v>
      </c>
      <c r="P183" t="s">
        <v>114</v>
      </c>
      <c r="Q183" t="s">
        <v>123</v>
      </c>
      <c r="R183" t="s">
        <v>114</v>
      </c>
      <c r="S183" t="s">
        <v>92</v>
      </c>
      <c r="T183" t="s">
        <v>130</v>
      </c>
      <c r="U183">
        <v>1</v>
      </c>
      <c r="V183" t="s">
        <v>137</v>
      </c>
      <c r="W183" t="s">
        <v>73</v>
      </c>
      <c r="X183" t="s">
        <v>211</v>
      </c>
      <c r="Y183">
        <v>2</v>
      </c>
      <c r="Z183">
        <v>4</v>
      </c>
      <c r="AA183">
        <v>48</v>
      </c>
      <c r="AB183">
        <v>4.0000000000000001E-3</v>
      </c>
      <c r="AC183" t="s">
        <v>211</v>
      </c>
      <c r="AD183">
        <v>4</v>
      </c>
      <c r="AE183">
        <v>5</v>
      </c>
      <c r="AF183">
        <v>0</v>
      </c>
      <c r="AG183">
        <v>2.4470000000000001</v>
      </c>
      <c r="AH183">
        <v>0.26700000000000002</v>
      </c>
      <c r="AI183">
        <v>0</v>
      </c>
    </row>
    <row r="184" spans="1:35" x14ac:dyDescent="0.25">
      <c r="A184">
        <v>259</v>
      </c>
      <c r="B184" t="s">
        <v>35</v>
      </c>
      <c r="C184">
        <v>3</v>
      </c>
      <c r="D184" t="s">
        <v>36</v>
      </c>
      <c r="E184">
        <v>1</v>
      </c>
      <c r="F184" t="s">
        <v>259</v>
      </c>
      <c r="G184">
        <v>1</v>
      </c>
      <c r="H184">
        <v>3</v>
      </c>
      <c r="I184">
        <v>3</v>
      </c>
      <c r="J184">
        <v>39</v>
      </c>
      <c r="K184">
        <v>42</v>
      </c>
      <c r="L184">
        <v>66</v>
      </c>
      <c r="M184">
        <v>2</v>
      </c>
      <c r="N184" t="s">
        <v>229</v>
      </c>
      <c r="O184" t="s">
        <v>113</v>
      </c>
      <c r="P184" t="s">
        <v>114</v>
      </c>
      <c r="Q184" t="s">
        <v>226</v>
      </c>
      <c r="R184" t="s">
        <v>114</v>
      </c>
      <c r="S184" t="s">
        <v>92</v>
      </c>
      <c r="T184" t="s">
        <v>209</v>
      </c>
      <c r="U184">
        <v>5</v>
      </c>
      <c r="V184" t="s">
        <v>120</v>
      </c>
      <c r="W184" t="s">
        <v>172</v>
      </c>
      <c r="X184" t="s">
        <v>139</v>
      </c>
      <c r="Y184">
        <v>2</v>
      </c>
      <c r="Z184">
        <v>4</v>
      </c>
      <c r="AA184">
        <v>48</v>
      </c>
      <c r="AB184">
        <v>2E-3</v>
      </c>
      <c r="AC184" t="s">
        <v>120</v>
      </c>
      <c r="AD184">
        <v>3</v>
      </c>
      <c r="AE184">
        <v>4</v>
      </c>
      <c r="AF184">
        <v>0</v>
      </c>
      <c r="AG184">
        <v>2.2250000000000001</v>
      </c>
      <c r="AH184">
        <v>0.3</v>
      </c>
      <c r="AI184">
        <v>0</v>
      </c>
    </row>
    <row r="185" spans="1:35" x14ac:dyDescent="0.25">
      <c r="A185">
        <v>259</v>
      </c>
      <c r="B185" t="s">
        <v>35</v>
      </c>
      <c r="C185">
        <v>3</v>
      </c>
      <c r="D185" t="s">
        <v>36</v>
      </c>
      <c r="E185">
        <v>1</v>
      </c>
      <c r="F185" t="s">
        <v>259</v>
      </c>
      <c r="G185">
        <v>1</v>
      </c>
      <c r="H185">
        <v>3</v>
      </c>
      <c r="I185">
        <v>3</v>
      </c>
      <c r="J185">
        <v>40</v>
      </c>
      <c r="K185">
        <v>46</v>
      </c>
      <c r="L185">
        <v>70</v>
      </c>
      <c r="M185">
        <v>2</v>
      </c>
      <c r="N185" t="s">
        <v>232</v>
      </c>
      <c r="O185" t="s">
        <v>113</v>
      </c>
      <c r="P185" t="s">
        <v>114</v>
      </c>
      <c r="Q185" t="s">
        <v>222</v>
      </c>
      <c r="R185" t="s">
        <v>114</v>
      </c>
      <c r="S185" t="s">
        <v>43</v>
      </c>
      <c r="T185" t="s">
        <v>81</v>
      </c>
      <c r="U185">
        <v>4</v>
      </c>
      <c r="V185" t="s">
        <v>104</v>
      </c>
      <c r="W185" t="s">
        <v>156</v>
      </c>
      <c r="X185" t="s">
        <v>141</v>
      </c>
      <c r="Y185">
        <v>2</v>
      </c>
      <c r="Z185">
        <v>4</v>
      </c>
      <c r="AA185">
        <v>48</v>
      </c>
      <c r="AB185">
        <v>3.0000000000000001E-3</v>
      </c>
      <c r="AC185" t="s">
        <v>141</v>
      </c>
      <c r="AD185">
        <v>4</v>
      </c>
      <c r="AE185">
        <v>2</v>
      </c>
      <c r="AF185">
        <v>0</v>
      </c>
      <c r="AG185">
        <v>2.3050000000000002</v>
      </c>
      <c r="AH185">
        <v>0.25</v>
      </c>
      <c r="AI185">
        <v>0</v>
      </c>
    </row>
    <row r="186" spans="1:35" x14ac:dyDescent="0.25">
      <c r="A186">
        <v>259</v>
      </c>
      <c r="B186" t="s">
        <v>35</v>
      </c>
      <c r="C186">
        <v>3</v>
      </c>
      <c r="D186" t="s">
        <v>36</v>
      </c>
      <c r="E186">
        <v>1</v>
      </c>
      <c r="F186" t="s">
        <v>259</v>
      </c>
      <c r="G186">
        <v>1</v>
      </c>
      <c r="H186">
        <v>3</v>
      </c>
      <c r="I186">
        <v>3</v>
      </c>
      <c r="J186">
        <v>41</v>
      </c>
      <c r="K186">
        <v>29</v>
      </c>
      <c r="L186">
        <v>61</v>
      </c>
      <c r="M186">
        <v>2</v>
      </c>
      <c r="N186" t="s">
        <v>125</v>
      </c>
      <c r="O186" t="s">
        <v>113</v>
      </c>
      <c r="P186" t="s">
        <v>114</v>
      </c>
      <c r="Q186" t="s">
        <v>126</v>
      </c>
      <c r="R186" t="s">
        <v>114</v>
      </c>
      <c r="S186" t="s">
        <v>92</v>
      </c>
      <c r="T186" t="s">
        <v>127</v>
      </c>
      <c r="U186">
        <v>5</v>
      </c>
      <c r="V186" t="s">
        <v>179</v>
      </c>
      <c r="W186" t="s">
        <v>131</v>
      </c>
      <c r="X186" t="s">
        <v>55</v>
      </c>
      <c r="Y186">
        <v>2</v>
      </c>
      <c r="Z186">
        <v>4</v>
      </c>
      <c r="AA186">
        <v>48</v>
      </c>
      <c r="AB186">
        <v>2E-3</v>
      </c>
      <c r="AC186" t="s">
        <v>127</v>
      </c>
      <c r="AD186">
        <v>1</v>
      </c>
      <c r="AE186">
        <v>5</v>
      </c>
      <c r="AF186">
        <v>1</v>
      </c>
      <c r="AG186">
        <v>2.9769999999999999</v>
      </c>
      <c r="AH186">
        <v>0.317</v>
      </c>
      <c r="AI186">
        <v>0</v>
      </c>
    </row>
    <row r="187" spans="1:35" x14ac:dyDescent="0.25">
      <c r="A187">
        <v>259</v>
      </c>
      <c r="B187" t="s">
        <v>35</v>
      </c>
      <c r="C187">
        <v>3</v>
      </c>
      <c r="D187" t="s">
        <v>36</v>
      </c>
      <c r="E187">
        <v>1</v>
      </c>
      <c r="F187" t="s">
        <v>259</v>
      </c>
      <c r="G187">
        <v>1</v>
      </c>
      <c r="H187">
        <v>3</v>
      </c>
      <c r="I187">
        <v>3</v>
      </c>
      <c r="J187">
        <v>42</v>
      </c>
      <c r="K187">
        <v>41</v>
      </c>
      <c r="L187">
        <v>65</v>
      </c>
      <c r="M187">
        <v>2</v>
      </c>
      <c r="N187" t="s">
        <v>225</v>
      </c>
      <c r="O187" t="s">
        <v>113</v>
      </c>
      <c r="P187" t="s">
        <v>114</v>
      </c>
      <c r="Q187" t="s">
        <v>226</v>
      </c>
      <c r="R187" t="s">
        <v>114</v>
      </c>
      <c r="S187" t="s">
        <v>59</v>
      </c>
      <c r="T187" t="s">
        <v>87</v>
      </c>
      <c r="U187">
        <v>4</v>
      </c>
      <c r="V187" t="s">
        <v>209</v>
      </c>
      <c r="W187" t="s">
        <v>144</v>
      </c>
      <c r="X187" t="s">
        <v>121</v>
      </c>
      <c r="Y187">
        <v>1</v>
      </c>
      <c r="Z187">
        <v>4</v>
      </c>
      <c r="AA187">
        <v>48</v>
      </c>
      <c r="AB187">
        <v>4.0000000000000001E-3</v>
      </c>
      <c r="AC187" t="s">
        <v>87</v>
      </c>
      <c r="AD187">
        <v>1</v>
      </c>
      <c r="AE187">
        <v>4</v>
      </c>
      <c r="AF187">
        <v>1</v>
      </c>
      <c r="AG187">
        <v>2.0489999999999999</v>
      </c>
      <c r="AH187">
        <v>0.33300000000000002</v>
      </c>
      <c r="AI187">
        <v>0</v>
      </c>
    </row>
    <row r="188" spans="1:35" x14ac:dyDescent="0.25">
      <c r="A188">
        <v>259</v>
      </c>
      <c r="B188" t="s">
        <v>35</v>
      </c>
      <c r="C188">
        <v>3</v>
      </c>
      <c r="D188" t="s">
        <v>36</v>
      </c>
      <c r="E188">
        <v>1</v>
      </c>
      <c r="F188" t="s">
        <v>259</v>
      </c>
      <c r="G188">
        <v>1</v>
      </c>
      <c r="H188">
        <v>3</v>
      </c>
      <c r="I188">
        <v>3</v>
      </c>
      <c r="J188">
        <v>43</v>
      </c>
      <c r="K188">
        <v>35</v>
      </c>
      <c r="L188">
        <v>67</v>
      </c>
      <c r="M188">
        <v>2</v>
      </c>
      <c r="N188" t="s">
        <v>145</v>
      </c>
      <c r="O188" t="s">
        <v>113</v>
      </c>
      <c r="P188" t="s">
        <v>114</v>
      </c>
      <c r="Q188" t="s">
        <v>136</v>
      </c>
      <c r="R188" t="s">
        <v>114</v>
      </c>
      <c r="S188" t="s">
        <v>92</v>
      </c>
      <c r="T188" t="s">
        <v>137</v>
      </c>
      <c r="U188">
        <v>5</v>
      </c>
      <c r="V188" t="s">
        <v>74</v>
      </c>
      <c r="W188" t="s">
        <v>44</v>
      </c>
      <c r="X188" t="s">
        <v>110</v>
      </c>
      <c r="Y188">
        <v>1</v>
      </c>
      <c r="Z188">
        <v>4</v>
      </c>
      <c r="AA188">
        <v>48</v>
      </c>
      <c r="AB188">
        <v>4.0000000000000001E-3</v>
      </c>
      <c r="AC188" t="s">
        <v>44</v>
      </c>
      <c r="AD188">
        <v>4</v>
      </c>
      <c r="AE188">
        <v>4</v>
      </c>
      <c r="AF188">
        <v>0</v>
      </c>
      <c r="AG188">
        <v>3.0760000000000001</v>
      </c>
      <c r="AH188">
        <v>0.41699999999999998</v>
      </c>
      <c r="AI188">
        <v>0</v>
      </c>
    </row>
    <row r="189" spans="1:35" x14ac:dyDescent="0.25">
      <c r="A189">
        <v>259</v>
      </c>
      <c r="B189" t="s">
        <v>35</v>
      </c>
      <c r="C189">
        <v>3</v>
      </c>
      <c r="D189" t="s">
        <v>36</v>
      </c>
      <c r="E189">
        <v>1</v>
      </c>
      <c r="F189" t="s">
        <v>259</v>
      </c>
      <c r="G189">
        <v>1</v>
      </c>
      <c r="H189">
        <v>3</v>
      </c>
      <c r="I189">
        <v>3</v>
      </c>
      <c r="J189">
        <v>44</v>
      </c>
      <c r="K189">
        <v>30</v>
      </c>
      <c r="L189">
        <v>62</v>
      </c>
      <c r="M189">
        <v>2</v>
      </c>
      <c r="N189" t="s">
        <v>142</v>
      </c>
      <c r="O189" t="s">
        <v>113</v>
      </c>
      <c r="P189" t="s">
        <v>114</v>
      </c>
      <c r="Q189" t="s">
        <v>126</v>
      </c>
      <c r="R189" t="s">
        <v>114</v>
      </c>
      <c r="S189" t="s">
        <v>52</v>
      </c>
      <c r="T189" t="s">
        <v>128</v>
      </c>
      <c r="U189">
        <v>5</v>
      </c>
      <c r="V189" t="s">
        <v>127</v>
      </c>
      <c r="W189" t="s">
        <v>161</v>
      </c>
      <c r="X189" t="s">
        <v>85</v>
      </c>
      <c r="Y189">
        <v>1</v>
      </c>
      <c r="Z189">
        <v>4</v>
      </c>
      <c r="AA189">
        <v>48</v>
      </c>
      <c r="AB189">
        <v>2E-3</v>
      </c>
      <c r="AC189" t="s">
        <v>128</v>
      </c>
      <c r="AD189">
        <v>1</v>
      </c>
      <c r="AE189">
        <v>5</v>
      </c>
      <c r="AF189">
        <v>1</v>
      </c>
      <c r="AG189">
        <v>2.1219999999999999</v>
      </c>
      <c r="AH189">
        <v>0.28299999999999997</v>
      </c>
      <c r="AI189">
        <v>0</v>
      </c>
    </row>
    <row r="190" spans="1:35" x14ac:dyDescent="0.25">
      <c r="A190">
        <v>259</v>
      </c>
      <c r="B190" t="s">
        <v>35</v>
      </c>
      <c r="C190">
        <v>3</v>
      </c>
      <c r="D190" t="s">
        <v>36</v>
      </c>
      <c r="E190">
        <v>1</v>
      </c>
      <c r="F190" t="s">
        <v>259</v>
      </c>
      <c r="G190">
        <v>1</v>
      </c>
      <c r="H190">
        <v>3</v>
      </c>
      <c r="I190">
        <v>3</v>
      </c>
      <c r="J190">
        <v>45</v>
      </c>
      <c r="K190">
        <v>38</v>
      </c>
      <c r="L190">
        <v>36</v>
      </c>
      <c r="M190">
        <v>1</v>
      </c>
      <c r="N190" t="s">
        <v>227</v>
      </c>
      <c r="O190" t="s">
        <v>113</v>
      </c>
      <c r="P190" t="s">
        <v>114</v>
      </c>
      <c r="Q190" t="s">
        <v>220</v>
      </c>
      <c r="R190" t="s">
        <v>114</v>
      </c>
      <c r="S190" t="s">
        <v>43</v>
      </c>
      <c r="T190" t="s">
        <v>116</v>
      </c>
      <c r="U190">
        <v>5</v>
      </c>
      <c r="V190" t="s">
        <v>100</v>
      </c>
      <c r="W190" t="s">
        <v>183</v>
      </c>
      <c r="X190" t="s">
        <v>94</v>
      </c>
      <c r="Y190">
        <v>2</v>
      </c>
      <c r="Z190">
        <v>4</v>
      </c>
      <c r="AA190">
        <v>48</v>
      </c>
      <c r="AB190">
        <v>2E-3</v>
      </c>
      <c r="AC190" t="s">
        <v>94</v>
      </c>
      <c r="AD190">
        <v>4</v>
      </c>
      <c r="AE190">
        <v>1</v>
      </c>
      <c r="AF190">
        <v>0</v>
      </c>
      <c r="AG190">
        <v>2.4300000000000002</v>
      </c>
      <c r="AH190">
        <v>0.48299999999999998</v>
      </c>
      <c r="AI190">
        <v>0</v>
      </c>
    </row>
    <row r="191" spans="1:35" x14ac:dyDescent="0.25">
      <c r="A191">
        <v>259</v>
      </c>
      <c r="B191" t="s">
        <v>35</v>
      </c>
      <c r="C191">
        <v>3</v>
      </c>
      <c r="D191" t="s">
        <v>36</v>
      </c>
      <c r="E191">
        <v>1</v>
      </c>
      <c r="F191" t="s">
        <v>259</v>
      </c>
      <c r="G191">
        <v>1</v>
      </c>
      <c r="H191">
        <v>3</v>
      </c>
      <c r="I191">
        <v>3</v>
      </c>
      <c r="J191">
        <v>46</v>
      </c>
      <c r="K191">
        <v>39</v>
      </c>
      <c r="L191">
        <v>31</v>
      </c>
      <c r="M191">
        <v>1</v>
      </c>
      <c r="N191" t="s">
        <v>230</v>
      </c>
      <c r="O191" t="s">
        <v>113</v>
      </c>
      <c r="P191" t="s">
        <v>114</v>
      </c>
      <c r="Q191" t="s">
        <v>231</v>
      </c>
      <c r="R191" t="s">
        <v>114</v>
      </c>
      <c r="S191" t="s">
        <v>59</v>
      </c>
      <c r="T191" t="s">
        <v>162</v>
      </c>
      <c r="U191">
        <v>2</v>
      </c>
      <c r="V191" t="s">
        <v>56</v>
      </c>
      <c r="W191" t="s">
        <v>149</v>
      </c>
      <c r="X191" t="s">
        <v>99</v>
      </c>
      <c r="Y191">
        <v>2</v>
      </c>
      <c r="Z191">
        <v>4</v>
      </c>
      <c r="AA191">
        <v>48</v>
      </c>
      <c r="AB191">
        <v>3.0000000000000001E-3</v>
      </c>
      <c r="AC191" t="s">
        <v>162</v>
      </c>
      <c r="AD191">
        <v>1</v>
      </c>
      <c r="AE191">
        <v>2</v>
      </c>
      <c r="AF191">
        <v>1</v>
      </c>
      <c r="AG191">
        <v>2.8889999999999998</v>
      </c>
      <c r="AH191">
        <v>0.33300000000000002</v>
      </c>
      <c r="AI191">
        <v>0</v>
      </c>
    </row>
    <row r="192" spans="1:35" x14ac:dyDescent="0.25">
      <c r="A192">
        <v>259</v>
      </c>
      <c r="B192" t="s">
        <v>35</v>
      </c>
      <c r="C192">
        <v>3</v>
      </c>
      <c r="D192" t="s">
        <v>36</v>
      </c>
      <c r="E192">
        <v>1</v>
      </c>
      <c r="F192" t="s">
        <v>259</v>
      </c>
      <c r="G192">
        <v>1</v>
      </c>
      <c r="H192">
        <v>3</v>
      </c>
      <c r="I192">
        <v>3</v>
      </c>
      <c r="J192">
        <v>47</v>
      </c>
      <c r="K192">
        <v>45</v>
      </c>
      <c r="L192">
        <v>69</v>
      </c>
      <c r="M192">
        <v>2</v>
      </c>
      <c r="N192" t="s">
        <v>221</v>
      </c>
      <c r="O192" t="s">
        <v>113</v>
      </c>
      <c r="P192" t="s">
        <v>114</v>
      </c>
      <c r="Q192" t="s">
        <v>222</v>
      </c>
      <c r="R192" t="s">
        <v>114</v>
      </c>
      <c r="S192" t="s">
        <v>52</v>
      </c>
      <c r="T192" t="s">
        <v>69</v>
      </c>
      <c r="U192">
        <v>4</v>
      </c>
      <c r="V192" t="s">
        <v>81</v>
      </c>
      <c r="W192" t="s">
        <v>93</v>
      </c>
      <c r="X192" t="s">
        <v>103</v>
      </c>
      <c r="Y192">
        <v>1</v>
      </c>
      <c r="Z192">
        <v>4</v>
      </c>
      <c r="AA192">
        <v>48</v>
      </c>
      <c r="AB192">
        <v>3.0000000000000001E-3</v>
      </c>
      <c r="AC192" t="s">
        <v>69</v>
      </c>
      <c r="AD192">
        <v>1</v>
      </c>
      <c r="AE192">
        <v>4</v>
      </c>
      <c r="AF192">
        <v>1</v>
      </c>
      <c r="AG192">
        <v>0.84499999999999997</v>
      </c>
      <c r="AH192">
        <v>0.86699999999999999</v>
      </c>
      <c r="AI192">
        <v>0</v>
      </c>
    </row>
    <row r="193" spans="1:35" x14ac:dyDescent="0.25">
      <c r="A193">
        <v>259</v>
      </c>
      <c r="B193" t="s">
        <v>35</v>
      </c>
      <c r="C193">
        <v>3</v>
      </c>
      <c r="D193" t="s">
        <v>36</v>
      </c>
      <c r="E193">
        <v>1</v>
      </c>
      <c r="F193" t="s">
        <v>259</v>
      </c>
      <c r="G193">
        <v>1</v>
      </c>
      <c r="H193">
        <v>3</v>
      </c>
      <c r="I193">
        <v>3</v>
      </c>
      <c r="J193">
        <v>48</v>
      </c>
      <c r="K193">
        <v>31</v>
      </c>
      <c r="L193">
        <v>63</v>
      </c>
      <c r="M193">
        <v>2</v>
      </c>
      <c r="N193" t="s">
        <v>140</v>
      </c>
      <c r="O193" t="s">
        <v>113</v>
      </c>
      <c r="P193" t="s">
        <v>114</v>
      </c>
      <c r="Q193" t="s">
        <v>134</v>
      </c>
      <c r="R193" t="s">
        <v>114</v>
      </c>
      <c r="S193" t="s">
        <v>59</v>
      </c>
      <c r="T193" t="s">
        <v>95</v>
      </c>
      <c r="U193">
        <v>1</v>
      </c>
      <c r="V193" t="s">
        <v>124</v>
      </c>
      <c r="W193" t="s">
        <v>47</v>
      </c>
      <c r="X193" t="s">
        <v>106</v>
      </c>
      <c r="Y193">
        <v>2</v>
      </c>
      <c r="Z193">
        <v>4</v>
      </c>
      <c r="AA193">
        <v>48</v>
      </c>
      <c r="AB193">
        <v>4.0000000000000001E-3</v>
      </c>
      <c r="AC193" t="s">
        <v>95</v>
      </c>
      <c r="AD193">
        <v>1</v>
      </c>
      <c r="AE193">
        <v>1</v>
      </c>
      <c r="AF193">
        <v>1</v>
      </c>
      <c r="AG193">
        <v>2.125</v>
      </c>
      <c r="AH193">
        <v>0.45</v>
      </c>
      <c r="AI193">
        <v>0</v>
      </c>
    </row>
    <row r="194" spans="1:35" x14ac:dyDescent="0.25">
      <c r="A194">
        <v>259</v>
      </c>
      <c r="B194" t="s">
        <v>35</v>
      </c>
      <c r="C194">
        <v>3</v>
      </c>
      <c r="D194" t="s">
        <v>36</v>
      </c>
      <c r="E194">
        <v>1</v>
      </c>
      <c r="F194" t="s">
        <v>259</v>
      </c>
      <c r="G194">
        <v>1</v>
      </c>
      <c r="H194">
        <v>3</v>
      </c>
      <c r="I194">
        <v>3</v>
      </c>
      <c r="J194">
        <v>49</v>
      </c>
      <c r="K194">
        <v>53</v>
      </c>
      <c r="L194">
        <v>49</v>
      </c>
      <c r="M194">
        <v>2</v>
      </c>
      <c r="N194" t="s">
        <v>180</v>
      </c>
      <c r="O194" t="s">
        <v>151</v>
      </c>
      <c r="P194" t="s">
        <v>181</v>
      </c>
      <c r="Q194" t="s">
        <v>182</v>
      </c>
      <c r="R194" t="s">
        <v>154</v>
      </c>
      <c r="S194" t="s">
        <v>92</v>
      </c>
      <c r="T194" t="s">
        <v>183</v>
      </c>
      <c r="U194">
        <v>5</v>
      </c>
      <c r="V194" t="s">
        <v>187</v>
      </c>
      <c r="W194" t="s">
        <v>100</v>
      </c>
      <c r="X194" t="s">
        <v>45</v>
      </c>
      <c r="Y194">
        <v>1</v>
      </c>
      <c r="Z194">
        <v>4</v>
      </c>
      <c r="AA194">
        <v>48</v>
      </c>
      <c r="AB194">
        <v>2E-3</v>
      </c>
      <c r="AC194" t="s">
        <v>187</v>
      </c>
      <c r="AD194">
        <v>2</v>
      </c>
      <c r="AE194">
        <v>4</v>
      </c>
      <c r="AF194">
        <v>0</v>
      </c>
      <c r="AG194">
        <v>2.089</v>
      </c>
      <c r="AH194">
        <v>0.35</v>
      </c>
      <c r="AI194">
        <v>0</v>
      </c>
    </row>
    <row r="195" spans="1:35" x14ac:dyDescent="0.25">
      <c r="A195">
        <v>259</v>
      </c>
      <c r="B195" t="s">
        <v>35</v>
      </c>
      <c r="C195">
        <v>3</v>
      </c>
      <c r="D195" t="s">
        <v>36</v>
      </c>
      <c r="E195">
        <v>1</v>
      </c>
      <c r="F195" t="s">
        <v>259</v>
      </c>
      <c r="G195">
        <v>1</v>
      </c>
      <c r="H195">
        <v>3</v>
      </c>
      <c r="I195">
        <v>3</v>
      </c>
      <c r="J195">
        <v>50</v>
      </c>
      <c r="K195">
        <v>56</v>
      </c>
      <c r="L195">
        <v>52</v>
      </c>
      <c r="M195">
        <v>2</v>
      </c>
      <c r="N195" t="s">
        <v>188</v>
      </c>
      <c r="O195" t="s">
        <v>151</v>
      </c>
      <c r="P195" t="s">
        <v>177</v>
      </c>
      <c r="Q195" t="s">
        <v>178</v>
      </c>
      <c r="R195" t="s">
        <v>160</v>
      </c>
      <c r="S195" t="s">
        <v>43</v>
      </c>
      <c r="T195" t="s">
        <v>108</v>
      </c>
      <c r="U195">
        <v>2</v>
      </c>
      <c r="V195" t="s">
        <v>139</v>
      </c>
      <c r="W195" t="s">
        <v>137</v>
      </c>
      <c r="X195" t="s">
        <v>53</v>
      </c>
      <c r="Y195">
        <v>1</v>
      </c>
      <c r="Z195">
        <v>4</v>
      </c>
      <c r="AA195">
        <v>48</v>
      </c>
      <c r="AB195">
        <v>2E-3</v>
      </c>
      <c r="AC195" t="s">
        <v>108</v>
      </c>
      <c r="AD195">
        <v>1</v>
      </c>
      <c r="AE195">
        <v>2</v>
      </c>
      <c r="AF195">
        <v>1</v>
      </c>
      <c r="AG195">
        <v>1.849</v>
      </c>
      <c r="AH195">
        <v>0.58299999999999996</v>
      </c>
      <c r="AI195">
        <v>0</v>
      </c>
    </row>
    <row r="196" spans="1:35" x14ac:dyDescent="0.25">
      <c r="A196">
        <v>259</v>
      </c>
      <c r="B196" t="s">
        <v>35</v>
      </c>
      <c r="C196">
        <v>3</v>
      </c>
      <c r="D196" t="s">
        <v>36</v>
      </c>
      <c r="E196">
        <v>1</v>
      </c>
      <c r="F196" t="s">
        <v>259</v>
      </c>
      <c r="G196">
        <v>1</v>
      </c>
      <c r="H196">
        <v>3</v>
      </c>
      <c r="I196">
        <v>3</v>
      </c>
      <c r="J196">
        <v>51</v>
      </c>
      <c r="K196">
        <v>71</v>
      </c>
      <c r="L196">
        <v>21</v>
      </c>
      <c r="M196">
        <v>1</v>
      </c>
      <c r="N196" t="s">
        <v>252</v>
      </c>
      <c r="O196" t="s">
        <v>151</v>
      </c>
      <c r="P196" t="s">
        <v>242</v>
      </c>
      <c r="Q196" t="s">
        <v>243</v>
      </c>
      <c r="R196" t="s">
        <v>170</v>
      </c>
      <c r="S196" t="s">
        <v>59</v>
      </c>
      <c r="T196" t="s">
        <v>146</v>
      </c>
      <c r="U196">
        <v>4</v>
      </c>
      <c r="V196" t="s">
        <v>132</v>
      </c>
      <c r="W196" t="s">
        <v>104</v>
      </c>
      <c r="X196" t="s">
        <v>185</v>
      </c>
      <c r="Y196">
        <v>1</v>
      </c>
      <c r="Z196">
        <v>4</v>
      </c>
      <c r="AA196">
        <v>48</v>
      </c>
      <c r="AB196">
        <v>2E-3</v>
      </c>
      <c r="AC196" t="s">
        <v>132</v>
      </c>
      <c r="AD196">
        <v>2</v>
      </c>
      <c r="AE196">
        <v>2</v>
      </c>
      <c r="AF196">
        <v>0</v>
      </c>
      <c r="AG196">
        <v>2.1720000000000002</v>
      </c>
      <c r="AH196">
        <v>0.45</v>
      </c>
      <c r="AI196">
        <v>0</v>
      </c>
    </row>
    <row r="197" spans="1:35" x14ac:dyDescent="0.25">
      <c r="A197">
        <v>259</v>
      </c>
      <c r="B197" t="s">
        <v>35</v>
      </c>
      <c r="C197">
        <v>3</v>
      </c>
      <c r="D197" t="s">
        <v>36</v>
      </c>
      <c r="E197">
        <v>1</v>
      </c>
      <c r="F197" t="s">
        <v>259</v>
      </c>
      <c r="G197">
        <v>1</v>
      </c>
      <c r="H197">
        <v>3</v>
      </c>
      <c r="I197">
        <v>3</v>
      </c>
      <c r="J197">
        <v>52</v>
      </c>
      <c r="K197">
        <v>70</v>
      </c>
      <c r="L197">
        <v>58</v>
      </c>
      <c r="M197">
        <v>2</v>
      </c>
      <c r="N197" t="s">
        <v>235</v>
      </c>
      <c r="O197" t="s">
        <v>151</v>
      </c>
      <c r="P197" t="s">
        <v>236</v>
      </c>
      <c r="Q197" t="s">
        <v>237</v>
      </c>
      <c r="R197" t="s">
        <v>160</v>
      </c>
      <c r="S197" t="s">
        <v>43</v>
      </c>
      <c r="T197" t="s">
        <v>55</v>
      </c>
      <c r="U197">
        <v>1</v>
      </c>
      <c r="V197" t="s">
        <v>108</v>
      </c>
      <c r="W197" t="s">
        <v>120</v>
      </c>
      <c r="X197" t="s">
        <v>66</v>
      </c>
      <c r="Y197">
        <v>2</v>
      </c>
      <c r="Z197">
        <v>4</v>
      </c>
      <c r="AA197">
        <v>48</v>
      </c>
      <c r="AB197">
        <v>4.0000000000000001E-3</v>
      </c>
      <c r="AC197" t="s">
        <v>120</v>
      </c>
      <c r="AD197">
        <v>4</v>
      </c>
      <c r="AE197">
        <v>4</v>
      </c>
      <c r="AF197">
        <v>0</v>
      </c>
      <c r="AG197">
        <v>2.7389999999999999</v>
      </c>
      <c r="AH197">
        <v>0.38300000000000001</v>
      </c>
      <c r="AI197">
        <v>0</v>
      </c>
    </row>
    <row r="198" spans="1:35" x14ac:dyDescent="0.25">
      <c r="A198">
        <v>259</v>
      </c>
      <c r="B198" t="s">
        <v>35</v>
      </c>
      <c r="C198">
        <v>3</v>
      </c>
      <c r="D198" t="s">
        <v>36</v>
      </c>
      <c r="E198">
        <v>1</v>
      </c>
      <c r="F198" t="s">
        <v>259</v>
      </c>
      <c r="G198">
        <v>1</v>
      </c>
      <c r="H198">
        <v>3</v>
      </c>
      <c r="I198">
        <v>3</v>
      </c>
      <c r="J198">
        <v>53</v>
      </c>
      <c r="K198">
        <v>51</v>
      </c>
      <c r="L198">
        <v>13</v>
      </c>
      <c r="M198">
        <v>1</v>
      </c>
      <c r="N198" t="s">
        <v>167</v>
      </c>
      <c r="O198" t="s">
        <v>151</v>
      </c>
      <c r="P198" t="s">
        <v>168</v>
      </c>
      <c r="Q198" t="s">
        <v>169</v>
      </c>
      <c r="R198" t="s">
        <v>170</v>
      </c>
      <c r="S198" t="s">
        <v>59</v>
      </c>
      <c r="T198" t="s">
        <v>96</v>
      </c>
      <c r="U198">
        <v>2</v>
      </c>
      <c r="V198" t="s">
        <v>141</v>
      </c>
      <c r="W198" t="s">
        <v>128</v>
      </c>
      <c r="X198" t="s">
        <v>85</v>
      </c>
      <c r="Y198">
        <v>1</v>
      </c>
      <c r="Z198">
        <v>4</v>
      </c>
      <c r="AA198">
        <v>48</v>
      </c>
      <c r="AB198">
        <v>3.0000000000000001E-3</v>
      </c>
      <c r="AC198" t="s">
        <v>128</v>
      </c>
      <c r="AD198">
        <v>4</v>
      </c>
      <c r="AE198">
        <v>5</v>
      </c>
      <c r="AF198">
        <v>0</v>
      </c>
      <c r="AG198">
        <v>2.9209999999999998</v>
      </c>
      <c r="AH198">
        <v>0.23300000000000001</v>
      </c>
      <c r="AI198">
        <v>0</v>
      </c>
    </row>
    <row r="199" spans="1:35" x14ac:dyDescent="0.25">
      <c r="A199">
        <v>259</v>
      </c>
      <c r="B199" t="s">
        <v>35</v>
      </c>
      <c r="C199">
        <v>3</v>
      </c>
      <c r="D199" t="s">
        <v>36</v>
      </c>
      <c r="E199">
        <v>1</v>
      </c>
      <c r="F199" t="s">
        <v>259</v>
      </c>
      <c r="G199">
        <v>1</v>
      </c>
      <c r="H199">
        <v>3</v>
      </c>
      <c r="I199">
        <v>3</v>
      </c>
      <c r="J199">
        <v>54</v>
      </c>
      <c r="K199">
        <v>65</v>
      </c>
      <c r="L199">
        <v>53</v>
      </c>
      <c r="M199">
        <v>2</v>
      </c>
      <c r="N199" t="s">
        <v>257</v>
      </c>
      <c r="O199" t="s">
        <v>151</v>
      </c>
      <c r="P199" t="s">
        <v>249</v>
      </c>
      <c r="Q199" t="s">
        <v>250</v>
      </c>
      <c r="R199" t="s">
        <v>170</v>
      </c>
      <c r="S199" t="s">
        <v>59</v>
      </c>
      <c r="T199" t="s">
        <v>204</v>
      </c>
      <c r="U199">
        <v>5</v>
      </c>
      <c r="V199" t="s">
        <v>68</v>
      </c>
      <c r="W199" t="s">
        <v>69</v>
      </c>
      <c r="X199" t="s">
        <v>79</v>
      </c>
      <c r="Y199">
        <v>1</v>
      </c>
      <c r="Z199">
        <v>4</v>
      </c>
      <c r="AA199">
        <v>48</v>
      </c>
      <c r="AB199">
        <v>4.0000000000000001E-3</v>
      </c>
      <c r="AC199" t="s">
        <v>204</v>
      </c>
      <c r="AD199">
        <v>1</v>
      </c>
      <c r="AE199">
        <v>5</v>
      </c>
      <c r="AF199">
        <v>1</v>
      </c>
      <c r="AG199">
        <v>2.3330000000000002</v>
      </c>
      <c r="AH199">
        <v>0.28299999999999997</v>
      </c>
      <c r="AI199">
        <v>0</v>
      </c>
    </row>
    <row r="200" spans="1:35" x14ac:dyDescent="0.25">
      <c r="A200">
        <v>259</v>
      </c>
      <c r="B200" t="s">
        <v>35</v>
      </c>
      <c r="C200">
        <v>3</v>
      </c>
      <c r="D200" t="s">
        <v>36</v>
      </c>
      <c r="E200">
        <v>1</v>
      </c>
      <c r="F200" t="s">
        <v>259</v>
      </c>
      <c r="G200">
        <v>1</v>
      </c>
      <c r="H200">
        <v>3</v>
      </c>
      <c r="I200">
        <v>3</v>
      </c>
      <c r="J200">
        <v>55</v>
      </c>
      <c r="K200">
        <v>58</v>
      </c>
      <c r="L200">
        <v>16</v>
      </c>
      <c r="M200">
        <v>1</v>
      </c>
      <c r="N200" t="s">
        <v>173</v>
      </c>
      <c r="O200" t="s">
        <v>151</v>
      </c>
      <c r="P200" t="s">
        <v>152</v>
      </c>
      <c r="Q200" t="s">
        <v>153</v>
      </c>
      <c r="R200" t="s">
        <v>174</v>
      </c>
      <c r="S200" t="s">
        <v>52</v>
      </c>
      <c r="T200" t="s">
        <v>99</v>
      </c>
      <c r="U200">
        <v>2</v>
      </c>
      <c r="V200" t="s">
        <v>75</v>
      </c>
      <c r="W200" t="s">
        <v>56</v>
      </c>
      <c r="X200" t="s">
        <v>98</v>
      </c>
      <c r="Y200">
        <v>2</v>
      </c>
      <c r="Z200">
        <v>4</v>
      </c>
      <c r="AA200">
        <v>48</v>
      </c>
      <c r="AB200">
        <v>3.0000000000000001E-3</v>
      </c>
      <c r="AC200" t="s">
        <v>56</v>
      </c>
      <c r="AD200">
        <v>4</v>
      </c>
      <c r="AE200">
        <v>5</v>
      </c>
      <c r="AF200">
        <v>0</v>
      </c>
      <c r="AG200">
        <v>2.3439999999999999</v>
      </c>
      <c r="AH200">
        <v>0.5</v>
      </c>
      <c r="AI200">
        <v>0</v>
      </c>
    </row>
    <row r="201" spans="1:35" x14ac:dyDescent="0.25">
      <c r="A201">
        <v>259</v>
      </c>
      <c r="B201" t="s">
        <v>35</v>
      </c>
      <c r="C201">
        <v>3</v>
      </c>
      <c r="D201" t="s">
        <v>36</v>
      </c>
      <c r="E201">
        <v>1</v>
      </c>
      <c r="F201" t="s">
        <v>259</v>
      </c>
      <c r="G201">
        <v>1</v>
      </c>
      <c r="H201">
        <v>3</v>
      </c>
      <c r="I201">
        <v>3</v>
      </c>
      <c r="J201">
        <v>56</v>
      </c>
      <c r="K201">
        <v>59</v>
      </c>
      <c r="L201">
        <v>55</v>
      </c>
      <c r="M201">
        <v>2</v>
      </c>
      <c r="N201" t="s">
        <v>163</v>
      </c>
      <c r="O201" t="s">
        <v>151</v>
      </c>
      <c r="P201" t="s">
        <v>164</v>
      </c>
      <c r="Q201" t="s">
        <v>165</v>
      </c>
      <c r="R201" t="s">
        <v>154</v>
      </c>
      <c r="S201" t="s">
        <v>92</v>
      </c>
      <c r="T201" t="s">
        <v>86</v>
      </c>
      <c r="U201">
        <v>1</v>
      </c>
      <c r="V201" t="s">
        <v>155</v>
      </c>
      <c r="W201" t="s">
        <v>73</v>
      </c>
      <c r="X201" t="s">
        <v>81</v>
      </c>
      <c r="Y201">
        <v>2</v>
      </c>
      <c r="Z201">
        <v>4</v>
      </c>
      <c r="AA201">
        <v>48</v>
      </c>
      <c r="AB201">
        <v>4.0000000000000001E-3</v>
      </c>
      <c r="AC201" t="s">
        <v>86</v>
      </c>
      <c r="AD201">
        <v>1</v>
      </c>
      <c r="AE201">
        <v>1</v>
      </c>
      <c r="AF201">
        <v>1</v>
      </c>
      <c r="AG201">
        <v>2.476</v>
      </c>
      <c r="AH201">
        <v>0.46700000000000003</v>
      </c>
      <c r="AI201">
        <v>0</v>
      </c>
    </row>
    <row r="202" spans="1:35" x14ac:dyDescent="0.25">
      <c r="A202">
        <v>259</v>
      </c>
      <c r="B202" t="s">
        <v>35</v>
      </c>
      <c r="C202">
        <v>3</v>
      </c>
      <c r="D202" t="s">
        <v>36</v>
      </c>
      <c r="E202">
        <v>1</v>
      </c>
      <c r="F202" t="s">
        <v>259</v>
      </c>
      <c r="G202">
        <v>1</v>
      </c>
      <c r="H202">
        <v>3</v>
      </c>
      <c r="I202">
        <v>3</v>
      </c>
      <c r="J202">
        <v>57</v>
      </c>
      <c r="K202">
        <v>68</v>
      </c>
      <c r="L202">
        <v>18</v>
      </c>
      <c r="M202">
        <v>1</v>
      </c>
      <c r="N202" t="s">
        <v>258</v>
      </c>
      <c r="O202" t="s">
        <v>151</v>
      </c>
      <c r="P202" t="s">
        <v>255</v>
      </c>
      <c r="Q202" t="s">
        <v>256</v>
      </c>
      <c r="R202" t="s">
        <v>160</v>
      </c>
      <c r="S202" t="s">
        <v>43</v>
      </c>
      <c r="T202" t="s">
        <v>110</v>
      </c>
      <c r="U202">
        <v>2</v>
      </c>
      <c r="V202" t="s">
        <v>82</v>
      </c>
      <c r="W202" t="s">
        <v>138</v>
      </c>
      <c r="X202" t="s">
        <v>61</v>
      </c>
      <c r="Y202">
        <v>2</v>
      </c>
      <c r="Z202">
        <v>4</v>
      </c>
      <c r="AA202">
        <v>48</v>
      </c>
      <c r="AB202">
        <v>2E-3</v>
      </c>
      <c r="AC202" t="s">
        <v>82</v>
      </c>
      <c r="AD202">
        <v>3</v>
      </c>
      <c r="AE202">
        <v>4</v>
      </c>
      <c r="AF202">
        <v>0</v>
      </c>
      <c r="AG202">
        <v>1.514</v>
      </c>
      <c r="AH202">
        <v>0.33300000000000002</v>
      </c>
      <c r="AI202">
        <v>0</v>
      </c>
    </row>
    <row r="203" spans="1:35" x14ac:dyDescent="0.25">
      <c r="A203">
        <v>259</v>
      </c>
      <c r="B203" t="s">
        <v>35</v>
      </c>
      <c r="C203">
        <v>3</v>
      </c>
      <c r="D203" t="s">
        <v>36</v>
      </c>
      <c r="E203">
        <v>1</v>
      </c>
      <c r="F203" t="s">
        <v>259</v>
      </c>
      <c r="G203">
        <v>1</v>
      </c>
      <c r="H203">
        <v>3</v>
      </c>
      <c r="I203">
        <v>3</v>
      </c>
      <c r="J203">
        <v>58</v>
      </c>
      <c r="K203">
        <v>57</v>
      </c>
      <c r="L203">
        <v>15</v>
      </c>
      <c r="M203">
        <v>1</v>
      </c>
      <c r="N203" t="s">
        <v>150</v>
      </c>
      <c r="O203" t="s">
        <v>151</v>
      </c>
      <c r="P203" t="s">
        <v>152</v>
      </c>
      <c r="Q203" t="s">
        <v>153</v>
      </c>
      <c r="R203" t="s">
        <v>154</v>
      </c>
      <c r="S203" t="s">
        <v>92</v>
      </c>
      <c r="T203" t="s">
        <v>155</v>
      </c>
      <c r="U203">
        <v>1</v>
      </c>
      <c r="V203" t="s">
        <v>99</v>
      </c>
      <c r="W203" t="s">
        <v>87</v>
      </c>
      <c r="X203" t="s">
        <v>147</v>
      </c>
      <c r="Y203">
        <v>1</v>
      </c>
      <c r="Z203">
        <v>4</v>
      </c>
      <c r="AA203">
        <v>48</v>
      </c>
      <c r="AB203">
        <v>3.0000000000000001E-3</v>
      </c>
      <c r="AC203" t="s">
        <v>155</v>
      </c>
      <c r="AD203">
        <v>1</v>
      </c>
      <c r="AE203">
        <v>1</v>
      </c>
      <c r="AF203">
        <v>1</v>
      </c>
      <c r="AG203">
        <v>2.093</v>
      </c>
      <c r="AH203">
        <v>0.45</v>
      </c>
      <c r="AI203">
        <v>0</v>
      </c>
    </row>
    <row r="204" spans="1:35" x14ac:dyDescent="0.25">
      <c r="A204">
        <v>259</v>
      </c>
      <c r="B204" t="s">
        <v>35</v>
      </c>
      <c r="C204">
        <v>3</v>
      </c>
      <c r="D204" t="s">
        <v>36</v>
      </c>
      <c r="E204">
        <v>1</v>
      </c>
      <c r="F204" t="s">
        <v>259</v>
      </c>
      <c r="G204">
        <v>1</v>
      </c>
      <c r="H204">
        <v>3</v>
      </c>
      <c r="I204">
        <v>3</v>
      </c>
      <c r="J204">
        <v>59</v>
      </c>
      <c r="K204">
        <v>61</v>
      </c>
      <c r="L204">
        <v>23</v>
      </c>
      <c r="M204">
        <v>1</v>
      </c>
      <c r="N204" t="s">
        <v>244</v>
      </c>
      <c r="O204" t="s">
        <v>151</v>
      </c>
      <c r="P204" t="s">
        <v>245</v>
      </c>
      <c r="Q204" t="s">
        <v>246</v>
      </c>
      <c r="R204" t="s">
        <v>154</v>
      </c>
      <c r="S204" t="s">
        <v>92</v>
      </c>
      <c r="T204" t="s">
        <v>62</v>
      </c>
      <c r="U204">
        <v>2</v>
      </c>
      <c r="V204" t="s">
        <v>121</v>
      </c>
      <c r="W204" t="s">
        <v>156</v>
      </c>
      <c r="X204" t="s">
        <v>46</v>
      </c>
      <c r="Y204">
        <v>1</v>
      </c>
      <c r="Z204">
        <v>4</v>
      </c>
      <c r="AA204">
        <v>48</v>
      </c>
      <c r="AB204">
        <v>4.0000000000000001E-3</v>
      </c>
      <c r="AC204" t="s">
        <v>121</v>
      </c>
      <c r="AD204">
        <v>2</v>
      </c>
      <c r="AE204">
        <v>5</v>
      </c>
      <c r="AF204">
        <v>0</v>
      </c>
      <c r="AG204">
        <v>1.867</v>
      </c>
      <c r="AH204">
        <v>0.33300000000000002</v>
      </c>
      <c r="AI204">
        <v>0</v>
      </c>
    </row>
    <row r="205" spans="1:35" x14ac:dyDescent="0.25">
      <c r="A205">
        <v>259</v>
      </c>
      <c r="B205" t="s">
        <v>35</v>
      </c>
      <c r="C205">
        <v>3</v>
      </c>
      <c r="D205" t="s">
        <v>36</v>
      </c>
      <c r="E205">
        <v>1</v>
      </c>
      <c r="F205" t="s">
        <v>259</v>
      </c>
      <c r="G205">
        <v>1</v>
      </c>
      <c r="H205">
        <v>3</v>
      </c>
      <c r="I205">
        <v>3</v>
      </c>
      <c r="J205">
        <v>60</v>
      </c>
      <c r="K205">
        <v>63</v>
      </c>
      <c r="L205">
        <v>19</v>
      </c>
      <c r="M205">
        <v>1</v>
      </c>
      <c r="N205" t="s">
        <v>253</v>
      </c>
      <c r="O205" t="s">
        <v>151</v>
      </c>
      <c r="P205" t="s">
        <v>239</v>
      </c>
      <c r="Q205" t="s">
        <v>240</v>
      </c>
      <c r="R205" t="s">
        <v>170</v>
      </c>
      <c r="S205" t="s">
        <v>59</v>
      </c>
      <c r="T205" t="s">
        <v>211</v>
      </c>
      <c r="U205">
        <v>2</v>
      </c>
      <c r="V205" t="s">
        <v>96</v>
      </c>
      <c r="W205" t="s">
        <v>144</v>
      </c>
      <c r="X205" t="s">
        <v>119</v>
      </c>
      <c r="Y205">
        <v>2</v>
      </c>
      <c r="Z205">
        <v>4</v>
      </c>
      <c r="AA205">
        <v>48</v>
      </c>
      <c r="AB205">
        <v>2E-3</v>
      </c>
      <c r="AC205" t="s">
        <v>144</v>
      </c>
      <c r="AD205">
        <v>4</v>
      </c>
      <c r="AE205">
        <v>1</v>
      </c>
      <c r="AF205">
        <v>0</v>
      </c>
      <c r="AG205">
        <v>2.1080000000000001</v>
      </c>
      <c r="AH205">
        <v>0.33300000000000002</v>
      </c>
      <c r="AI205">
        <v>0</v>
      </c>
    </row>
    <row r="206" spans="1:35" x14ac:dyDescent="0.25">
      <c r="A206">
        <v>259</v>
      </c>
      <c r="B206" t="s">
        <v>35</v>
      </c>
      <c r="C206">
        <v>3</v>
      </c>
      <c r="D206" t="s">
        <v>36</v>
      </c>
      <c r="E206">
        <v>1</v>
      </c>
      <c r="F206" t="s">
        <v>259</v>
      </c>
      <c r="G206">
        <v>1</v>
      </c>
      <c r="H206">
        <v>3</v>
      </c>
      <c r="I206">
        <v>3</v>
      </c>
      <c r="J206">
        <v>61</v>
      </c>
      <c r="K206">
        <v>54</v>
      </c>
      <c r="L206">
        <v>50</v>
      </c>
      <c r="M206">
        <v>2</v>
      </c>
      <c r="N206" t="s">
        <v>186</v>
      </c>
      <c r="O206" t="s">
        <v>151</v>
      </c>
      <c r="P206" t="s">
        <v>181</v>
      </c>
      <c r="Q206" t="s">
        <v>182</v>
      </c>
      <c r="R206" t="s">
        <v>174</v>
      </c>
      <c r="S206" t="s">
        <v>52</v>
      </c>
      <c r="T206" t="s">
        <v>187</v>
      </c>
      <c r="U206">
        <v>5</v>
      </c>
      <c r="V206" t="s">
        <v>47</v>
      </c>
      <c r="W206" t="s">
        <v>179</v>
      </c>
      <c r="X206" t="s">
        <v>94</v>
      </c>
      <c r="Y206">
        <v>2</v>
      </c>
      <c r="Z206">
        <v>4</v>
      </c>
      <c r="AA206">
        <v>48</v>
      </c>
      <c r="AB206">
        <v>3.0000000000000001E-3</v>
      </c>
      <c r="AC206" t="s">
        <v>179</v>
      </c>
      <c r="AD206">
        <v>4</v>
      </c>
      <c r="AE206">
        <v>4</v>
      </c>
      <c r="AF206">
        <v>0</v>
      </c>
      <c r="AG206">
        <v>3.0910000000000002</v>
      </c>
      <c r="AH206">
        <v>0.4</v>
      </c>
      <c r="AI206">
        <v>0</v>
      </c>
    </row>
    <row r="207" spans="1:35" x14ac:dyDescent="0.25">
      <c r="A207">
        <v>259</v>
      </c>
      <c r="B207" t="s">
        <v>35</v>
      </c>
      <c r="C207">
        <v>3</v>
      </c>
      <c r="D207" t="s">
        <v>36</v>
      </c>
      <c r="E207">
        <v>1</v>
      </c>
      <c r="F207" t="s">
        <v>259</v>
      </c>
      <c r="G207">
        <v>1</v>
      </c>
      <c r="H207">
        <v>3</v>
      </c>
      <c r="I207">
        <v>3</v>
      </c>
      <c r="J207">
        <v>62</v>
      </c>
      <c r="K207">
        <v>60</v>
      </c>
      <c r="L207">
        <v>56</v>
      </c>
      <c r="M207">
        <v>2</v>
      </c>
      <c r="N207" t="s">
        <v>175</v>
      </c>
      <c r="O207" t="s">
        <v>151</v>
      </c>
      <c r="P207" t="s">
        <v>164</v>
      </c>
      <c r="Q207" t="s">
        <v>165</v>
      </c>
      <c r="R207" t="s">
        <v>174</v>
      </c>
      <c r="S207" t="s">
        <v>52</v>
      </c>
      <c r="T207" t="s">
        <v>166</v>
      </c>
      <c r="U207">
        <v>4</v>
      </c>
      <c r="V207" t="s">
        <v>86</v>
      </c>
      <c r="W207" t="s">
        <v>44</v>
      </c>
      <c r="X207" t="s">
        <v>95</v>
      </c>
      <c r="Y207">
        <v>1</v>
      </c>
      <c r="Z207">
        <v>4</v>
      </c>
      <c r="AA207">
        <v>48</v>
      </c>
      <c r="AB207">
        <v>3.0000000000000001E-3</v>
      </c>
      <c r="AC207" t="s">
        <v>166</v>
      </c>
      <c r="AD207">
        <v>1</v>
      </c>
      <c r="AE207">
        <v>4</v>
      </c>
      <c r="AF207">
        <v>1</v>
      </c>
      <c r="AG207">
        <v>2.2629999999999999</v>
      </c>
      <c r="AH207">
        <v>0.66700000000000004</v>
      </c>
      <c r="AI207">
        <v>0</v>
      </c>
    </row>
    <row r="208" spans="1:35" x14ac:dyDescent="0.25">
      <c r="A208">
        <v>259</v>
      </c>
      <c r="B208" t="s">
        <v>35</v>
      </c>
      <c r="C208">
        <v>3</v>
      </c>
      <c r="D208" t="s">
        <v>36</v>
      </c>
      <c r="E208">
        <v>1</v>
      </c>
      <c r="F208" t="s">
        <v>259</v>
      </c>
      <c r="G208">
        <v>1</v>
      </c>
      <c r="H208">
        <v>3</v>
      </c>
      <c r="I208">
        <v>3</v>
      </c>
      <c r="J208">
        <v>63</v>
      </c>
      <c r="K208">
        <v>50</v>
      </c>
      <c r="L208">
        <v>60</v>
      </c>
      <c r="M208">
        <v>2</v>
      </c>
      <c r="N208" t="s">
        <v>157</v>
      </c>
      <c r="O208" t="s">
        <v>151</v>
      </c>
      <c r="P208" t="s">
        <v>158</v>
      </c>
      <c r="Q208" t="s">
        <v>159</v>
      </c>
      <c r="R208" t="s">
        <v>160</v>
      </c>
      <c r="S208" t="s">
        <v>43</v>
      </c>
      <c r="T208" t="s">
        <v>161</v>
      </c>
      <c r="U208">
        <v>4</v>
      </c>
      <c r="V208" t="s">
        <v>103</v>
      </c>
      <c r="W208" t="s">
        <v>149</v>
      </c>
      <c r="X208" t="s">
        <v>209</v>
      </c>
      <c r="Y208">
        <v>1</v>
      </c>
      <c r="Z208">
        <v>4</v>
      </c>
      <c r="AA208">
        <v>48</v>
      </c>
      <c r="AB208">
        <v>3.0000000000000001E-3</v>
      </c>
      <c r="AC208" t="s">
        <v>161</v>
      </c>
      <c r="AD208">
        <v>1</v>
      </c>
      <c r="AE208">
        <v>4</v>
      </c>
      <c r="AF208">
        <v>1</v>
      </c>
      <c r="AG208">
        <v>2.31</v>
      </c>
      <c r="AH208">
        <v>0.26700000000000002</v>
      </c>
      <c r="AI208">
        <v>0</v>
      </c>
    </row>
    <row r="209" spans="1:35" x14ac:dyDescent="0.25">
      <c r="A209">
        <v>259</v>
      </c>
      <c r="B209" t="s">
        <v>35</v>
      </c>
      <c r="C209">
        <v>3</v>
      </c>
      <c r="D209" t="s">
        <v>36</v>
      </c>
      <c r="E209">
        <v>1</v>
      </c>
      <c r="F209" t="s">
        <v>259</v>
      </c>
      <c r="G209">
        <v>1</v>
      </c>
      <c r="H209">
        <v>3</v>
      </c>
      <c r="I209">
        <v>3</v>
      </c>
      <c r="J209">
        <v>64</v>
      </c>
      <c r="K209">
        <v>66</v>
      </c>
      <c r="L209">
        <v>54</v>
      </c>
      <c r="M209">
        <v>2</v>
      </c>
      <c r="N209" t="s">
        <v>248</v>
      </c>
      <c r="O209" t="s">
        <v>151</v>
      </c>
      <c r="P209" t="s">
        <v>249</v>
      </c>
      <c r="Q209" t="s">
        <v>250</v>
      </c>
      <c r="R209" t="s">
        <v>154</v>
      </c>
      <c r="S209" t="s">
        <v>92</v>
      </c>
      <c r="T209" t="s">
        <v>68</v>
      </c>
      <c r="U209">
        <v>2</v>
      </c>
      <c r="V209" t="s">
        <v>183</v>
      </c>
      <c r="W209" t="s">
        <v>67</v>
      </c>
      <c r="X209" t="s">
        <v>116</v>
      </c>
      <c r="Y209">
        <v>2</v>
      </c>
      <c r="Z209">
        <v>4</v>
      </c>
      <c r="AA209">
        <v>48</v>
      </c>
      <c r="AB209">
        <v>2E-3</v>
      </c>
      <c r="AC209" t="s">
        <v>68</v>
      </c>
      <c r="AD209">
        <v>1</v>
      </c>
      <c r="AE209">
        <v>2</v>
      </c>
      <c r="AF209">
        <v>1</v>
      </c>
      <c r="AG209">
        <v>2.5150000000000001</v>
      </c>
      <c r="AH209">
        <v>0.68300000000000005</v>
      </c>
      <c r="AI209">
        <v>0</v>
      </c>
    </row>
    <row r="210" spans="1:35" x14ac:dyDescent="0.25">
      <c r="A210">
        <v>259</v>
      </c>
      <c r="B210" t="s">
        <v>35</v>
      </c>
      <c r="C210">
        <v>3</v>
      </c>
      <c r="D210" t="s">
        <v>36</v>
      </c>
      <c r="E210">
        <v>1</v>
      </c>
      <c r="F210" t="s">
        <v>259</v>
      </c>
      <c r="G210">
        <v>1</v>
      </c>
      <c r="H210">
        <v>3</v>
      </c>
      <c r="I210">
        <v>3</v>
      </c>
      <c r="J210">
        <v>65</v>
      </c>
      <c r="K210">
        <v>72</v>
      </c>
      <c r="L210">
        <v>22</v>
      </c>
      <c r="M210">
        <v>1</v>
      </c>
      <c r="N210" t="s">
        <v>241</v>
      </c>
      <c r="O210" t="s">
        <v>151</v>
      </c>
      <c r="P210" t="s">
        <v>242</v>
      </c>
      <c r="Q210" t="s">
        <v>243</v>
      </c>
      <c r="R210" t="s">
        <v>174</v>
      </c>
      <c r="S210" t="s">
        <v>52</v>
      </c>
      <c r="T210" t="s">
        <v>132</v>
      </c>
      <c r="U210">
        <v>4</v>
      </c>
      <c r="V210" t="s">
        <v>166</v>
      </c>
      <c r="W210" t="s">
        <v>131</v>
      </c>
      <c r="X210" t="s">
        <v>107</v>
      </c>
      <c r="Y210">
        <v>2</v>
      </c>
      <c r="Z210">
        <v>4</v>
      </c>
      <c r="AA210">
        <v>48</v>
      </c>
      <c r="AB210">
        <v>2E-3</v>
      </c>
      <c r="AC210" t="s">
        <v>131</v>
      </c>
      <c r="AD210">
        <v>4</v>
      </c>
      <c r="AE210">
        <v>5</v>
      </c>
      <c r="AF210">
        <v>0</v>
      </c>
      <c r="AG210">
        <v>1.655</v>
      </c>
      <c r="AH210">
        <v>0.3</v>
      </c>
      <c r="AI210">
        <v>0</v>
      </c>
    </row>
    <row r="211" spans="1:35" x14ac:dyDescent="0.25">
      <c r="A211">
        <v>259</v>
      </c>
      <c r="B211" t="s">
        <v>35</v>
      </c>
      <c r="C211">
        <v>3</v>
      </c>
      <c r="D211" t="s">
        <v>36</v>
      </c>
      <c r="E211">
        <v>1</v>
      </c>
      <c r="F211" t="s">
        <v>259</v>
      </c>
      <c r="G211">
        <v>1</v>
      </c>
      <c r="H211">
        <v>3</v>
      </c>
      <c r="I211">
        <v>3</v>
      </c>
      <c r="J211">
        <v>66</v>
      </c>
      <c r="K211">
        <v>55</v>
      </c>
      <c r="L211">
        <v>51</v>
      </c>
      <c r="M211">
        <v>2</v>
      </c>
      <c r="N211" t="s">
        <v>176</v>
      </c>
      <c r="O211" t="s">
        <v>151</v>
      </c>
      <c r="P211" t="s">
        <v>177</v>
      </c>
      <c r="Q211" t="s">
        <v>178</v>
      </c>
      <c r="R211" t="s">
        <v>170</v>
      </c>
      <c r="S211" t="s">
        <v>59</v>
      </c>
      <c r="T211" t="s">
        <v>139</v>
      </c>
      <c r="U211">
        <v>4</v>
      </c>
      <c r="V211" t="s">
        <v>204</v>
      </c>
      <c r="W211" t="s">
        <v>80</v>
      </c>
      <c r="X211" t="s">
        <v>127</v>
      </c>
      <c r="Y211">
        <v>2</v>
      </c>
      <c r="Z211">
        <v>4</v>
      </c>
      <c r="AA211">
        <v>48</v>
      </c>
      <c r="AB211">
        <v>4.0000000000000001E-3</v>
      </c>
      <c r="AC211" t="s">
        <v>127</v>
      </c>
      <c r="AD211">
        <v>4</v>
      </c>
      <c r="AE211">
        <v>2</v>
      </c>
      <c r="AF211">
        <v>0</v>
      </c>
      <c r="AG211">
        <v>2.1219999999999999</v>
      </c>
      <c r="AH211">
        <v>0.28299999999999997</v>
      </c>
      <c r="AI211">
        <v>0</v>
      </c>
    </row>
    <row r="212" spans="1:35" x14ac:dyDescent="0.25">
      <c r="A212">
        <v>259</v>
      </c>
      <c r="B212" t="s">
        <v>35</v>
      </c>
      <c r="C212">
        <v>3</v>
      </c>
      <c r="D212" t="s">
        <v>36</v>
      </c>
      <c r="E212">
        <v>1</v>
      </c>
      <c r="F212" t="s">
        <v>259</v>
      </c>
      <c r="G212">
        <v>1</v>
      </c>
      <c r="H212">
        <v>3</v>
      </c>
      <c r="I212">
        <v>3</v>
      </c>
      <c r="J212">
        <v>67</v>
      </c>
      <c r="K212">
        <v>64</v>
      </c>
      <c r="L212">
        <v>20</v>
      </c>
      <c r="M212">
        <v>1</v>
      </c>
      <c r="N212" t="s">
        <v>238</v>
      </c>
      <c r="O212" t="s">
        <v>151</v>
      </c>
      <c r="P212" t="s">
        <v>239</v>
      </c>
      <c r="Q212" t="s">
        <v>240</v>
      </c>
      <c r="R212" t="s">
        <v>160</v>
      </c>
      <c r="S212" t="s">
        <v>43</v>
      </c>
      <c r="T212" t="s">
        <v>82</v>
      </c>
      <c r="U212">
        <v>2</v>
      </c>
      <c r="V212" t="s">
        <v>211</v>
      </c>
      <c r="W212" t="s">
        <v>54</v>
      </c>
      <c r="X212" t="s">
        <v>130</v>
      </c>
      <c r="Y212">
        <v>1</v>
      </c>
      <c r="Z212">
        <v>4</v>
      </c>
      <c r="AA212">
        <v>48</v>
      </c>
      <c r="AB212">
        <v>3.0000000000000001E-3</v>
      </c>
      <c r="AC212" t="s">
        <v>211</v>
      </c>
      <c r="AD212">
        <v>2</v>
      </c>
      <c r="AE212">
        <v>4</v>
      </c>
      <c r="AF212">
        <v>0</v>
      </c>
      <c r="AG212">
        <v>2.7429999999999999</v>
      </c>
      <c r="AH212">
        <v>0.317</v>
      </c>
      <c r="AI212">
        <v>0</v>
      </c>
    </row>
    <row r="213" spans="1:35" x14ac:dyDescent="0.25">
      <c r="A213">
        <v>259</v>
      </c>
      <c r="B213" t="s">
        <v>35</v>
      </c>
      <c r="C213">
        <v>3</v>
      </c>
      <c r="D213" t="s">
        <v>36</v>
      </c>
      <c r="E213">
        <v>1</v>
      </c>
      <c r="F213" t="s">
        <v>259</v>
      </c>
      <c r="G213">
        <v>1</v>
      </c>
      <c r="H213">
        <v>3</v>
      </c>
      <c r="I213">
        <v>3</v>
      </c>
      <c r="J213">
        <v>68</v>
      </c>
      <c r="K213">
        <v>49</v>
      </c>
      <c r="L213">
        <v>59</v>
      </c>
      <c r="M213">
        <v>2</v>
      </c>
      <c r="N213" t="s">
        <v>171</v>
      </c>
      <c r="O213" t="s">
        <v>151</v>
      </c>
      <c r="P213" t="s">
        <v>158</v>
      </c>
      <c r="Q213" t="s">
        <v>159</v>
      </c>
      <c r="R213" t="s">
        <v>170</v>
      </c>
      <c r="S213" t="s">
        <v>59</v>
      </c>
      <c r="T213" t="s">
        <v>103</v>
      </c>
      <c r="U213">
        <v>4</v>
      </c>
      <c r="V213" t="s">
        <v>146</v>
      </c>
      <c r="W213" t="s">
        <v>172</v>
      </c>
      <c r="X213" t="s">
        <v>74</v>
      </c>
      <c r="Y213">
        <v>2</v>
      </c>
      <c r="Z213">
        <v>4</v>
      </c>
      <c r="AA213">
        <v>48</v>
      </c>
      <c r="AB213">
        <v>2E-3</v>
      </c>
      <c r="AC213" t="s">
        <v>146</v>
      </c>
      <c r="AD213">
        <v>3</v>
      </c>
      <c r="AE213">
        <v>1</v>
      </c>
      <c r="AF213">
        <v>0</v>
      </c>
      <c r="AG213">
        <v>2.1949999999999998</v>
      </c>
      <c r="AH213">
        <v>0.28299999999999997</v>
      </c>
      <c r="AI213">
        <v>0</v>
      </c>
    </row>
    <row r="214" spans="1:35" x14ac:dyDescent="0.25">
      <c r="A214">
        <v>259</v>
      </c>
      <c r="B214" t="s">
        <v>35</v>
      </c>
      <c r="C214">
        <v>3</v>
      </c>
      <c r="D214" t="s">
        <v>36</v>
      </c>
      <c r="E214">
        <v>1</v>
      </c>
      <c r="F214" t="s">
        <v>259</v>
      </c>
      <c r="G214">
        <v>1</v>
      </c>
      <c r="H214">
        <v>3</v>
      </c>
      <c r="I214">
        <v>3</v>
      </c>
      <c r="J214">
        <v>69</v>
      </c>
      <c r="K214">
        <v>67</v>
      </c>
      <c r="L214">
        <v>17</v>
      </c>
      <c r="M214">
        <v>1</v>
      </c>
      <c r="N214" t="s">
        <v>254</v>
      </c>
      <c r="O214" t="s">
        <v>151</v>
      </c>
      <c r="P214" t="s">
        <v>255</v>
      </c>
      <c r="Q214" t="s">
        <v>256</v>
      </c>
      <c r="R214" t="s">
        <v>174</v>
      </c>
      <c r="S214" t="s">
        <v>52</v>
      </c>
      <c r="T214" t="s">
        <v>47</v>
      </c>
      <c r="U214">
        <v>5</v>
      </c>
      <c r="V214" t="s">
        <v>110</v>
      </c>
      <c r="W214" t="s">
        <v>124</v>
      </c>
      <c r="X214" t="s">
        <v>106</v>
      </c>
      <c r="Y214">
        <v>1</v>
      </c>
      <c r="Z214">
        <v>4</v>
      </c>
      <c r="AA214">
        <v>48</v>
      </c>
      <c r="AB214">
        <v>2E-3</v>
      </c>
      <c r="AC214" t="s">
        <v>124</v>
      </c>
      <c r="AD214">
        <v>4</v>
      </c>
      <c r="AE214">
        <v>4</v>
      </c>
      <c r="AF214">
        <v>0</v>
      </c>
      <c r="AG214">
        <v>3.1309999999999998</v>
      </c>
      <c r="AH214">
        <v>0.28299999999999997</v>
      </c>
      <c r="AI214">
        <v>0</v>
      </c>
    </row>
    <row r="215" spans="1:35" x14ac:dyDescent="0.25">
      <c r="A215">
        <v>259</v>
      </c>
      <c r="B215" t="s">
        <v>35</v>
      </c>
      <c r="C215">
        <v>3</v>
      </c>
      <c r="D215" t="s">
        <v>36</v>
      </c>
      <c r="E215">
        <v>1</v>
      </c>
      <c r="F215" t="s">
        <v>259</v>
      </c>
      <c r="G215">
        <v>1</v>
      </c>
      <c r="H215">
        <v>3</v>
      </c>
      <c r="I215">
        <v>3</v>
      </c>
      <c r="J215">
        <v>70</v>
      </c>
      <c r="K215">
        <v>62</v>
      </c>
      <c r="L215">
        <v>24</v>
      </c>
      <c r="M215">
        <v>1</v>
      </c>
      <c r="N215" t="s">
        <v>251</v>
      </c>
      <c r="O215" t="s">
        <v>151</v>
      </c>
      <c r="P215" t="s">
        <v>245</v>
      </c>
      <c r="Q215" t="s">
        <v>246</v>
      </c>
      <c r="R215" t="s">
        <v>160</v>
      </c>
      <c r="S215" t="s">
        <v>43</v>
      </c>
      <c r="T215" t="s">
        <v>121</v>
      </c>
      <c r="U215">
        <v>2</v>
      </c>
      <c r="V215" t="s">
        <v>161</v>
      </c>
      <c r="W215" t="s">
        <v>214</v>
      </c>
      <c r="X215" t="s">
        <v>60</v>
      </c>
      <c r="Y215">
        <v>2</v>
      </c>
      <c r="Z215">
        <v>4</v>
      </c>
      <c r="AA215">
        <v>48</v>
      </c>
      <c r="AB215">
        <v>2E-3</v>
      </c>
      <c r="AC215" t="s">
        <v>214</v>
      </c>
      <c r="AD215">
        <v>4</v>
      </c>
      <c r="AE215">
        <v>5</v>
      </c>
      <c r="AF215">
        <v>0</v>
      </c>
      <c r="AG215">
        <v>3.1890000000000001</v>
      </c>
      <c r="AH215">
        <v>0.26700000000000002</v>
      </c>
      <c r="AI215">
        <v>0</v>
      </c>
    </row>
    <row r="216" spans="1:35" x14ac:dyDescent="0.25">
      <c r="A216">
        <v>259</v>
      </c>
      <c r="B216" t="s">
        <v>35</v>
      </c>
      <c r="C216">
        <v>3</v>
      </c>
      <c r="D216" t="s">
        <v>36</v>
      </c>
      <c r="E216">
        <v>1</v>
      </c>
      <c r="F216" t="s">
        <v>259</v>
      </c>
      <c r="G216">
        <v>1</v>
      </c>
      <c r="H216">
        <v>3</v>
      </c>
      <c r="I216">
        <v>3</v>
      </c>
      <c r="J216">
        <v>71</v>
      </c>
      <c r="K216">
        <v>69</v>
      </c>
      <c r="L216">
        <v>57</v>
      </c>
      <c r="M216">
        <v>2</v>
      </c>
      <c r="N216" t="s">
        <v>247</v>
      </c>
      <c r="O216" t="s">
        <v>151</v>
      </c>
      <c r="P216" t="s">
        <v>236</v>
      </c>
      <c r="Q216" t="s">
        <v>237</v>
      </c>
      <c r="R216" t="s">
        <v>174</v>
      </c>
      <c r="S216" t="s">
        <v>52</v>
      </c>
      <c r="T216" t="s">
        <v>75</v>
      </c>
      <c r="U216">
        <v>5</v>
      </c>
      <c r="V216" t="s">
        <v>55</v>
      </c>
      <c r="W216" t="s">
        <v>93</v>
      </c>
      <c r="X216" t="s">
        <v>162</v>
      </c>
      <c r="Y216">
        <v>1</v>
      </c>
      <c r="Z216">
        <v>4</v>
      </c>
      <c r="AA216">
        <v>48</v>
      </c>
      <c r="AB216">
        <v>2E-3</v>
      </c>
      <c r="AC216" t="s">
        <v>55</v>
      </c>
      <c r="AD216">
        <v>2</v>
      </c>
      <c r="AE216">
        <v>1</v>
      </c>
      <c r="AF216">
        <v>0</v>
      </c>
      <c r="AG216">
        <v>3.0190000000000001</v>
      </c>
      <c r="AH216">
        <v>0.317</v>
      </c>
      <c r="AI216">
        <v>0</v>
      </c>
    </row>
    <row r="217" spans="1:35" x14ac:dyDescent="0.25">
      <c r="A217">
        <v>259</v>
      </c>
      <c r="B217" t="s">
        <v>35</v>
      </c>
      <c r="C217">
        <v>3</v>
      </c>
      <c r="D217" t="s">
        <v>36</v>
      </c>
      <c r="E217">
        <v>1</v>
      </c>
      <c r="F217" t="s">
        <v>259</v>
      </c>
      <c r="G217">
        <v>1</v>
      </c>
      <c r="H217">
        <v>3</v>
      </c>
      <c r="I217">
        <v>3</v>
      </c>
      <c r="J217">
        <v>72</v>
      </c>
      <c r="K217">
        <v>52</v>
      </c>
      <c r="L217">
        <v>14</v>
      </c>
      <c r="M217">
        <v>1</v>
      </c>
      <c r="N217" t="s">
        <v>184</v>
      </c>
      <c r="O217" t="s">
        <v>151</v>
      </c>
      <c r="P217" t="s">
        <v>168</v>
      </c>
      <c r="Q217" t="s">
        <v>169</v>
      </c>
      <c r="R217" t="s">
        <v>154</v>
      </c>
      <c r="S217" t="s">
        <v>92</v>
      </c>
      <c r="T217" t="s">
        <v>141</v>
      </c>
      <c r="U217">
        <v>4</v>
      </c>
      <c r="V217" t="s">
        <v>62</v>
      </c>
      <c r="W217" t="s">
        <v>111</v>
      </c>
      <c r="X217" t="s">
        <v>102</v>
      </c>
      <c r="Y217">
        <v>2</v>
      </c>
      <c r="Z217">
        <v>4</v>
      </c>
      <c r="AA217">
        <v>48</v>
      </c>
      <c r="AB217">
        <v>4.0000000000000001E-3</v>
      </c>
      <c r="AC217" t="s">
        <v>62</v>
      </c>
      <c r="AD217">
        <v>3</v>
      </c>
      <c r="AE217">
        <v>5</v>
      </c>
      <c r="AF217">
        <v>0</v>
      </c>
      <c r="AG217">
        <v>2.9020000000000001</v>
      </c>
      <c r="AH217">
        <v>1.7000000000000001E-2</v>
      </c>
      <c r="AI217">
        <v>0</v>
      </c>
    </row>
    <row r="218" spans="1:35" x14ac:dyDescent="0.25">
      <c r="A218">
        <v>259</v>
      </c>
      <c r="B218" t="s">
        <v>35</v>
      </c>
      <c r="C218">
        <v>3</v>
      </c>
      <c r="D218" t="s">
        <v>36</v>
      </c>
      <c r="E218">
        <v>2</v>
      </c>
      <c r="F218" t="s">
        <v>259</v>
      </c>
      <c r="G218">
        <v>2</v>
      </c>
      <c r="H218">
        <v>6</v>
      </c>
      <c r="I218">
        <v>1</v>
      </c>
      <c r="J218">
        <v>1</v>
      </c>
      <c r="K218">
        <v>3</v>
      </c>
      <c r="L218">
        <v>1</v>
      </c>
      <c r="M218">
        <v>1</v>
      </c>
      <c r="N218" t="s">
        <v>70</v>
      </c>
      <c r="O218" t="s">
        <v>39</v>
      </c>
      <c r="P218" t="s">
        <v>71</v>
      </c>
      <c r="Q218" t="s">
        <v>72</v>
      </c>
      <c r="R218" t="s">
        <v>58</v>
      </c>
      <c r="S218" t="s">
        <v>59</v>
      </c>
      <c r="T218" t="s">
        <v>73</v>
      </c>
      <c r="U218">
        <v>2</v>
      </c>
      <c r="V218" t="s">
        <v>94</v>
      </c>
      <c r="W218" t="s">
        <v>81</v>
      </c>
      <c r="X218" t="s">
        <v>166</v>
      </c>
      <c r="Y218">
        <v>1</v>
      </c>
      <c r="Z218">
        <v>4</v>
      </c>
      <c r="AA218">
        <v>44.1</v>
      </c>
      <c r="AB218">
        <v>6.0999999999999999E-2</v>
      </c>
      <c r="AC218" t="s">
        <v>94</v>
      </c>
      <c r="AD218">
        <v>2</v>
      </c>
      <c r="AE218">
        <v>5</v>
      </c>
      <c r="AF218">
        <v>0</v>
      </c>
      <c r="AG218">
        <v>1.4890000000000001</v>
      </c>
      <c r="AH218">
        <v>0.71699999999999997</v>
      </c>
      <c r="AI218">
        <v>6.8000000000000005E-2</v>
      </c>
    </row>
    <row r="219" spans="1:35" x14ac:dyDescent="0.25">
      <c r="A219">
        <v>259</v>
      </c>
      <c r="B219" t="s">
        <v>35</v>
      </c>
      <c r="C219">
        <v>3</v>
      </c>
      <c r="D219" t="s">
        <v>36</v>
      </c>
      <c r="E219">
        <v>2</v>
      </c>
      <c r="F219" t="s">
        <v>259</v>
      </c>
      <c r="G219">
        <v>2</v>
      </c>
      <c r="H219">
        <v>6</v>
      </c>
      <c r="I219">
        <v>1</v>
      </c>
      <c r="J219">
        <v>2</v>
      </c>
      <c r="K219">
        <v>9</v>
      </c>
      <c r="L219">
        <v>3</v>
      </c>
      <c r="M219">
        <v>1</v>
      </c>
      <c r="N219" t="s">
        <v>88</v>
      </c>
      <c r="O219" t="s">
        <v>39</v>
      </c>
      <c r="P219" t="s">
        <v>89</v>
      </c>
      <c r="Q219" t="s">
        <v>90</v>
      </c>
      <c r="R219" t="s">
        <v>91</v>
      </c>
      <c r="S219" t="s">
        <v>92</v>
      </c>
      <c r="T219" t="s">
        <v>93</v>
      </c>
      <c r="U219">
        <v>5</v>
      </c>
      <c r="V219" t="s">
        <v>102</v>
      </c>
      <c r="W219" t="s">
        <v>107</v>
      </c>
      <c r="X219" t="s">
        <v>96</v>
      </c>
      <c r="Y219">
        <v>1</v>
      </c>
      <c r="Z219">
        <v>4</v>
      </c>
      <c r="AA219">
        <v>44.1</v>
      </c>
      <c r="AB219">
        <v>7.8E-2</v>
      </c>
      <c r="AC219" t="s">
        <v>107</v>
      </c>
      <c r="AD219">
        <v>4</v>
      </c>
      <c r="AE219">
        <v>4</v>
      </c>
      <c r="AF219">
        <v>0</v>
      </c>
      <c r="AG219">
        <v>1.44</v>
      </c>
      <c r="AH219">
        <v>0.78400000000000003</v>
      </c>
      <c r="AI219">
        <v>7.0999999999999994E-2</v>
      </c>
    </row>
    <row r="220" spans="1:35" x14ac:dyDescent="0.25">
      <c r="A220">
        <v>259</v>
      </c>
      <c r="B220" t="s">
        <v>35</v>
      </c>
      <c r="C220">
        <v>3</v>
      </c>
      <c r="D220" t="s">
        <v>36</v>
      </c>
      <c r="E220">
        <v>2</v>
      </c>
      <c r="F220" t="s">
        <v>259</v>
      </c>
      <c r="G220">
        <v>2</v>
      </c>
      <c r="H220">
        <v>6</v>
      </c>
      <c r="I220">
        <v>1</v>
      </c>
      <c r="J220">
        <v>3</v>
      </c>
      <c r="K220">
        <v>23</v>
      </c>
      <c r="L220">
        <v>9</v>
      </c>
      <c r="M220">
        <v>1</v>
      </c>
      <c r="N220" t="s">
        <v>212</v>
      </c>
      <c r="O220" t="s">
        <v>39</v>
      </c>
      <c r="P220" t="s">
        <v>202</v>
      </c>
      <c r="Q220" t="s">
        <v>203</v>
      </c>
      <c r="R220" t="s">
        <v>58</v>
      </c>
      <c r="S220" t="s">
        <v>59</v>
      </c>
      <c r="T220" t="s">
        <v>147</v>
      </c>
      <c r="U220">
        <v>2</v>
      </c>
      <c r="V220" t="s">
        <v>156</v>
      </c>
      <c r="W220" t="s">
        <v>74</v>
      </c>
      <c r="X220" t="s">
        <v>75</v>
      </c>
      <c r="Y220">
        <v>2</v>
      </c>
      <c r="Z220">
        <v>4</v>
      </c>
      <c r="AA220">
        <v>44.1</v>
      </c>
      <c r="AB220">
        <v>1.109</v>
      </c>
      <c r="AC220" t="s">
        <v>147</v>
      </c>
      <c r="AD220">
        <v>1</v>
      </c>
      <c r="AE220">
        <v>2</v>
      </c>
      <c r="AF220">
        <v>1</v>
      </c>
      <c r="AG220">
        <v>2.585</v>
      </c>
      <c r="AH220">
        <v>0.36699999999999999</v>
      </c>
      <c r="AI220">
        <v>1.1060000000000001</v>
      </c>
    </row>
    <row r="221" spans="1:35" x14ac:dyDescent="0.25">
      <c r="A221">
        <v>259</v>
      </c>
      <c r="B221" t="s">
        <v>35</v>
      </c>
      <c r="C221">
        <v>3</v>
      </c>
      <c r="D221" t="s">
        <v>36</v>
      </c>
      <c r="E221">
        <v>2</v>
      </c>
      <c r="F221" t="s">
        <v>259</v>
      </c>
      <c r="G221">
        <v>2</v>
      </c>
      <c r="H221">
        <v>6</v>
      </c>
      <c r="I221">
        <v>1</v>
      </c>
      <c r="J221">
        <v>4</v>
      </c>
      <c r="K221">
        <v>14</v>
      </c>
      <c r="L221">
        <v>12</v>
      </c>
      <c r="M221">
        <v>1</v>
      </c>
      <c r="N221" t="s">
        <v>206</v>
      </c>
      <c r="O221" t="s">
        <v>39</v>
      </c>
      <c r="P221" t="s">
        <v>207</v>
      </c>
      <c r="Q221" t="s">
        <v>208</v>
      </c>
      <c r="R221" t="s">
        <v>42</v>
      </c>
      <c r="S221" t="s">
        <v>43</v>
      </c>
      <c r="T221" t="s">
        <v>131</v>
      </c>
      <c r="U221">
        <v>2</v>
      </c>
      <c r="V221" t="s">
        <v>106</v>
      </c>
      <c r="W221" t="s">
        <v>211</v>
      </c>
      <c r="X221" t="s">
        <v>124</v>
      </c>
      <c r="Y221">
        <v>1</v>
      </c>
      <c r="Z221">
        <v>4</v>
      </c>
      <c r="AA221">
        <v>44.1</v>
      </c>
      <c r="AB221">
        <v>0.84899999999999998</v>
      </c>
      <c r="AC221" t="s">
        <v>106</v>
      </c>
      <c r="AD221">
        <v>2</v>
      </c>
      <c r="AE221">
        <v>4</v>
      </c>
      <c r="AF221">
        <v>0</v>
      </c>
      <c r="AG221">
        <v>1.1990000000000001</v>
      </c>
      <c r="AH221">
        <v>0.28299999999999997</v>
      </c>
      <c r="AI221">
        <v>0.84699999999999998</v>
      </c>
    </row>
    <row r="222" spans="1:35" x14ac:dyDescent="0.25">
      <c r="A222">
        <v>259</v>
      </c>
      <c r="B222" t="s">
        <v>35</v>
      </c>
      <c r="C222">
        <v>3</v>
      </c>
      <c r="D222" t="s">
        <v>36</v>
      </c>
      <c r="E222">
        <v>2</v>
      </c>
      <c r="F222" t="s">
        <v>259</v>
      </c>
      <c r="G222">
        <v>2</v>
      </c>
      <c r="H222">
        <v>6</v>
      </c>
      <c r="I222">
        <v>1</v>
      </c>
      <c r="J222">
        <v>5</v>
      </c>
      <c r="K222">
        <v>12</v>
      </c>
      <c r="L222">
        <v>44</v>
      </c>
      <c r="M222">
        <v>2</v>
      </c>
      <c r="N222" t="s">
        <v>76</v>
      </c>
      <c r="O222" t="s">
        <v>39</v>
      </c>
      <c r="P222" t="s">
        <v>77</v>
      </c>
      <c r="Q222" t="s">
        <v>78</v>
      </c>
      <c r="R222" t="s">
        <v>51</v>
      </c>
      <c r="S222" t="s">
        <v>52</v>
      </c>
      <c r="T222" t="s">
        <v>79</v>
      </c>
      <c r="U222">
        <v>1</v>
      </c>
      <c r="V222" t="s">
        <v>149</v>
      </c>
      <c r="W222" t="s">
        <v>121</v>
      </c>
      <c r="X222" t="s">
        <v>111</v>
      </c>
      <c r="Y222">
        <v>2</v>
      </c>
      <c r="Z222">
        <v>4</v>
      </c>
      <c r="AA222">
        <v>44.1</v>
      </c>
      <c r="AB222">
        <v>0.46300000000000002</v>
      </c>
      <c r="AC222" t="s">
        <v>111</v>
      </c>
      <c r="AD222">
        <v>4</v>
      </c>
      <c r="AE222">
        <v>2</v>
      </c>
      <c r="AF222">
        <v>0</v>
      </c>
      <c r="AG222">
        <v>2.1419999999999999</v>
      </c>
      <c r="AH222">
        <v>0.65</v>
      </c>
      <c r="AI222">
        <v>0.45500000000000002</v>
      </c>
    </row>
    <row r="223" spans="1:35" x14ac:dyDescent="0.25">
      <c r="A223">
        <v>259</v>
      </c>
      <c r="B223" t="s">
        <v>35</v>
      </c>
      <c r="C223">
        <v>3</v>
      </c>
      <c r="D223" t="s">
        <v>36</v>
      </c>
      <c r="E223">
        <v>2</v>
      </c>
      <c r="F223" t="s">
        <v>259</v>
      </c>
      <c r="G223">
        <v>2</v>
      </c>
      <c r="H223">
        <v>6</v>
      </c>
      <c r="I223">
        <v>1</v>
      </c>
      <c r="J223">
        <v>6</v>
      </c>
      <c r="K223">
        <v>17</v>
      </c>
      <c r="L223">
        <v>41</v>
      </c>
      <c r="M223">
        <v>2</v>
      </c>
      <c r="N223" t="s">
        <v>198</v>
      </c>
      <c r="O223" t="s">
        <v>39</v>
      </c>
      <c r="P223" t="s">
        <v>199</v>
      </c>
      <c r="Q223" t="s">
        <v>200</v>
      </c>
      <c r="R223" t="s">
        <v>58</v>
      </c>
      <c r="S223" t="s">
        <v>59</v>
      </c>
      <c r="T223" t="s">
        <v>138</v>
      </c>
      <c r="U223">
        <v>1</v>
      </c>
      <c r="V223" t="s">
        <v>98</v>
      </c>
      <c r="W223" t="s">
        <v>132</v>
      </c>
      <c r="X223" t="s">
        <v>104</v>
      </c>
      <c r="Y223">
        <v>1</v>
      </c>
      <c r="Z223">
        <v>4</v>
      </c>
      <c r="AA223">
        <v>44.1</v>
      </c>
      <c r="AB223">
        <v>1.1919999999999999</v>
      </c>
      <c r="AC223" t="s">
        <v>98</v>
      </c>
      <c r="AD223">
        <v>2</v>
      </c>
      <c r="AE223">
        <v>5</v>
      </c>
      <c r="AF223">
        <v>0</v>
      </c>
      <c r="AG223">
        <v>1.5580000000000001</v>
      </c>
      <c r="AH223">
        <v>0.66700000000000004</v>
      </c>
      <c r="AI223">
        <v>1.1910000000000001</v>
      </c>
    </row>
    <row r="224" spans="1:35" x14ac:dyDescent="0.25">
      <c r="A224">
        <v>259</v>
      </c>
      <c r="B224" t="s">
        <v>35</v>
      </c>
      <c r="C224">
        <v>3</v>
      </c>
      <c r="D224" t="s">
        <v>36</v>
      </c>
      <c r="E224">
        <v>2</v>
      </c>
      <c r="F224" t="s">
        <v>259</v>
      </c>
      <c r="G224">
        <v>2</v>
      </c>
      <c r="H224">
        <v>6</v>
      </c>
      <c r="I224">
        <v>1</v>
      </c>
      <c r="J224">
        <v>7</v>
      </c>
      <c r="K224">
        <v>21</v>
      </c>
      <c r="L224">
        <v>45</v>
      </c>
      <c r="M224">
        <v>2</v>
      </c>
      <c r="N224" t="s">
        <v>210</v>
      </c>
      <c r="O224" t="s">
        <v>39</v>
      </c>
      <c r="P224" t="s">
        <v>190</v>
      </c>
      <c r="Q224" t="s">
        <v>191</v>
      </c>
      <c r="R224" t="s">
        <v>51</v>
      </c>
      <c r="S224" t="s">
        <v>52</v>
      </c>
      <c r="T224" t="s">
        <v>149</v>
      </c>
      <c r="U224">
        <v>1</v>
      </c>
      <c r="V224" t="s">
        <v>45</v>
      </c>
      <c r="W224" t="s">
        <v>130</v>
      </c>
      <c r="X224" t="s">
        <v>183</v>
      </c>
      <c r="Y224">
        <v>1</v>
      </c>
      <c r="Z224">
        <v>4</v>
      </c>
      <c r="AA224">
        <v>44.1</v>
      </c>
      <c r="AB224">
        <v>1.25</v>
      </c>
      <c r="AC224" t="s">
        <v>45</v>
      </c>
      <c r="AD224">
        <v>2</v>
      </c>
      <c r="AE224">
        <v>2</v>
      </c>
      <c r="AF224">
        <v>0</v>
      </c>
      <c r="AG224">
        <v>2.2719999999999998</v>
      </c>
      <c r="AH224">
        <v>0.26700000000000002</v>
      </c>
      <c r="AI224">
        <v>1.2430000000000001</v>
      </c>
    </row>
    <row r="225" spans="1:35" x14ac:dyDescent="0.25">
      <c r="A225">
        <v>259</v>
      </c>
      <c r="B225" t="s">
        <v>35</v>
      </c>
      <c r="C225">
        <v>3</v>
      </c>
      <c r="D225" t="s">
        <v>36</v>
      </c>
      <c r="E225">
        <v>2</v>
      </c>
      <c r="F225" t="s">
        <v>259</v>
      </c>
      <c r="G225">
        <v>2</v>
      </c>
      <c r="H225">
        <v>6</v>
      </c>
      <c r="I225">
        <v>1</v>
      </c>
      <c r="J225">
        <v>8</v>
      </c>
      <c r="K225">
        <v>8</v>
      </c>
      <c r="L225">
        <v>40</v>
      </c>
      <c r="M225">
        <v>2</v>
      </c>
      <c r="N225" t="s">
        <v>84</v>
      </c>
      <c r="O225" t="s">
        <v>39</v>
      </c>
      <c r="P225" t="s">
        <v>64</v>
      </c>
      <c r="Q225" t="s">
        <v>65</v>
      </c>
      <c r="R225" t="s">
        <v>42</v>
      </c>
      <c r="S225" t="s">
        <v>43</v>
      </c>
      <c r="T225" t="s">
        <v>67</v>
      </c>
      <c r="U225">
        <v>2</v>
      </c>
      <c r="V225" t="s">
        <v>66</v>
      </c>
      <c r="W225" t="s">
        <v>99</v>
      </c>
      <c r="X225" t="s">
        <v>137</v>
      </c>
      <c r="Y225">
        <v>1</v>
      </c>
      <c r="Z225">
        <v>4</v>
      </c>
      <c r="AA225">
        <v>44.1</v>
      </c>
      <c r="AB225">
        <v>7.1999999999999995E-2</v>
      </c>
      <c r="AC225" t="s">
        <v>67</v>
      </c>
      <c r="AD225">
        <v>1</v>
      </c>
      <c r="AE225">
        <v>2</v>
      </c>
      <c r="AF225">
        <v>1</v>
      </c>
      <c r="AG225">
        <v>1.772</v>
      </c>
      <c r="AH225">
        <v>0.3</v>
      </c>
      <c r="AI225">
        <v>6.5000000000000002E-2</v>
      </c>
    </row>
    <row r="226" spans="1:35" x14ac:dyDescent="0.25">
      <c r="A226">
        <v>259</v>
      </c>
      <c r="B226" t="s">
        <v>35</v>
      </c>
      <c r="C226">
        <v>3</v>
      </c>
      <c r="D226" t="s">
        <v>36</v>
      </c>
      <c r="E226">
        <v>2</v>
      </c>
      <c r="F226" t="s">
        <v>259</v>
      </c>
      <c r="G226">
        <v>2</v>
      </c>
      <c r="H226">
        <v>6</v>
      </c>
      <c r="I226">
        <v>1</v>
      </c>
      <c r="J226">
        <v>9</v>
      </c>
      <c r="K226">
        <v>20</v>
      </c>
      <c r="L226">
        <v>6</v>
      </c>
      <c r="M226">
        <v>1</v>
      </c>
      <c r="N226" t="s">
        <v>215</v>
      </c>
      <c r="O226" t="s">
        <v>39</v>
      </c>
      <c r="P226" t="s">
        <v>193</v>
      </c>
      <c r="Q226" t="s">
        <v>194</v>
      </c>
      <c r="R226" t="s">
        <v>42</v>
      </c>
      <c r="S226" t="s">
        <v>43</v>
      </c>
      <c r="T226" t="s">
        <v>185</v>
      </c>
      <c r="U226">
        <v>5</v>
      </c>
      <c r="V226" t="s">
        <v>131</v>
      </c>
      <c r="W226" t="s">
        <v>141</v>
      </c>
      <c r="X226" t="s">
        <v>128</v>
      </c>
      <c r="Y226">
        <v>2</v>
      </c>
      <c r="Z226">
        <v>4</v>
      </c>
      <c r="AA226">
        <v>44.1</v>
      </c>
      <c r="AB226">
        <v>8.1000000000000003E-2</v>
      </c>
      <c r="AC226" t="s">
        <v>141</v>
      </c>
      <c r="AD226">
        <v>4</v>
      </c>
      <c r="AE226">
        <v>1</v>
      </c>
      <c r="AF226">
        <v>0</v>
      </c>
      <c r="AG226">
        <v>2.649</v>
      </c>
      <c r="AH226">
        <v>0.55000000000000004</v>
      </c>
      <c r="AI226">
        <v>7.2999999999999995E-2</v>
      </c>
    </row>
    <row r="227" spans="1:35" x14ac:dyDescent="0.25">
      <c r="A227">
        <v>259</v>
      </c>
      <c r="B227" t="s">
        <v>35</v>
      </c>
      <c r="C227">
        <v>3</v>
      </c>
      <c r="D227" t="s">
        <v>36</v>
      </c>
      <c r="E227">
        <v>2</v>
      </c>
      <c r="F227" t="s">
        <v>259</v>
      </c>
      <c r="G227">
        <v>2</v>
      </c>
      <c r="H227">
        <v>6</v>
      </c>
      <c r="I227">
        <v>1</v>
      </c>
      <c r="J227">
        <v>10</v>
      </c>
      <c r="K227">
        <v>24</v>
      </c>
      <c r="L227">
        <v>10</v>
      </c>
      <c r="M227">
        <v>1</v>
      </c>
      <c r="N227" t="s">
        <v>201</v>
      </c>
      <c r="O227" t="s">
        <v>39</v>
      </c>
      <c r="P227" t="s">
        <v>202</v>
      </c>
      <c r="Q227" t="s">
        <v>203</v>
      </c>
      <c r="R227" t="s">
        <v>51</v>
      </c>
      <c r="S227" t="s">
        <v>52</v>
      </c>
      <c r="T227" t="s">
        <v>172</v>
      </c>
      <c r="U227">
        <v>1</v>
      </c>
      <c r="V227" t="s">
        <v>147</v>
      </c>
      <c r="W227" t="s">
        <v>110</v>
      </c>
      <c r="X227" t="s">
        <v>100</v>
      </c>
      <c r="Y227">
        <v>1</v>
      </c>
      <c r="Z227">
        <v>4</v>
      </c>
      <c r="AA227">
        <v>44.1</v>
      </c>
      <c r="AB227">
        <v>1.0309999999999999</v>
      </c>
      <c r="AC227" t="s">
        <v>172</v>
      </c>
      <c r="AD227">
        <v>1</v>
      </c>
      <c r="AE227">
        <v>1</v>
      </c>
      <c r="AF227">
        <v>1</v>
      </c>
      <c r="AG227">
        <v>0.80300000000000005</v>
      </c>
      <c r="AH227">
        <v>0.3</v>
      </c>
      <c r="AI227">
        <v>1.028</v>
      </c>
    </row>
    <row r="228" spans="1:35" x14ac:dyDescent="0.25">
      <c r="A228">
        <v>259</v>
      </c>
      <c r="B228" t="s">
        <v>35</v>
      </c>
      <c r="C228">
        <v>3</v>
      </c>
      <c r="D228" t="s">
        <v>36</v>
      </c>
      <c r="E228">
        <v>2</v>
      </c>
      <c r="F228" t="s">
        <v>259</v>
      </c>
      <c r="G228">
        <v>2</v>
      </c>
      <c r="H228">
        <v>6</v>
      </c>
      <c r="I228">
        <v>1</v>
      </c>
      <c r="J228">
        <v>11</v>
      </c>
      <c r="K228">
        <v>6</v>
      </c>
      <c r="L228">
        <v>38</v>
      </c>
      <c r="M228">
        <v>2</v>
      </c>
      <c r="N228" t="s">
        <v>48</v>
      </c>
      <c r="O228" t="s">
        <v>39</v>
      </c>
      <c r="P228" t="s">
        <v>49</v>
      </c>
      <c r="Q228" t="s">
        <v>50</v>
      </c>
      <c r="R228" t="s">
        <v>51</v>
      </c>
      <c r="S228" t="s">
        <v>52</v>
      </c>
      <c r="T228" t="s">
        <v>53</v>
      </c>
      <c r="U228">
        <v>5</v>
      </c>
      <c r="V228" t="s">
        <v>172</v>
      </c>
      <c r="W228" t="s">
        <v>127</v>
      </c>
      <c r="X228" t="s">
        <v>146</v>
      </c>
      <c r="Y228">
        <v>2</v>
      </c>
      <c r="Z228">
        <v>4</v>
      </c>
      <c r="AA228">
        <v>44.1</v>
      </c>
      <c r="AB228">
        <v>5.1999999999999998E-2</v>
      </c>
      <c r="AC228" t="s">
        <v>53</v>
      </c>
      <c r="AD228">
        <v>1</v>
      </c>
      <c r="AE228">
        <v>5</v>
      </c>
      <c r="AF228">
        <v>1</v>
      </c>
      <c r="AG228">
        <v>1.284</v>
      </c>
      <c r="AH228">
        <v>0.28299999999999997</v>
      </c>
      <c r="AI228">
        <v>4.1000000000000002E-2</v>
      </c>
    </row>
    <row r="229" spans="1:35" x14ac:dyDescent="0.25">
      <c r="A229">
        <v>259</v>
      </c>
      <c r="B229" t="s">
        <v>35</v>
      </c>
      <c r="C229">
        <v>3</v>
      </c>
      <c r="D229" t="s">
        <v>36</v>
      </c>
      <c r="E229">
        <v>2</v>
      </c>
      <c r="F229" t="s">
        <v>259</v>
      </c>
      <c r="G229">
        <v>2</v>
      </c>
      <c r="H229">
        <v>6</v>
      </c>
      <c r="I229">
        <v>1</v>
      </c>
      <c r="J229">
        <v>12</v>
      </c>
      <c r="K229">
        <v>4</v>
      </c>
      <c r="L229">
        <v>2</v>
      </c>
      <c r="M229">
        <v>1</v>
      </c>
      <c r="N229" t="s">
        <v>109</v>
      </c>
      <c r="O229" t="s">
        <v>39</v>
      </c>
      <c r="P229" t="s">
        <v>71</v>
      </c>
      <c r="Q229" t="s">
        <v>72</v>
      </c>
      <c r="R229" t="s">
        <v>91</v>
      </c>
      <c r="S229" t="s">
        <v>92</v>
      </c>
      <c r="T229" t="s">
        <v>94</v>
      </c>
      <c r="U229">
        <v>4</v>
      </c>
      <c r="V229" t="s">
        <v>54</v>
      </c>
      <c r="W229" t="s">
        <v>61</v>
      </c>
      <c r="X229" t="s">
        <v>161</v>
      </c>
      <c r="Y229">
        <v>2</v>
      </c>
      <c r="Z229">
        <v>4</v>
      </c>
      <c r="AA229">
        <v>44.1</v>
      </c>
      <c r="AB229">
        <v>5.2999999999999999E-2</v>
      </c>
      <c r="AC229" t="s">
        <v>61</v>
      </c>
      <c r="AD229">
        <v>4</v>
      </c>
      <c r="AE229">
        <v>1</v>
      </c>
      <c r="AF229">
        <v>0</v>
      </c>
      <c r="AG229">
        <v>1.7949999999999999</v>
      </c>
      <c r="AH229">
        <v>0.58399999999999996</v>
      </c>
      <c r="AI229">
        <v>5.1999999999999998E-2</v>
      </c>
    </row>
    <row r="230" spans="1:35" x14ac:dyDescent="0.25">
      <c r="A230">
        <v>259</v>
      </c>
      <c r="B230" t="s">
        <v>35</v>
      </c>
      <c r="C230">
        <v>3</v>
      </c>
      <c r="D230" t="s">
        <v>36</v>
      </c>
      <c r="E230">
        <v>2</v>
      </c>
      <c r="F230" t="s">
        <v>259</v>
      </c>
      <c r="G230">
        <v>2</v>
      </c>
      <c r="H230">
        <v>6</v>
      </c>
      <c r="I230">
        <v>1</v>
      </c>
      <c r="J230">
        <v>13</v>
      </c>
      <c r="K230">
        <v>16</v>
      </c>
      <c r="L230">
        <v>8</v>
      </c>
      <c r="M230">
        <v>1</v>
      </c>
      <c r="N230" t="s">
        <v>195</v>
      </c>
      <c r="O230" t="s">
        <v>39</v>
      </c>
      <c r="P230" t="s">
        <v>196</v>
      </c>
      <c r="Q230" t="s">
        <v>197</v>
      </c>
      <c r="R230" t="s">
        <v>42</v>
      </c>
      <c r="S230" t="s">
        <v>43</v>
      </c>
      <c r="T230" t="s">
        <v>85</v>
      </c>
      <c r="U230">
        <v>4</v>
      </c>
      <c r="V230" t="s">
        <v>44</v>
      </c>
      <c r="W230" t="s">
        <v>139</v>
      </c>
      <c r="X230" t="s">
        <v>56</v>
      </c>
      <c r="Y230">
        <v>2</v>
      </c>
      <c r="Z230">
        <v>4</v>
      </c>
      <c r="AA230">
        <v>44.1</v>
      </c>
      <c r="AB230">
        <v>7.9000000000000001E-2</v>
      </c>
      <c r="AC230" t="s">
        <v>139</v>
      </c>
      <c r="AD230">
        <v>4</v>
      </c>
      <c r="AE230">
        <v>2</v>
      </c>
      <c r="AF230">
        <v>0</v>
      </c>
      <c r="AG230">
        <v>1.9530000000000001</v>
      </c>
      <c r="AH230">
        <v>0.33300000000000002</v>
      </c>
      <c r="AI230">
        <v>8.5999999999999993E-2</v>
      </c>
    </row>
    <row r="231" spans="1:35" x14ac:dyDescent="0.25">
      <c r="A231">
        <v>259</v>
      </c>
      <c r="B231" t="s">
        <v>35</v>
      </c>
      <c r="C231">
        <v>3</v>
      </c>
      <c r="D231" t="s">
        <v>36</v>
      </c>
      <c r="E231">
        <v>2</v>
      </c>
      <c r="F231" t="s">
        <v>259</v>
      </c>
      <c r="G231">
        <v>2</v>
      </c>
      <c r="H231">
        <v>6</v>
      </c>
      <c r="I231">
        <v>1</v>
      </c>
      <c r="J231">
        <v>14</v>
      </c>
      <c r="K231">
        <v>1</v>
      </c>
      <c r="L231">
        <v>47</v>
      </c>
      <c r="M231">
        <v>2</v>
      </c>
      <c r="N231" t="s">
        <v>57</v>
      </c>
      <c r="O231" t="s">
        <v>39</v>
      </c>
      <c r="P231" t="s">
        <v>40</v>
      </c>
      <c r="Q231" t="s">
        <v>41</v>
      </c>
      <c r="R231" t="s">
        <v>58</v>
      </c>
      <c r="S231" t="s">
        <v>59</v>
      </c>
      <c r="T231" t="s">
        <v>60</v>
      </c>
      <c r="U231">
        <v>5</v>
      </c>
      <c r="V231" t="s">
        <v>138</v>
      </c>
      <c r="W231" t="s">
        <v>55</v>
      </c>
      <c r="X231" t="s">
        <v>69</v>
      </c>
      <c r="Y231">
        <v>2</v>
      </c>
      <c r="Z231">
        <v>4</v>
      </c>
      <c r="AA231">
        <v>44.1</v>
      </c>
      <c r="AB231">
        <v>5.0999999999999997E-2</v>
      </c>
      <c r="AC231" t="s">
        <v>60</v>
      </c>
      <c r="AD231">
        <v>1</v>
      </c>
      <c r="AE231">
        <v>5</v>
      </c>
      <c r="AF231">
        <v>1</v>
      </c>
      <c r="AG231">
        <v>2.3260000000000001</v>
      </c>
      <c r="AH231">
        <v>0.38400000000000001</v>
      </c>
      <c r="AI231">
        <v>4.8000000000000001E-2</v>
      </c>
    </row>
    <row r="232" spans="1:35" x14ac:dyDescent="0.25">
      <c r="A232">
        <v>259</v>
      </c>
      <c r="B232" t="s">
        <v>35</v>
      </c>
      <c r="C232">
        <v>3</v>
      </c>
      <c r="D232" t="s">
        <v>36</v>
      </c>
      <c r="E232">
        <v>2</v>
      </c>
      <c r="F232" t="s">
        <v>259</v>
      </c>
      <c r="G232">
        <v>2</v>
      </c>
      <c r="H232">
        <v>6</v>
      </c>
      <c r="I232">
        <v>1</v>
      </c>
      <c r="J232">
        <v>15</v>
      </c>
      <c r="K232">
        <v>19</v>
      </c>
      <c r="L232">
        <v>5</v>
      </c>
      <c r="M232">
        <v>1</v>
      </c>
      <c r="N232" t="s">
        <v>192</v>
      </c>
      <c r="O232" t="s">
        <v>39</v>
      </c>
      <c r="P232" t="s">
        <v>193</v>
      </c>
      <c r="Q232" t="s">
        <v>194</v>
      </c>
      <c r="R232" t="s">
        <v>51</v>
      </c>
      <c r="S232" t="s">
        <v>52</v>
      </c>
      <c r="T232" t="s">
        <v>144</v>
      </c>
      <c r="U232">
        <v>5</v>
      </c>
      <c r="V232" t="s">
        <v>185</v>
      </c>
      <c r="W232" t="s">
        <v>46</v>
      </c>
      <c r="X232" t="s">
        <v>155</v>
      </c>
      <c r="Y232">
        <v>1</v>
      </c>
      <c r="Z232">
        <v>4</v>
      </c>
      <c r="AA232">
        <v>44.1</v>
      </c>
      <c r="AB232">
        <v>1.1319999999999999</v>
      </c>
      <c r="AC232" t="s">
        <v>185</v>
      </c>
      <c r="AD232">
        <v>2</v>
      </c>
      <c r="AE232">
        <v>4</v>
      </c>
      <c r="AF232">
        <v>0</v>
      </c>
      <c r="AG232">
        <v>1.5249999999999999</v>
      </c>
      <c r="AH232">
        <v>0.55000000000000004</v>
      </c>
      <c r="AI232">
        <v>1.1240000000000001</v>
      </c>
    </row>
    <row r="233" spans="1:35" x14ac:dyDescent="0.25">
      <c r="A233">
        <v>259</v>
      </c>
      <c r="B233" t="s">
        <v>35</v>
      </c>
      <c r="C233">
        <v>3</v>
      </c>
      <c r="D233" t="s">
        <v>36</v>
      </c>
      <c r="E233">
        <v>2</v>
      </c>
      <c r="F233" t="s">
        <v>259</v>
      </c>
      <c r="G233">
        <v>2</v>
      </c>
      <c r="H233">
        <v>6</v>
      </c>
      <c r="I233">
        <v>1</v>
      </c>
      <c r="J233">
        <v>16</v>
      </c>
      <c r="K233">
        <v>5</v>
      </c>
      <c r="L233">
        <v>37</v>
      </c>
      <c r="M233">
        <v>2</v>
      </c>
      <c r="N233" t="s">
        <v>97</v>
      </c>
      <c r="O233" t="s">
        <v>39</v>
      </c>
      <c r="P233" t="s">
        <v>49</v>
      </c>
      <c r="Q233" t="s">
        <v>50</v>
      </c>
      <c r="R233" t="s">
        <v>91</v>
      </c>
      <c r="S233" t="s">
        <v>92</v>
      </c>
      <c r="T233" t="s">
        <v>54</v>
      </c>
      <c r="U233">
        <v>1</v>
      </c>
      <c r="V233" t="s">
        <v>53</v>
      </c>
      <c r="W233" t="s">
        <v>162</v>
      </c>
      <c r="X233" t="s">
        <v>82</v>
      </c>
      <c r="Y233">
        <v>1</v>
      </c>
      <c r="Z233">
        <v>4</v>
      </c>
      <c r="AA233">
        <v>44.1</v>
      </c>
      <c r="AB233">
        <v>1.0309999999999999</v>
      </c>
      <c r="AC233" t="s">
        <v>54</v>
      </c>
      <c r="AD233">
        <v>1</v>
      </c>
      <c r="AE233">
        <v>1</v>
      </c>
      <c r="AF233">
        <v>1</v>
      </c>
      <c r="AG233">
        <v>2.4</v>
      </c>
      <c r="AH233">
        <v>0.26700000000000002</v>
      </c>
      <c r="AI233">
        <v>1.0369999999999999</v>
      </c>
    </row>
    <row r="234" spans="1:35" x14ac:dyDescent="0.25">
      <c r="A234">
        <v>259</v>
      </c>
      <c r="B234" t="s">
        <v>35</v>
      </c>
      <c r="C234">
        <v>3</v>
      </c>
      <c r="D234" t="s">
        <v>36</v>
      </c>
      <c r="E234">
        <v>2</v>
      </c>
      <c r="F234" t="s">
        <v>259</v>
      </c>
      <c r="G234">
        <v>2</v>
      </c>
      <c r="H234">
        <v>6</v>
      </c>
      <c r="I234">
        <v>1</v>
      </c>
      <c r="J234">
        <v>17</v>
      </c>
      <c r="K234">
        <v>7</v>
      </c>
      <c r="L234">
        <v>39</v>
      </c>
      <c r="M234">
        <v>2</v>
      </c>
      <c r="N234" t="s">
        <v>63</v>
      </c>
      <c r="O234" t="s">
        <v>39</v>
      </c>
      <c r="P234" t="s">
        <v>64</v>
      </c>
      <c r="Q234" t="s">
        <v>65</v>
      </c>
      <c r="R234" t="s">
        <v>58</v>
      </c>
      <c r="S234" t="s">
        <v>59</v>
      </c>
      <c r="T234" t="s">
        <v>66</v>
      </c>
      <c r="U234">
        <v>5</v>
      </c>
      <c r="V234" t="s">
        <v>73</v>
      </c>
      <c r="W234" t="s">
        <v>209</v>
      </c>
      <c r="X234" t="s">
        <v>62</v>
      </c>
      <c r="Y234">
        <v>2</v>
      </c>
      <c r="Z234">
        <v>4</v>
      </c>
      <c r="AA234">
        <v>44.1</v>
      </c>
      <c r="AB234">
        <v>5.2999999999999999E-2</v>
      </c>
      <c r="AC234" t="s">
        <v>73</v>
      </c>
      <c r="AD234">
        <v>3</v>
      </c>
      <c r="AE234">
        <v>2</v>
      </c>
      <c r="AF234">
        <v>0</v>
      </c>
      <c r="AG234">
        <v>2.2050000000000001</v>
      </c>
      <c r="AH234">
        <v>0.26700000000000002</v>
      </c>
      <c r="AI234">
        <v>5.3999999999999999E-2</v>
      </c>
    </row>
    <row r="235" spans="1:35" x14ac:dyDescent="0.25">
      <c r="A235">
        <v>259</v>
      </c>
      <c r="B235" t="s">
        <v>35</v>
      </c>
      <c r="C235">
        <v>3</v>
      </c>
      <c r="D235" t="s">
        <v>36</v>
      </c>
      <c r="E235">
        <v>2</v>
      </c>
      <c r="F235" t="s">
        <v>259</v>
      </c>
      <c r="G235">
        <v>2</v>
      </c>
      <c r="H235">
        <v>6</v>
      </c>
      <c r="I235">
        <v>1</v>
      </c>
      <c r="J235">
        <v>18</v>
      </c>
      <c r="K235">
        <v>15</v>
      </c>
      <c r="L235">
        <v>7</v>
      </c>
      <c r="M235">
        <v>1</v>
      </c>
      <c r="N235" t="s">
        <v>205</v>
      </c>
      <c r="O235" t="s">
        <v>39</v>
      </c>
      <c r="P235" t="s">
        <v>196</v>
      </c>
      <c r="Q235" t="s">
        <v>197</v>
      </c>
      <c r="R235" t="s">
        <v>58</v>
      </c>
      <c r="S235" t="s">
        <v>59</v>
      </c>
      <c r="T235" t="s">
        <v>156</v>
      </c>
      <c r="U235">
        <v>2</v>
      </c>
      <c r="V235" t="s">
        <v>85</v>
      </c>
      <c r="W235" t="s">
        <v>187</v>
      </c>
      <c r="X235" t="s">
        <v>214</v>
      </c>
      <c r="Y235">
        <v>1</v>
      </c>
      <c r="Z235">
        <v>4</v>
      </c>
      <c r="AA235">
        <v>44.1</v>
      </c>
      <c r="AB235">
        <v>3.1E-2</v>
      </c>
      <c r="AC235" t="s">
        <v>214</v>
      </c>
      <c r="AD235">
        <v>4</v>
      </c>
      <c r="AE235">
        <v>5</v>
      </c>
      <c r="AF235">
        <v>0</v>
      </c>
      <c r="AG235">
        <v>2.37</v>
      </c>
      <c r="AH235">
        <v>0.751</v>
      </c>
      <c r="AI235">
        <v>2.8000000000000001E-2</v>
      </c>
    </row>
    <row r="236" spans="1:35" x14ac:dyDescent="0.25">
      <c r="A236">
        <v>259</v>
      </c>
      <c r="B236" t="s">
        <v>35</v>
      </c>
      <c r="C236">
        <v>3</v>
      </c>
      <c r="D236" t="s">
        <v>36</v>
      </c>
      <c r="E236">
        <v>2</v>
      </c>
      <c r="F236" t="s">
        <v>259</v>
      </c>
      <c r="G236">
        <v>2</v>
      </c>
      <c r="H236">
        <v>6</v>
      </c>
      <c r="I236">
        <v>1</v>
      </c>
      <c r="J236">
        <v>19</v>
      </c>
      <c r="K236">
        <v>18</v>
      </c>
      <c r="L236">
        <v>42</v>
      </c>
      <c r="M236">
        <v>2</v>
      </c>
      <c r="N236" t="s">
        <v>216</v>
      </c>
      <c r="O236" t="s">
        <v>39</v>
      </c>
      <c r="P236" t="s">
        <v>199</v>
      </c>
      <c r="Q236" t="s">
        <v>200</v>
      </c>
      <c r="R236" t="s">
        <v>91</v>
      </c>
      <c r="S236" t="s">
        <v>92</v>
      </c>
      <c r="T236" t="s">
        <v>98</v>
      </c>
      <c r="U236">
        <v>5</v>
      </c>
      <c r="V236" t="s">
        <v>80</v>
      </c>
      <c r="W236" t="s">
        <v>95</v>
      </c>
      <c r="X236" t="s">
        <v>47</v>
      </c>
      <c r="Y236">
        <v>2</v>
      </c>
      <c r="Z236">
        <v>4</v>
      </c>
      <c r="AA236">
        <v>44.1</v>
      </c>
      <c r="AB236">
        <v>0.94199999999999995</v>
      </c>
      <c r="AC236" t="s">
        <v>80</v>
      </c>
      <c r="AD236">
        <v>3</v>
      </c>
      <c r="AE236">
        <v>1</v>
      </c>
      <c r="AF236">
        <v>0</v>
      </c>
      <c r="AG236">
        <v>2.1859999999999999</v>
      </c>
      <c r="AH236">
        <v>0.26700000000000002</v>
      </c>
      <c r="AI236">
        <v>0.94799999999999995</v>
      </c>
    </row>
    <row r="237" spans="1:35" x14ac:dyDescent="0.25">
      <c r="A237">
        <v>259</v>
      </c>
      <c r="B237" t="s">
        <v>35</v>
      </c>
      <c r="C237">
        <v>3</v>
      </c>
      <c r="D237" t="s">
        <v>36</v>
      </c>
      <c r="E237">
        <v>2</v>
      </c>
      <c r="F237" t="s">
        <v>259</v>
      </c>
      <c r="G237">
        <v>2</v>
      </c>
      <c r="H237">
        <v>6</v>
      </c>
      <c r="I237">
        <v>1</v>
      </c>
      <c r="J237">
        <v>20</v>
      </c>
      <c r="K237">
        <v>11</v>
      </c>
      <c r="L237">
        <v>43</v>
      </c>
      <c r="M237">
        <v>2</v>
      </c>
      <c r="N237" t="s">
        <v>105</v>
      </c>
      <c r="O237" t="s">
        <v>39</v>
      </c>
      <c r="P237" t="s">
        <v>77</v>
      </c>
      <c r="Q237" t="s">
        <v>78</v>
      </c>
      <c r="R237" t="s">
        <v>91</v>
      </c>
      <c r="S237" t="s">
        <v>92</v>
      </c>
      <c r="T237" t="s">
        <v>80</v>
      </c>
      <c r="U237">
        <v>1</v>
      </c>
      <c r="V237" t="s">
        <v>79</v>
      </c>
      <c r="W237" t="s">
        <v>116</v>
      </c>
      <c r="X237" t="s">
        <v>108</v>
      </c>
      <c r="Y237">
        <v>1</v>
      </c>
      <c r="Z237">
        <v>4</v>
      </c>
      <c r="AA237">
        <v>44.1</v>
      </c>
      <c r="AB237">
        <v>2.9000000000000001E-2</v>
      </c>
      <c r="AC237" t="s">
        <v>79</v>
      </c>
      <c r="AD237">
        <v>2</v>
      </c>
      <c r="AE237">
        <v>5</v>
      </c>
      <c r="AF237">
        <v>0</v>
      </c>
      <c r="AG237">
        <v>2.0390000000000001</v>
      </c>
      <c r="AH237">
        <v>0.33400000000000002</v>
      </c>
      <c r="AI237">
        <v>2.1000000000000001E-2</v>
      </c>
    </row>
    <row r="238" spans="1:35" x14ac:dyDescent="0.25">
      <c r="A238">
        <v>259</v>
      </c>
      <c r="B238" t="s">
        <v>35</v>
      </c>
      <c r="C238">
        <v>3</v>
      </c>
      <c r="D238" t="s">
        <v>36</v>
      </c>
      <c r="E238">
        <v>2</v>
      </c>
      <c r="F238" t="s">
        <v>259</v>
      </c>
      <c r="G238">
        <v>2</v>
      </c>
      <c r="H238">
        <v>6</v>
      </c>
      <c r="I238">
        <v>1</v>
      </c>
      <c r="J238">
        <v>21</v>
      </c>
      <c r="K238">
        <v>13</v>
      </c>
      <c r="L238">
        <v>11</v>
      </c>
      <c r="M238">
        <v>1</v>
      </c>
      <c r="N238" t="s">
        <v>213</v>
      </c>
      <c r="O238" t="s">
        <v>39</v>
      </c>
      <c r="P238" t="s">
        <v>207</v>
      </c>
      <c r="Q238" t="s">
        <v>208</v>
      </c>
      <c r="R238" t="s">
        <v>91</v>
      </c>
      <c r="S238" t="s">
        <v>92</v>
      </c>
      <c r="T238" t="s">
        <v>106</v>
      </c>
      <c r="U238">
        <v>2</v>
      </c>
      <c r="V238" t="s">
        <v>93</v>
      </c>
      <c r="W238" t="s">
        <v>103</v>
      </c>
      <c r="X238" t="s">
        <v>87</v>
      </c>
      <c r="Y238">
        <v>2</v>
      </c>
      <c r="Z238">
        <v>4</v>
      </c>
      <c r="AA238">
        <v>44.1</v>
      </c>
      <c r="AB238">
        <v>2.1000000000000001E-2</v>
      </c>
      <c r="AC238" t="s">
        <v>106</v>
      </c>
      <c r="AD238">
        <v>1</v>
      </c>
      <c r="AE238">
        <v>2</v>
      </c>
      <c r="AF238">
        <v>1</v>
      </c>
      <c r="AG238">
        <v>1.5469999999999999</v>
      </c>
      <c r="AH238">
        <v>0.3</v>
      </c>
      <c r="AI238">
        <v>1.7999999999999999E-2</v>
      </c>
    </row>
    <row r="239" spans="1:35" x14ac:dyDescent="0.25">
      <c r="A239">
        <v>259</v>
      </c>
      <c r="B239" t="s">
        <v>35</v>
      </c>
      <c r="C239">
        <v>3</v>
      </c>
      <c r="D239" t="s">
        <v>36</v>
      </c>
      <c r="E239">
        <v>2</v>
      </c>
      <c r="F239" t="s">
        <v>259</v>
      </c>
      <c r="G239">
        <v>2</v>
      </c>
      <c r="H239">
        <v>6</v>
      </c>
      <c r="I239">
        <v>1</v>
      </c>
      <c r="J239">
        <v>22</v>
      </c>
      <c r="K239">
        <v>22</v>
      </c>
      <c r="L239">
        <v>46</v>
      </c>
      <c r="M239">
        <v>2</v>
      </c>
      <c r="N239" t="s">
        <v>189</v>
      </c>
      <c r="O239" t="s">
        <v>39</v>
      </c>
      <c r="P239" t="s">
        <v>190</v>
      </c>
      <c r="Q239" t="s">
        <v>191</v>
      </c>
      <c r="R239" t="s">
        <v>42</v>
      </c>
      <c r="S239" t="s">
        <v>43</v>
      </c>
      <c r="T239" t="s">
        <v>45</v>
      </c>
      <c r="U239">
        <v>4</v>
      </c>
      <c r="V239" t="s">
        <v>67</v>
      </c>
      <c r="W239" t="s">
        <v>119</v>
      </c>
      <c r="X239" t="s">
        <v>204</v>
      </c>
      <c r="Y239">
        <v>2</v>
      </c>
      <c r="Z239">
        <v>4</v>
      </c>
      <c r="AA239">
        <v>44.1</v>
      </c>
      <c r="AB239">
        <v>0.05</v>
      </c>
      <c r="AC239" t="s">
        <v>119</v>
      </c>
      <c r="AD239">
        <v>4</v>
      </c>
      <c r="AE239">
        <v>5</v>
      </c>
      <c r="AF239">
        <v>0</v>
      </c>
      <c r="AG239">
        <v>2.5190000000000001</v>
      </c>
      <c r="AH239">
        <v>0.61699999999999999</v>
      </c>
      <c r="AI239">
        <v>4.4999999999999998E-2</v>
      </c>
    </row>
    <row r="240" spans="1:35" x14ac:dyDescent="0.25">
      <c r="A240">
        <v>259</v>
      </c>
      <c r="B240" t="s">
        <v>35</v>
      </c>
      <c r="C240">
        <v>3</v>
      </c>
      <c r="D240" t="s">
        <v>36</v>
      </c>
      <c r="E240">
        <v>2</v>
      </c>
      <c r="F240" t="s">
        <v>259</v>
      </c>
      <c r="G240">
        <v>2</v>
      </c>
      <c r="H240">
        <v>6</v>
      </c>
      <c r="I240">
        <v>1</v>
      </c>
      <c r="J240">
        <v>23</v>
      </c>
      <c r="K240">
        <v>2</v>
      </c>
      <c r="L240">
        <v>48</v>
      </c>
      <c r="M240">
        <v>2</v>
      </c>
      <c r="N240" t="s">
        <v>38</v>
      </c>
      <c r="O240" t="s">
        <v>39</v>
      </c>
      <c r="P240" t="s">
        <v>40</v>
      </c>
      <c r="Q240" t="s">
        <v>41</v>
      </c>
      <c r="R240" t="s">
        <v>42</v>
      </c>
      <c r="S240" t="s">
        <v>43</v>
      </c>
      <c r="T240" t="s">
        <v>44</v>
      </c>
      <c r="U240">
        <v>5</v>
      </c>
      <c r="V240" t="s">
        <v>60</v>
      </c>
      <c r="W240" t="s">
        <v>86</v>
      </c>
      <c r="X240" t="s">
        <v>120</v>
      </c>
      <c r="Y240">
        <v>1</v>
      </c>
      <c r="Z240">
        <v>4</v>
      </c>
      <c r="AA240">
        <v>44.1</v>
      </c>
      <c r="AB240">
        <v>5.0999999999999997E-2</v>
      </c>
      <c r="AC240" t="s">
        <v>86</v>
      </c>
      <c r="AD240">
        <v>4</v>
      </c>
      <c r="AE240">
        <v>2</v>
      </c>
      <c r="AF240">
        <v>0</v>
      </c>
      <c r="AG240">
        <v>2.4500000000000002</v>
      </c>
      <c r="AH240">
        <v>0.26700000000000002</v>
      </c>
      <c r="AI240">
        <v>4.2000000000000003E-2</v>
      </c>
    </row>
    <row r="241" spans="1:35" x14ac:dyDescent="0.25">
      <c r="A241">
        <v>259</v>
      </c>
      <c r="B241" t="s">
        <v>35</v>
      </c>
      <c r="C241">
        <v>3</v>
      </c>
      <c r="D241" t="s">
        <v>36</v>
      </c>
      <c r="E241">
        <v>2</v>
      </c>
      <c r="F241" t="s">
        <v>259</v>
      </c>
      <c r="G241">
        <v>2</v>
      </c>
      <c r="H241">
        <v>6</v>
      </c>
      <c r="I241">
        <v>1</v>
      </c>
      <c r="J241">
        <v>24</v>
      </c>
      <c r="K241">
        <v>10</v>
      </c>
      <c r="L241">
        <v>4</v>
      </c>
      <c r="M241">
        <v>1</v>
      </c>
      <c r="N241" t="s">
        <v>101</v>
      </c>
      <c r="O241" t="s">
        <v>39</v>
      </c>
      <c r="P241" t="s">
        <v>89</v>
      </c>
      <c r="Q241" t="s">
        <v>90</v>
      </c>
      <c r="R241" t="s">
        <v>51</v>
      </c>
      <c r="S241" t="s">
        <v>52</v>
      </c>
      <c r="T241" t="s">
        <v>102</v>
      </c>
      <c r="U241">
        <v>5</v>
      </c>
      <c r="V241" t="s">
        <v>144</v>
      </c>
      <c r="W241" t="s">
        <v>68</v>
      </c>
      <c r="X241" t="s">
        <v>179</v>
      </c>
      <c r="Y241">
        <v>2</v>
      </c>
      <c r="Z241">
        <v>4</v>
      </c>
      <c r="AA241">
        <v>44.1</v>
      </c>
      <c r="AB241">
        <v>5.0999999999999997E-2</v>
      </c>
      <c r="AC241" t="s">
        <v>68</v>
      </c>
      <c r="AD241">
        <v>4</v>
      </c>
      <c r="AE241">
        <v>2</v>
      </c>
      <c r="AF241">
        <v>0</v>
      </c>
      <c r="AG241">
        <v>2.6720000000000002</v>
      </c>
      <c r="AH241">
        <v>0.8</v>
      </c>
      <c r="AI241">
        <v>4.4999999999999998E-2</v>
      </c>
    </row>
    <row r="242" spans="1:35" x14ac:dyDescent="0.25">
      <c r="A242">
        <v>259</v>
      </c>
      <c r="B242" t="s">
        <v>35</v>
      </c>
      <c r="C242">
        <v>3</v>
      </c>
      <c r="D242" t="s">
        <v>36</v>
      </c>
      <c r="E242">
        <v>2</v>
      </c>
      <c r="F242" t="s">
        <v>259</v>
      </c>
      <c r="G242">
        <v>2</v>
      </c>
      <c r="H242">
        <v>6</v>
      </c>
      <c r="I242">
        <v>1</v>
      </c>
      <c r="J242">
        <v>25</v>
      </c>
      <c r="K242">
        <v>45</v>
      </c>
      <c r="L242">
        <v>69</v>
      </c>
      <c r="M242">
        <v>2</v>
      </c>
      <c r="N242" t="s">
        <v>221</v>
      </c>
      <c r="O242" t="s">
        <v>113</v>
      </c>
      <c r="P242" t="s">
        <v>114</v>
      </c>
      <c r="Q242" t="s">
        <v>222</v>
      </c>
      <c r="R242" t="s">
        <v>114</v>
      </c>
      <c r="S242" t="s">
        <v>52</v>
      </c>
      <c r="T242" t="s">
        <v>69</v>
      </c>
      <c r="U242">
        <v>4</v>
      </c>
      <c r="V242" t="s">
        <v>81</v>
      </c>
      <c r="W242" t="s">
        <v>93</v>
      </c>
      <c r="X242" t="s">
        <v>103</v>
      </c>
      <c r="Y242">
        <v>1</v>
      </c>
      <c r="Z242">
        <v>4</v>
      </c>
      <c r="AA242">
        <v>44.1</v>
      </c>
      <c r="AB242">
        <v>0.05</v>
      </c>
      <c r="AC242" t="s">
        <v>69</v>
      </c>
      <c r="AD242">
        <v>1</v>
      </c>
      <c r="AE242">
        <v>4</v>
      </c>
      <c r="AF242">
        <v>1</v>
      </c>
      <c r="AG242">
        <v>0.73199999999999998</v>
      </c>
      <c r="AH242">
        <v>0.26700000000000002</v>
      </c>
      <c r="AI242">
        <v>4.5999999999999999E-2</v>
      </c>
    </row>
    <row r="243" spans="1:35" x14ac:dyDescent="0.25">
      <c r="A243">
        <v>259</v>
      </c>
      <c r="B243" t="s">
        <v>35</v>
      </c>
      <c r="C243">
        <v>3</v>
      </c>
      <c r="D243" t="s">
        <v>36</v>
      </c>
      <c r="E243">
        <v>2</v>
      </c>
      <c r="F243" t="s">
        <v>259</v>
      </c>
      <c r="G243">
        <v>2</v>
      </c>
      <c r="H243">
        <v>6</v>
      </c>
      <c r="I243">
        <v>1</v>
      </c>
      <c r="J243">
        <v>26</v>
      </c>
      <c r="K243">
        <v>32</v>
      </c>
      <c r="L243">
        <v>64</v>
      </c>
      <c r="M243">
        <v>2</v>
      </c>
      <c r="N243" t="s">
        <v>133</v>
      </c>
      <c r="O243" t="s">
        <v>113</v>
      </c>
      <c r="P243" t="s">
        <v>114</v>
      </c>
      <c r="Q243" t="s">
        <v>134</v>
      </c>
      <c r="R243" t="s">
        <v>114</v>
      </c>
      <c r="S243" t="s">
        <v>43</v>
      </c>
      <c r="T243" t="s">
        <v>100</v>
      </c>
      <c r="U243">
        <v>1</v>
      </c>
      <c r="V243" t="s">
        <v>95</v>
      </c>
      <c r="W243" t="s">
        <v>54</v>
      </c>
      <c r="X243" t="s">
        <v>68</v>
      </c>
      <c r="Y243">
        <v>1</v>
      </c>
      <c r="Z243">
        <v>4</v>
      </c>
      <c r="AA243">
        <v>44.1</v>
      </c>
      <c r="AB243">
        <v>0.84299999999999997</v>
      </c>
      <c r="AC243" t="s">
        <v>100</v>
      </c>
      <c r="AD243">
        <v>1</v>
      </c>
      <c r="AE243">
        <v>1</v>
      </c>
      <c r="AF243">
        <v>1</v>
      </c>
      <c r="AG243">
        <v>0.879</v>
      </c>
      <c r="AH243">
        <v>0.28299999999999997</v>
      </c>
      <c r="AI243">
        <v>0.83699999999999997</v>
      </c>
    </row>
    <row r="244" spans="1:35" x14ac:dyDescent="0.25">
      <c r="A244">
        <v>259</v>
      </c>
      <c r="B244" t="s">
        <v>35</v>
      </c>
      <c r="C244">
        <v>3</v>
      </c>
      <c r="D244" t="s">
        <v>36</v>
      </c>
      <c r="E244">
        <v>2</v>
      </c>
      <c r="F244" t="s">
        <v>259</v>
      </c>
      <c r="G244">
        <v>2</v>
      </c>
      <c r="H244">
        <v>6</v>
      </c>
      <c r="I244">
        <v>1</v>
      </c>
      <c r="J244">
        <v>27</v>
      </c>
      <c r="K244">
        <v>41</v>
      </c>
      <c r="L244">
        <v>65</v>
      </c>
      <c r="M244">
        <v>2</v>
      </c>
      <c r="N244" t="s">
        <v>225</v>
      </c>
      <c r="O244" t="s">
        <v>113</v>
      </c>
      <c r="P244" t="s">
        <v>114</v>
      </c>
      <c r="Q244" t="s">
        <v>226</v>
      </c>
      <c r="R244" t="s">
        <v>114</v>
      </c>
      <c r="S244" t="s">
        <v>59</v>
      </c>
      <c r="T244" t="s">
        <v>87</v>
      </c>
      <c r="U244">
        <v>1</v>
      </c>
      <c r="V244" t="s">
        <v>209</v>
      </c>
      <c r="W244" t="s">
        <v>144</v>
      </c>
      <c r="X244" t="s">
        <v>121</v>
      </c>
      <c r="Y244">
        <v>1</v>
      </c>
      <c r="Z244">
        <v>4</v>
      </c>
      <c r="AA244">
        <v>44.1</v>
      </c>
      <c r="AB244">
        <v>1.0609999999999999</v>
      </c>
      <c r="AC244" t="s">
        <v>121</v>
      </c>
      <c r="AD244">
        <v>4</v>
      </c>
      <c r="AE244">
        <v>5</v>
      </c>
      <c r="AF244">
        <v>0</v>
      </c>
      <c r="AG244">
        <v>2.137</v>
      </c>
      <c r="AH244">
        <v>0.33400000000000002</v>
      </c>
      <c r="AI244">
        <v>1.0589999999999999</v>
      </c>
    </row>
    <row r="245" spans="1:35" x14ac:dyDescent="0.25">
      <c r="A245">
        <v>259</v>
      </c>
      <c r="B245" t="s">
        <v>35</v>
      </c>
      <c r="C245">
        <v>3</v>
      </c>
      <c r="D245" t="s">
        <v>36</v>
      </c>
      <c r="E245">
        <v>2</v>
      </c>
      <c r="F245" t="s">
        <v>259</v>
      </c>
      <c r="G245">
        <v>2</v>
      </c>
      <c r="H245">
        <v>6</v>
      </c>
      <c r="I245">
        <v>1</v>
      </c>
      <c r="J245">
        <v>28</v>
      </c>
      <c r="K245">
        <v>48</v>
      </c>
      <c r="L245">
        <v>34</v>
      </c>
      <c r="M245">
        <v>1</v>
      </c>
      <c r="N245" t="s">
        <v>228</v>
      </c>
      <c r="O245" t="s">
        <v>113</v>
      </c>
      <c r="P245" t="s">
        <v>114</v>
      </c>
      <c r="Q245" t="s">
        <v>224</v>
      </c>
      <c r="R245" t="s">
        <v>114</v>
      </c>
      <c r="S245" t="s">
        <v>52</v>
      </c>
      <c r="T245" t="s">
        <v>61</v>
      </c>
      <c r="U245">
        <v>2</v>
      </c>
      <c r="V245" t="s">
        <v>69</v>
      </c>
      <c r="W245" t="s">
        <v>108</v>
      </c>
      <c r="X245" t="s">
        <v>45</v>
      </c>
      <c r="Y245">
        <v>2</v>
      </c>
      <c r="Z245">
        <v>4</v>
      </c>
      <c r="AA245">
        <v>44.1</v>
      </c>
      <c r="AB245">
        <v>7.1999999999999995E-2</v>
      </c>
      <c r="AC245" t="s">
        <v>61</v>
      </c>
      <c r="AD245">
        <v>1</v>
      </c>
      <c r="AE245">
        <v>2</v>
      </c>
      <c r="AF245">
        <v>1</v>
      </c>
      <c r="AG245">
        <v>2.4289999999999998</v>
      </c>
      <c r="AH245">
        <v>0.25</v>
      </c>
      <c r="AI245">
        <v>7.4999999999999997E-2</v>
      </c>
    </row>
    <row r="246" spans="1:35" x14ac:dyDescent="0.25">
      <c r="A246">
        <v>259</v>
      </c>
      <c r="B246" t="s">
        <v>35</v>
      </c>
      <c r="C246">
        <v>3</v>
      </c>
      <c r="D246" t="s">
        <v>36</v>
      </c>
      <c r="E246">
        <v>2</v>
      </c>
      <c r="F246" t="s">
        <v>259</v>
      </c>
      <c r="G246">
        <v>2</v>
      </c>
      <c r="H246">
        <v>6</v>
      </c>
      <c r="I246">
        <v>1</v>
      </c>
      <c r="J246">
        <v>29</v>
      </c>
      <c r="K246">
        <v>28</v>
      </c>
      <c r="L246">
        <v>26</v>
      </c>
      <c r="M246">
        <v>1</v>
      </c>
      <c r="N246" t="s">
        <v>148</v>
      </c>
      <c r="O246" t="s">
        <v>113</v>
      </c>
      <c r="P246" t="s">
        <v>114</v>
      </c>
      <c r="Q246" t="s">
        <v>123</v>
      </c>
      <c r="R246" t="s">
        <v>114</v>
      </c>
      <c r="S246" t="s">
        <v>92</v>
      </c>
      <c r="T246" t="s">
        <v>130</v>
      </c>
      <c r="U246">
        <v>1</v>
      </c>
      <c r="V246" t="s">
        <v>137</v>
      </c>
      <c r="W246" t="s">
        <v>73</v>
      </c>
      <c r="X246" t="s">
        <v>211</v>
      </c>
      <c r="Y246">
        <v>2</v>
      </c>
      <c r="Z246">
        <v>4</v>
      </c>
      <c r="AA246">
        <v>44.1</v>
      </c>
      <c r="AB246">
        <v>3.9E-2</v>
      </c>
      <c r="AC246" t="s">
        <v>211</v>
      </c>
      <c r="AD246">
        <v>4</v>
      </c>
      <c r="AE246">
        <v>2</v>
      </c>
      <c r="AF246">
        <v>0</v>
      </c>
      <c r="AG246">
        <v>2.1539999999999999</v>
      </c>
      <c r="AH246">
        <v>0.48399999999999999</v>
      </c>
      <c r="AI246">
        <v>3.4000000000000002E-2</v>
      </c>
    </row>
    <row r="247" spans="1:35" x14ac:dyDescent="0.25">
      <c r="A247">
        <v>259</v>
      </c>
      <c r="B247" t="s">
        <v>35</v>
      </c>
      <c r="C247">
        <v>3</v>
      </c>
      <c r="D247" t="s">
        <v>36</v>
      </c>
      <c r="E247">
        <v>2</v>
      </c>
      <c r="F247" t="s">
        <v>259</v>
      </c>
      <c r="G247">
        <v>2</v>
      </c>
      <c r="H247">
        <v>6</v>
      </c>
      <c r="I247">
        <v>1</v>
      </c>
      <c r="J247">
        <v>30</v>
      </c>
      <c r="K247">
        <v>39</v>
      </c>
      <c r="L247">
        <v>31</v>
      </c>
      <c r="M247">
        <v>1</v>
      </c>
      <c r="N247" t="s">
        <v>230</v>
      </c>
      <c r="O247" t="s">
        <v>113</v>
      </c>
      <c r="P247" t="s">
        <v>114</v>
      </c>
      <c r="Q247" t="s">
        <v>231</v>
      </c>
      <c r="R247" t="s">
        <v>114</v>
      </c>
      <c r="S247" t="s">
        <v>59</v>
      </c>
      <c r="T247" t="s">
        <v>162</v>
      </c>
      <c r="U247">
        <v>4</v>
      </c>
      <c r="V247" t="s">
        <v>56</v>
      </c>
      <c r="W247" t="s">
        <v>149</v>
      </c>
      <c r="X247" t="s">
        <v>99</v>
      </c>
      <c r="Y247">
        <v>2</v>
      </c>
      <c r="Z247">
        <v>4</v>
      </c>
      <c r="AA247">
        <v>44.1</v>
      </c>
      <c r="AB247">
        <v>5.2999999999999999E-2</v>
      </c>
      <c r="AC247" t="s">
        <v>149</v>
      </c>
      <c r="AD247">
        <v>4</v>
      </c>
      <c r="AE247">
        <v>1</v>
      </c>
      <c r="AF247">
        <v>0</v>
      </c>
      <c r="AG247">
        <v>2.17</v>
      </c>
      <c r="AH247">
        <v>0.317</v>
      </c>
      <c r="AI247">
        <v>5.7000000000000002E-2</v>
      </c>
    </row>
    <row r="248" spans="1:35" x14ac:dyDescent="0.25">
      <c r="A248">
        <v>259</v>
      </c>
      <c r="B248" t="s">
        <v>35</v>
      </c>
      <c r="C248">
        <v>3</v>
      </c>
      <c r="D248" t="s">
        <v>36</v>
      </c>
      <c r="E248">
        <v>2</v>
      </c>
      <c r="F248" t="s">
        <v>259</v>
      </c>
      <c r="G248">
        <v>2</v>
      </c>
      <c r="H248">
        <v>6</v>
      </c>
      <c r="I248">
        <v>1</v>
      </c>
      <c r="J248">
        <v>31</v>
      </c>
      <c r="K248">
        <v>47</v>
      </c>
      <c r="L248">
        <v>33</v>
      </c>
      <c r="M248">
        <v>1</v>
      </c>
      <c r="N248" t="s">
        <v>223</v>
      </c>
      <c r="O248" t="s">
        <v>113</v>
      </c>
      <c r="P248" t="s">
        <v>114</v>
      </c>
      <c r="Q248" t="s">
        <v>224</v>
      </c>
      <c r="R248" t="s">
        <v>114</v>
      </c>
      <c r="S248" t="s">
        <v>59</v>
      </c>
      <c r="T248" t="s">
        <v>56</v>
      </c>
      <c r="U248">
        <v>4</v>
      </c>
      <c r="V248" t="s">
        <v>61</v>
      </c>
      <c r="W248" t="s">
        <v>82</v>
      </c>
      <c r="X248" t="s">
        <v>185</v>
      </c>
      <c r="Y248">
        <v>1</v>
      </c>
      <c r="Z248">
        <v>4</v>
      </c>
      <c r="AA248">
        <v>44.1</v>
      </c>
      <c r="AB248">
        <v>0.06</v>
      </c>
      <c r="AC248" t="s">
        <v>82</v>
      </c>
      <c r="AD248">
        <v>4</v>
      </c>
      <c r="AE248">
        <v>5</v>
      </c>
      <c r="AF248">
        <v>0</v>
      </c>
      <c r="AG248">
        <v>2.016</v>
      </c>
      <c r="AH248">
        <v>0.3</v>
      </c>
      <c r="AI248">
        <v>5.7000000000000002E-2</v>
      </c>
    </row>
    <row r="249" spans="1:35" x14ac:dyDescent="0.25">
      <c r="A249">
        <v>259</v>
      </c>
      <c r="B249" t="s">
        <v>35</v>
      </c>
      <c r="C249">
        <v>3</v>
      </c>
      <c r="D249" t="s">
        <v>36</v>
      </c>
      <c r="E249">
        <v>2</v>
      </c>
      <c r="F249" t="s">
        <v>259</v>
      </c>
      <c r="G249">
        <v>2</v>
      </c>
      <c r="H249">
        <v>6</v>
      </c>
      <c r="I249">
        <v>1</v>
      </c>
      <c r="J249">
        <v>32</v>
      </c>
      <c r="K249">
        <v>43</v>
      </c>
      <c r="L249">
        <v>29</v>
      </c>
      <c r="M249">
        <v>1</v>
      </c>
      <c r="N249" t="s">
        <v>217</v>
      </c>
      <c r="O249" t="s">
        <v>113</v>
      </c>
      <c r="P249" t="s">
        <v>114</v>
      </c>
      <c r="Q249" t="s">
        <v>218</v>
      </c>
      <c r="R249" t="s">
        <v>114</v>
      </c>
      <c r="S249" t="s">
        <v>52</v>
      </c>
      <c r="T249" t="s">
        <v>214</v>
      </c>
      <c r="U249">
        <v>4</v>
      </c>
      <c r="V249" t="s">
        <v>107</v>
      </c>
      <c r="W249" t="s">
        <v>62</v>
      </c>
      <c r="X249" t="s">
        <v>66</v>
      </c>
      <c r="Y249">
        <v>1</v>
      </c>
      <c r="Z249">
        <v>4</v>
      </c>
      <c r="AA249">
        <v>44.1</v>
      </c>
      <c r="AB249">
        <v>6.0999999999999999E-2</v>
      </c>
      <c r="AC249" t="s">
        <v>66</v>
      </c>
      <c r="AD249">
        <v>4</v>
      </c>
      <c r="AE249">
        <v>2</v>
      </c>
      <c r="AF249">
        <v>0</v>
      </c>
      <c r="AG249">
        <v>2.3330000000000002</v>
      </c>
      <c r="AH249">
        <v>0.3</v>
      </c>
      <c r="AI249">
        <v>5.0999999999999997E-2</v>
      </c>
    </row>
    <row r="250" spans="1:35" x14ac:dyDescent="0.25">
      <c r="A250">
        <v>259</v>
      </c>
      <c r="B250" t="s">
        <v>35</v>
      </c>
      <c r="C250">
        <v>3</v>
      </c>
      <c r="D250" t="s">
        <v>36</v>
      </c>
      <c r="E250">
        <v>2</v>
      </c>
      <c r="F250" t="s">
        <v>259</v>
      </c>
      <c r="G250">
        <v>2</v>
      </c>
      <c r="H250">
        <v>6</v>
      </c>
      <c r="I250">
        <v>1</v>
      </c>
      <c r="J250">
        <v>33</v>
      </c>
      <c r="K250">
        <v>34</v>
      </c>
      <c r="L250">
        <v>28</v>
      </c>
      <c r="M250">
        <v>1</v>
      </c>
      <c r="N250" t="s">
        <v>117</v>
      </c>
      <c r="O250" t="s">
        <v>113</v>
      </c>
      <c r="P250" t="s">
        <v>114</v>
      </c>
      <c r="Q250" t="s">
        <v>118</v>
      </c>
      <c r="R250" t="s">
        <v>114</v>
      </c>
      <c r="S250" t="s">
        <v>52</v>
      </c>
      <c r="T250" t="s">
        <v>119</v>
      </c>
      <c r="U250">
        <v>1</v>
      </c>
      <c r="V250" t="s">
        <v>214</v>
      </c>
      <c r="W250" t="s">
        <v>146</v>
      </c>
      <c r="X250" t="s">
        <v>147</v>
      </c>
      <c r="Y250">
        <v>2</v>
      </c>
      <c r="Z250">
        <v>4</v>
      </c>
      <c r="AA250">
        <v>44.1</v>
      </c>
      <c r="AB250">
        <v>6.0999999999999999E-2</v>
      </c>
      <c r="AC250" t="s">
        <v>146</v>
      </c>
      <c r="AD250">
        <v>4</v>
      </c>
      <c r="AE250">
        <v>2</v>
      </c>
      <c r="AF250">
        <v>0</v>
      </c>
      <c r="AG250">
        <v>3.278</v>
      </c>
      <c r="AH250">
        <v>0.28299999999999997</v>
      </c>
      <c r="AI250">
        <v>7.0000000000000007E-2</v>
      </c>
    </row>
    <row r="251" spans="1:35" x14ac:dyDescent="0.25">
      <c r="A251">
        <v>259</v>
      </c>
      <c r="B251" t="s">
        <v>35</v>
      </c>
      <c r="C251">
        <v>3</v>
      </c>
      <c r="D251" t="s">
        <v>36</v>
      </c>
      <c r="E251">
        <v>2</v>
      </c>
      <c r="F251" t="s">
        <v>259</v>
      </c>
      <c r="G251">
        <v>2</v>
      </c>
      <c r="H251">
        <v>6</v>
      </c>
      <c r="I251">
        <v>1</v>
      </c>
      <c r="J251">
        <v>34</v>
      </c>
      <c r="K251">
        <v>36</v>
      </c>
      <c r="L251">
        <v>68</v>
      </c>
      <c r="M251">
        <v>2</v>
      </c>
      <c r="N251" t="s">
        <v>135</v>
      </c>
      <c r="O251" t="s">
        <v>113</v>
      </c>
      <c r="P251" t="s">
        <v>114</v>
      </c>
      <c r="Q251" t="s">
        <v>136</v>
      </c>
      <c r="R251" t="s">
        <v>114</v>
      </c>
      <c r="S251" t="s">
        <v>52</v>
      </c>
      <c r="T251" t="s">
        <v>74</v>
      </c>
      <c r="U251">
        <v>4</v>
      </c>
      <c r="V251" t="s">
        <v>128</v>
      </c>
      <c r="W251" t="s">
        <v>138</v>
      </c>
      <c r="X251" t="s">
        <v>86</v>
      </c>
      <c r="Y251">
        <v>2</v>
      </c>
      <c r="Z251">
        <v>4</v>
      </c>
      <c r="AA251">
        <v>44.1</v>
      </c>
      <c r="AB251">
        <v>4.2999999999999997E-2</v>
      </c>
      <c r="AC251" t="s">
        <v>138</v>
      </c>
      <c r="AD251">
        <v>4</v>
      </c>
      <c r="AE251">
        <v>1</v>
      </c>
      <c r="AF251">
        <v>0</v>
      </c>
      <c r="AG251">
        <v>2.4809999999999999</v>
      </c>
      <c r="AH251">
        <v>0.3</v>
      </c>
      <c r="AI251">
        <v>3.7999999999999999E-2</v>
      </c>
    </row>
    <row r="252" spans="1:35" x14ac:dyDescent="0.25">
      <c r="A252">
        <v>259</v>
      </c>
      <c r="B252" t="s">
        <v>35</v>
      </c>
      <c r="C252">
        <v>3</v>
      </c>
      <c r="D252" t="s">
        <v>36</v>
      </c>
      <c r="E252">
        <v>2</v>
      </c>
      <c r="F252" t="s">
        <v>259</v>
      </c>
      <c r="G252">
        <v>2</v>
      </c>
      <c r="H252">
        <v>6</v>
      </c>
      <c r="I252">
        <v>1</v>
      </c>
      <c r="J252">
        <v>35</v>
      </c>
      <c r="K252">
        <v>40</v>
      </c>
      <c r="L252">
        <v>32</v>
      </c>
      <c r="M252">
        <v>1</v>
      </c>
      <c r="N252" t="s">
        <v>234</v>
      </c>
      <c r="O252" t="s">
        <v>113</v>
      </c>
      <c r="P252" t="s">
        <v>114</v>
      </c>
      <c r="Q252" t="s">
        <v>231</v>
      </c>
      <c r="R252" t="s">
        <v>114</v>
      </c>
      <c r="S252" t="s">
        <v>43</v>
      </c>
      <c r="T252" t="s">
        <v>111</v>
      </c>
      <c r="U252">
        <v>2</v>
      </c>
      <c r="V252" t="s">
        <v>162</v>
      </c>
      <c r="W252" t="s">
        <v>80</v>
      </c>
      <c r="X252" t="s">
        <v>132</v>
      </c>
      <c r="Y252">
        <v>1</v>
      </c>
      <c r="Z252">
        <v>4</v>
      </c>
      <c r="AA252">
        <v>44.1</v>
      </c>
      <c r="AB252">
        <v>1.2E-2</v>
      </c>
      <c r="AC252" t="s">
        <v>111</v>
      </c>
      <c r="AD252">
        <v>1</v>
      </c>
      <c r="AE252">
        <v>2</v>
      </c>
      <c r="AF252">
        <v>1</v>
      </c>
      <c r="AG252">
        <v>2.052</v>
      </c>
      <c r="AH252">
        <v>0.317</v>
      </c>
      <c r="AI252">
        <v>1.9E-2</v>
      </c>
    </row>
    <row r="253" spans="1:35" x14ac:dyDescent="0.25">
      <c r="A253">
        <v>259</v>
      </c>
      <c r="B253" t="s">
        <v>35</v>
      </c>
      <c r="C253">
        <v>3</v>
      </c>
      <c r="D253" t="s">
        <v>36</v>
      </c>
      <c r="E253">
        <v>2</v>
      </c>
      <c r="F253" t="s">
        <v>259</v>
      </c>
      <c r="G253">
        <v>2</v>
      </c>
      <c r="H253">
        <v>6</v>
      </c>
      <c r="I253">
        <v>1</v>
      </c>
      <c r="J253">
        <v>36</v>
      </c>
      <c r="K253">
        <v>30</v>
      </c>
      <c r="L253">
        <v>62</v>
      </c>
      <c r="M253">
        <v>2</v>
      </c>
      <c r="N253" t="s">
        <v>142</v>
      </c>
      <c r="O253" t="s">
        <v>113</v>
      </c>
      <c r="P253" t="s">
        <v>114</v>
      </c>
      <c r="Q253" t="s">
        <v>126</v>
      </c>
      <c r="R253" t="s">
        <v>114</v>
      </c>
      <c r="S253" t="s">
        <v>52</v>
      </c>
      <c r="T253" t="s">
        <v>128</v>
      </c>
      <c r="U253">
        <v>5</v>
      </c>
      <c r="V253" t="s">
        <v>127</v>
      </c>
      <c r="W253" t="s">
        <v>161</v>
      </c>
      <c r="X253" t="s">
        <v>85</v>
      </c>
      <c r="Y253">
        <v>1</v>
      </c>
      <c r="Z253">
        <v>4</v>
      </c>
      <c r="AA253">
        <v>44.1</v>
      </c>
      <c r="AB253">
        <v>0.05</v>
      </c>
      <c r="AC253" t="s">
        <v>161</v>
      </c>
      <c r="AD253">
        <v>4</v>
      </c>
      <c r="AE253">
        <v>4</v>
      </c>
      <c r="AF253">
        <v>0</v>
      </c>
      <c r="AG253">
        <v>2.6389999999999998</v>
      </c>
      <c r="AH253">
        <v>0.71699999999999997</v>
      </c>
      <c r="AI253">
        <v>4.3999999999999997E-2</v>
      </c>
    </row>
    <row r="254" spans="1:35" x14ac:dyDescent="0.25">
      <c r="A254">
        <v>259</v>
      </c>
      <c r="B254" t="s">
        <v>35</v>
      </c>
      <c r="C254">
        <v>3</v>
      </c>
      <c r="D254" t="s">
        <v>36</v>
      </c>
      <c r="E254">
        <v>2</v>
      </c>
      <c r="F254" t="s">
        <v>259</v>
      </c>
      <c r="G254">
        <v>2</v>
      </c>
      <c r="H254">
        <v>6</v>
      </c>
      <c r="I254">
        <v>1</v>
      </c>
      <c r="J254">
        <v>37</v>
      </c>
      <c r="K254">
        <v>44</v>
      </c>
      <c r="L254">
        <v>30</v>
      </c>
      <c r="M254">
        <v>1</v>
      </c>
      <c r="N254" t="s">
        <v>233</v>
      </c>
      <c r="O254" t="s">
        <v>113</v>
      </c>
      <c r="P254" t="s">
        <v>114</v>
      </c>
      <c r="Q254" t="s">
        <v>218</v>
      </c>
      <c r="R254" t="s">
        <v>114</v>
      </c>
      <c r="S254" t="s">
        <v>43</v>
      </c>
      <c r="T254" t="s">
        <v>107</v>
      </c>
      <c r="U254">
        <v>5</v>
      </c>
      <c r="V254" t="s">
        <v>111</v>
      </c>
      <c r="W254" t="s">
        <v>155</v>
      </c>
      <c r="X254" t="s">
        <v>53</v>
      </c>
      <c r="Y254">
        <v>2</v>
      </c>
      <c r="Z254">
        <v>4</v>
      </c>
      <c r="AA254">
        <v>44.1</v>
      </c>
      <c r="AB254">
        <v>3.1E-2</v>
      </c>
      <c r="AC254" t="s">
        <v>155</v>
      </c>
      <c r="AD254">
        <v>4</v>
      </c>
      <c r="AE254">
        <v>1</v>
      </c>
      <c r="AF254">
        <v>0</v>
      </c>
      <c r="AG254">
        <v>2.1309999999999998</v>
      </c>
      <c r="AH254">
        <v>0.28299999999999997</v>
      </c>
      <c r="AI254">
        <v>2.1000000000000001E-2</v>
      </c>
    </row>
    <row r="255" spans="1:35" x14ac:dyDescent="0.25">
      <c r="A255">
        <v>259</v>
      </c>
      <c r="B255" t="s">
        <v>35</v>
      </c>
      <c r="C255">
        <v>3</v>
      </c>
      <c r="D255" t="s">
        <v>36</v>
      </c>
      <c r="E255">
        <v>2</v>
      </c>
      <c r="F255" t="s">
        <v>259</v>
      </c>
      <c r="G255">
        <v>2</v>
      </c>
      <c r="H255">
        <v>6</v>
      </c>
      <c r="I255">
        <v>1</v>
      </c>
      <c r="J255">
        <v>38</v>
      </c>
      <c r="K255">
        <v>37</v>
      </c>
      <c r="L255">
        <v>35</v>
      </c>
      <c r="M255">
        <v>1</v>
      </c>
      <c r="N255" t="s">
        <v>219</v>
      </c>
      <c r="O255" t="s">
        <v>113</v>
      </c>
      <c r="P255" t="s">
        <v>114</v>
      </c>
      <c r="Q255" t="s">
        <v>220</v>
      </c>
      <c r="R255" t="s">
        <v>114</v>
      </c>
      <c r="S255" t="s">
        <v>92</v>
      </c>
      <c r="T255" t="s">
        <v>179</v>
      </c>
      <c r="U255">
        <v>1</v>
      </c>
      <c r="V255" t="s">
        <v>116</v>
      </c>
      <c r="W255" t="s">
        <v>96</v>
      </c>
      <c r="X255" t="s">
        <v>102</v>
      </c>
      <c r="Y255">
        <v>1</v>
      </c>
      <c r="Z255">
        <v>4</v>
      </c>
      <c r="AA255">
        <v>44.1</v>
      </c>
      <c r="AB255">
        <v>3.9E-2</v>
      </c>
      <c r="AC255" t="s">
        <v>116</v>
      </c>
      <c r="AD255">
        <v>2</v>
      </c>
      <c r="AE255">
        <v>4</v>
      </c>
      <c r="AF255">
        <v>0</v>
      </c>
      <c r="AG255">
        <v>1.837</v>
      </c>
      <c r="AH255">
        <v>0.26700000000000002</v>
      </c>
      <c r="AI255">
        <v>3.5000000000000003E-2</v>
      </c>
    </row>
    <row r="256" spans="1:35" x14ac:dyDescent="0.25">
      <c r="A256">
        <v>259</v>
      </c>
      <c r="B256" t="s">
        <v>35</v>
      </c>
      <c r="C256">
        <v>3</v>
      </c>
      <c r="D256" t="s">
        <v>36</v>
      </c>
      <c r="E256">
        <v>2</v>
      </c>
      <c r="F256" t="s">
        <v>259</v>
      </c>
      <c r="G256">
        <v>2</v>
      </c>
      <c r="H256">
        <v>6</v>
      </c>
      <c r="I256">
        <v>1</v>
      </c>
      <c r="J256">
        <v>39</v>
      </c>
      <c r="K256">
        <v>25</v>
      </c>
      <c r="L256">
        <v>71</v>
      </c>
      <c r="M256">
        <v>2</v>
      </c>
      <c r="N256" t="s">
        <v>143</v>
      </c>
      <c r="O256" t="s">
        <v>113</v>
      </c>
      <c r="P256" t="s">
        <v>114</v>
      </c>
      <c r="Q256" t="s">
        <v>115</v>
      </c>
      <c r="R256" t="s">
        <v>114</v>
      </c>
      <c r="S256" t="s">
        <v>59</v>
      </c>
      <c r="T256" t="s">
        <v>46</v>
      </c>
      <c r="U256">
        <v>2</v>
      </c>
      <c r="V256" t="s">
        <v>87</v>
      </c>
      <c r="W256" t="s">
        <v>166</v>
      </c>
      <c r="X256" t="s">
        <v>98</v>
      </c>
      <c r="Y256">
        <v>2</v>
      </c>
      <c r="Z256">
        <v>4</v>
      </c>
      <c r="AA256">
        <v>44.1</v>
      </c>
      <c r="AB256">
        <v>2.3E-2</v>
      </c>
      <c r="AC256" t="s">
        <v>87</v>
      </c>
      <c r="AD256">
        <v>3</v>
      </c>
      <c r="AE256">
        <v>5</v>
      </c>
      <c r="AF256">
        <v>0</v>
      </c>
      <c r="AG256">
        <v>2.0489999999999999</v>
      </c>
      <c r="AH256">
        <v>0.46700000000000003</v>
      </c>
      <c r="AI256">
        <v>1.4999999999999999E-2</v>
      </c>
    </row>
    <row r="257" spans="1:35" x14ac:dyDescent="0.25">
      <c r="A257">
        <v>259</v>
      </c>
      <c r="B257" t="s">
        <v>35</v>
      </c>
      <c r="C257">
        <v>3</v>
      </c>
      <c r="D257" t="s">
        <v>36</v>
      </c>
      <c r="E257">
        <v>2</v>
      </c>
      <c r="F257" t="s">
        <v>259</v>
      </c>
      <c r="G257">
        <v>2</v>
      </c>
      <c r="H257">
        <v>6</v>
      </c>
      <c r="I257">
        <v>1</v>
      </c>
      <c r="J257">
        <v>40</v>
      </c>
      <c r="K257">
        <v>42</v>
      </c>
      <c r="L257">
        <v>66</v>
      </c>
      <c r="M257">
        <v>2</v>
      </c>
      <c r="N257" t="s">
        <v>229</v>
      </c>
      <c r="O257" t="s">
        <v>113</v>
      </c>
      <c r="P257" t="s">
        <v>114</v>
      </c>
      <c r="Q257" t="s">
        <v>226</v>
      </c>
      <c r="R257" t="s">
        <v>114</v>
      </c>
      <c r="S257" t="s">
        <v>92</v>
      </c>
      <c r="T257" t="s">
        <v>209</v>
      </c>
      <c r="U257">
        <v>5</v>
      </c>
      <c r="V257" t="s">
        <v>120</v>
      </c>
      <c r="W257" t="s">
        <v>172</v>
      </c>
      <c r="X257" t="s">
        <v>139</v>
      </c>
      <c r="Y257">
        <v>2</v>
      </c>
      <c r="Z257">
        <v>4</v>
      </c>
      <c r="AA257">
        <v>44.1</v>
      </c>
      <c r="AB257">
        <v>3.1E-2</v>
      </c>
      <c r="AC257" t="s">
        <v>139</v>
      </c>
      <c r="AD257">
        <v>4</v>
      </c>
      <c r="AE257">
        <v>4</v>
      </c>
      <c r="AF257">
        <v>0</v>
      </c>
      <c r="AG257">
        <v>2.093</v>
      </c>
      <c r="AH257">
        <v>0.3</v>
      </c>
      <c r="AI257">
        <v>0.03</v>
      </c>
    </row>
    <row r="258" spans="1:35" x14ac:dyDescent="0.25">
      <c r="A258">
        <v>259</v>
      </c>
      <c r="B258" t="s">
        <v>35</v>
      </c>
      <c r="C258">
        <v>3</v>
      </c>
      <c r="D258" t="s">
        <v>36</v>
      </c>
      <c r="E258">
        <v>2</v>
      </c>
      <c r="F258" t="s">
        <v>259</v>
      </c>
      <c r="G258">
        <v>2</v>
      </c>
      <c r="H258">
        <v>6</v>
      </c>
      <c r="I258">
        <v>1</v>
      </c>
      <c r="J258">
        <v>41</v>
      </c>
      <c r="K258">
        <v>33</v>
      </c>
      <c r="L258">
        <v>27</v>
      </c>
      <c r="M258">
        <v>1</v>
      </c>
      <c r="N258" t="s">
        <v>129</v>
      </c>
      <c r="O258" t="s">
        <v>113</v>
      </c>
      <c r="P258" t="s">
        <v>114</v>
      </c>
      <c r="Q258" t="s">
        <v>118</v>
      </c>
      <c r="R258" t="s">
        <v>114</v>
      </c>
      <c r="S258" t="s">
        <v>92</v>
      </c>
      <c r="T258" t="s">
        <v>120</v>
      </c>
      <c r="U258">
        <v>4</v>
      </c>
      <c r="V258" t="s">
        <v>119</v>
      </c>
      <c r="W258" t="s">
        <v>204</v>
      </c>
      <c r="X258" t="s">
        <v>60</v>
      </c>
      <c r="Y258">
        <v>1</v>
      </c>
      <c r="Z258">
        <v>4</v>
      </c>
      <c r="AA258">
        <v>44.1</v>
      </c>
      <c r="AB258">
        <v>4.1000000000000002E-2</v>
      </c>
      <c r="AC258" t="s">
        <v>204</v>
      </c>
      <c r="AD258">
        <v>4</v>
      </c>
      <c r="AE258">
        <v>1</v>
      </c>
      <c r="AF258">
        <v>0</v>
      </c>
      <c r="AG258">
        <v>2.0339999999999998</v>
      </c>
      <c r="AH258">
        <v>0.65100000000000002</v>
      </c>
      <c r="AI258">
        <v>4.4999999999999998E-2</v>
      </c>
    </row>
    <row r="259" spans="1:35" x14ac:dyDescent="0.25">
      <c r="A259">
        <v>259</v>
      </c>
      <c r="B259" t="s">
        <v>35</v>
      </c>
      <c r="C259">
        <v>3</v>
      </c>
      <c r="D259" t="s">
        <v>36</v>
      </c>
      <c r="E259">
        <v>2</v>
      </c>
      <c r="F259" t="s">
        <v>259</v>
      </c>
      <c r="G259">
        <v>2</v>
      </c>
      <c r="H259">
        <v>6</v>
      </c>
      <c r="I259">
        <v>1</v>
      </c>
      <c r="J259">
        <v>42</v>
      </c>
      <c r="K259">
        <v>46</v>
      </c>
      <c r="L259">
        <v>70</v>
      </c>
      <c r="M259">
        <v>2</v>
      </c>
      <c r="N259" t="s">
        <v>232</v>
      </c>
      <c r="O259" t="s">
        <v>113</v>
      </c>
      <c r="P259" t="s">
        <v>114</v>
      </c>
      <c r="Q259" t="s">
        <v>222</v>
      </c>
      <c r="R259" t="s">
        <v>114</v>
      </c>
      <c r="S259" t="s">
        <v>43</v>
      </c>
      <c r="T259" t="s">
        <v>81</v>
      </c>
      <c r="U259">
        <v>1</v>
      </c>
      <c r="V259" t="s">
        <v>104</v>
      </c>
      <c r="W259" t="s">
        <v>156</v>
      </c>
      <c r="X259" t="s">
        <v>141</v>
      </c>
      <c r="Y259">
        <v>2</v>
      </c>
      <c r="Z259">
        <v>4</v>
      </c>
      <c r="AA259">
        <v>44.1</v>
      </c>
      <c r="AB259">
        <v>1.431</v>
      </c>
      <c r="AC259" t="s">
        <v>156</v>
      </c>
      <c r="AD259">
        <v>4</v>
      </c>
      <c r="AE259">
        <v>5</v>
      </c>
      <c r="AF259">
        <v>0</v>
      </c>
      <c r="AG259">
        <v>2.2709999999999999</v>
      </c>
      <c r="AH259">
        <v>0.26700000000000002</v>
      </c>
      <c r="AI259">
        <v>1.423</v>
      </c>
    </row>
    <row r="260" spans="1:35" x14ac:dyDescent="0.25">
      <c r="A260">
        <v>259</v>
      </c>
      <c r="B260" t="s">
        <v>35</v>
      </c>
      <c r="C260">
        <v>3</v>
      </c>
      <c r="D260" t="s">
        <v>36</v>
      </c>
      <c r="E260">
        <v>2</v>
      </c>
      <c r="F260" t="s">
        <v>259</v>
      </c>
      <c r="G260">
        <v>2</v>
      </c>
      <c r="H260">
        <v>6</v>
      </c>
      <c r="I260">
        <v>1</v>
      </c>
      <c r="J260">
        <v>43</v>
      </c>
      <c r="K260">
        <v>27</v>
      </c>
      <c r="L260">
        <v>25</v>
      </c>
      <c r="M260">
        <v>1</v>
      </c>
      <c r="N260" t="s">
        <v>122</v>
      </c>
      <c r="O260" t="s">
        <v>113</v>
      </c>
      <c r="P260" t="s">
        <v>114</v>
      </c>
      <c r="Q260" t="s">
        <v>123</v>
      </c>
      <c r="R260" t="s">
        <v>114</v>
      </c>
      <c r="S260" t="s">
        <v>59</v>
      </c>
      <c r="T260" t="s">
        <v>124</v>
      </c>
      <c r="U260">
        <v>4</v>
      </c>
      <c r="V260" t="s">
        <v>130</v>
      </c>
      <c r="W260" t="s">
        <v>67</v>
      </c>
      <c r="X260" t="s">
        <v>187</v>
      </c>
      <c r="Y260">
        <v>1</v>
      </c>
      <c r="Z260">
        <v>4</v>
      </c>
      <c r="AA260">
        <v>44.1</v>
      </c>
      <c r="AB260">
        <v>7.0000000000000007E-2</v>
      </c>
      <c r="AC260" t="s">
        <v>124</v>
      </c>
      <c r="AD260">
        <v>1</v>
      </c>
      <c r="AE260">
        <v>4</v>
      </c>
      <c r="AF260">
        <v>1</v>
      </c>
      <c r="AG260">
        <v>3.22</v>
      </c>
      <c r="AH260">
        <v>0.25</v>
      </c>
      <c r="AI260">
        <v>6.4000000000000001E-2</v>
      </c>
    </row>
    <row r="261" spans="1:35" x14ac:dyDescent="0.25">
      <c r="A261">
        <v>259</v>
      </c>
      <c r="B261" t="s">
        <v>35</v>
      </c>
      <c r="C261">
        <v>3</v>
      </c>
      <c r="D261" t="s">
        <v>36</v>
      </c>
      <c r="E261">
        <v>2</v>
      </c>
      <c r="F261" t="s">
        <v>259</v>
      </c>
      <c r="G261">
        <v>2</v>
      </c>
      <c r="H261">
        <v>6</v>
      </c>
      <c r="I261">
        <v>1</v>
      </c>
      <c r="J261">
        <v>44</v>
      </c>
      <c r="K261">
        <v>38</v>
      </c>
      <c r="L261">
        <v>36</v>
      </c>
      <c r="M261">
        <v>1</v>
      </c>
      <c r="N261" t="s">
        <v>227</v>
      </c>
      <c r="O261" t="s">
        <v>113</v>
      </c>
      <c r="P261" t="s">
        <v>114</v>
      </c>
      <c r="Q261" t="s">
        <v>220</v>
      </c>
      <c r="R261" t="s">
        <v>114</v>
      </c>
      <c r="S261" t="s">
        <v>43</v>
      </c>
      <c r="T261" t="s">
        <v>116</v>
      </c>
      <c r="U261">
        <v>1</v>
      </c>
      <c r="V261" t="s">
        <v>100</v>
      </c>
      <c r="W261" t="s">
        <v>183</v>
      </c>
      <c r="X261" t="s">
        <v>94</v>
      </c>
      <c r="Y261">
        <v>2</v>
      </c>
      <c r="Z261">
        <v>4</v>
      </c>
      <c r="AA261">
        <v>44.1</v>
      </c>
      <c r="AB261">
        <v>4.9000000000000002E-2</v>
      </c>
      <c r="AC261" t="s">
        <v>94</v>
      </c>
      <c r="AD261">
        <v>4</v>
      </c>
      <c r="AE261">
        <v>4</v>
      </c>
      <c r="AF261">
        <v>0</v>
      </c>
      <c r="AG261">
        <v>2.9140000000000001</v>
      </c>
      <c r="AH261">
        <v>0.28299999999999997</v>
      </c>
      <c r="AI261">
        <v>4.9000000000000002E-2</v>
      </c>
    </row>
    <row r="262" spans="1:35" x14ac:dyDescent="0.25">
      <c r="A262">
        <v>259</v>
      </c>
      <c r="B262" t="s">
        <v>35</v>
      </c>
      <c r="C262">
        <v>3</v>
      </c>
      <c r="D262" t="s">
        <v>36</v>
      </c>
      <c r="E262">
        <v>2</v>
      </c>
      <c r="F262" t="s">
        <v>259</v>
      </c>
      <c r="G262">
        <v>2</v>
      </c>
      <c r="H262">
        <v>6</v>
      </c>
      <c r="I262">
        <v>1</v>
      </c>
      <c r="J262">
        <v>45</v>
      </c>
      <c r="K262">
        <v>29</v>
      </c>
      <c r="L262">
        <v>61</v>
      </c>
      <c r="M262">
        <v>2</v>
      </c>
      <c r="N262" t="s">
        <v>125</v>
      </c>
      <c r="O262" t="s">
        <v>113</v>
      </c>
      <c r="P262" t="s">
        <v>114</v>
      </c>
      <c r="Q262" t="s">
        <v>126</v>
      </c>
      <c r="R262" t="s">
        <v>114</v>
      </c>
      <c r="S262" t="s">
        <v>92</v>
      </c>
      <c r="T262" t="s">
        <v>127</v>
      </c>
      <c r="U262">
        <v>4</v>
      </c>
      <c r="V262" t="s">
        <v>179</v>
      </c>
      <c r="W262" t="s">
        <v>131</v>
      </c>
      <c r="X262" t="s">
        <v>55</v>
      </c>
      <c r="Y262">
        <v>2</v>
      </c>
      <c r="Z262">
        <v>4</v>
      </c>
      <c r="AA262">
        <v>44.1</v>
      </c>
      <c r="AB262">
        <v>5.1999999999999998E-2</v>
      </c>
      <c r="AC262" t="s">
        <v>55</v>
      </c>
      <c r="AD262">
        <v>4</v>
      </c>
      <c r="AE262">
        <v>5</v>
      </c>
      <c r="AF262">
        <v>0</v>
      </c>
      <c r="AG262">
        <v>2.9569999999999999</v>
      </c>
      <c r="AH262">
        <v>0.25</v>
      </c>
      <c r="AI262">
        <v>5.2999999999999999E-2</v>
      </c>
    </row>
    <row r="263" spans="1:35" x14ac:dyDescent="0.25">
      <c r="A263">
        <v>259</v>
      </c>
      <c r="B263" t="s">
        <v>35</v>
      </c>
      <c r="C263">
        <v>3</v>
      </c>
      <c r="D263" t="s">
        <v>36</v>
      </c>
      <c r="E263">
        <v>2</v>
      </c>
      <c r="F263" t="s">
        <v>259</v>
      </c>
      <c r="G263">
        <v>2</v>
      </c>
      <c r="H263">
        <v>6</v>
      </c>
      <c r="I263">
        <v>1</v>
      </c>
      <c r="J263">
        <v>46</v>
      </c>
      <c r="K263">
        <v>35</v>
      </c>
      <c r="L263">
        <v>67</v>
      </c>
      <c r="M263">
        <v>2</v>
      </c>
      <c r="N263" t="s">
        <v>145</v>
      </c>
      <c r="O263" t="s">
        <v>113</v>
      </c>
      <c r="P263" t="s">
        <v>114</v>
      </c>
      <c r="Q263" t="s">
        <v>136</v>
      </c>
      <c r="R263" t="s">
        <v>114</v>
      </c>
      <c r="S263" t="s">
        <v>92</v>
      </c>
      <c r="T263" t="s">
        <v>137</v>
      </c>
      <c r="U263">
        <v>4</v>
      </c>
      <c r="V263" t="s">
        <v>74</v>
      </c>
      <c r="W263" t="s">
        <v>44</v>
      </c>
      <c r="X263" t="s">
        <v>110</v>
      </c>
      <c r="Y263">
        <v>1</v>
      </c>
      <c r="Z263">
        <v>4</v>
      </c>
      <c r="AA263">
        <v>44.1</v>
      </c>
      <c r="AB263">
        <v>7.0000000000000007E-2</v>
      </c>
      <c r="AC263" t="s">
        <v>74</v>
      </c>
      <c r="AD263">
        <v>2</v>
      </c>
      <c r="AE263">
        <v>1</v>
      </c>
      <c r="AF263">
        <v>0</v>
      </c>
      <c r="AG263">
        <v>2.6560000000000001</v>
      </c>
      <c r="AH263">
        <v>0.217</v>
      </c>
      <c r="AI263">
        <v>7.0000000000000007E-2</v>
      </c>
    </row>
    <row r="264" spans="1:35" x14ac:dyDescent="0.25">
      <c r="A264">
        <v>259</v>
      </c>
      <c r="B264" t="s">
        <v>35</v>
      </c>
      <c r="C264">
        <v>3</v>
      </c>
      <c r="D264" t="s">
        <v>36</v>
      </c>
      <c r="E264">
        <v>2</v>
      </c>
      <c r="F264" t="s">
        <v>259</v>
      </c>
      <c r="G264">
        <v>2</v>
      </c>
      <c r="H264">
        <v>6</v>
      </c>
      <c r="I264">
        <v>1</v>
      </c>
      <c r="J264">
        <v>47</v>
      </c>
      <c r="K264">
        <v>26</v>
      </c>
      <c r="L264">
        <v>72</v>
      </c>
      <c r="M264">
        <v>2</v>
      </c>
      <c r="N264" t="s">
        <v>112</v>
      </c>
      <c r="O264" t="s">
        <v>113</v>
      </c>
      <c r="P264" t="s">
        <v>114</v>
      </c>
      <c r="Q264" t="s">
        <v>115</v>
      </c>
      <c r="R264" t="s">
        <v>114</v>
      </c>
      <c r="S264" t="s">
        <v>43</v>
      </c>
      <c r="T264" t="s">
        <v>104</v>
      </c>
      <c r="U264">
        <v>2</v>
      </c>
      <c r="V264" t="s">
        <v>46</v>
      </c>
      <c r="W264" t="s">
        <v>75</v>
      </c>
      <c r="X264" t="s">
        <v>79</v>
      </c>
      <c r="Y264">
        <v>1</v>
      </c>
      <c r="Z264">
        <v>4</v>
      </c>
      <c r="AA264">
        <v>44.1</v>
      </c>
      <c r="AB264">
        <v>0.95899999999999996</v>
      </c>
      <c r="AC264" t="s">
        <v>75</v>
      </c>
      <c r="AD264">
        <v>4</v>
      </c>
      <c r="AE264">
        <v>1</v>
      </c>
      <c r="AF264">
        <v>0</v>
      </c>
      <c r="AG264">
        <v>2.3490000000000002</v>
      </c>
      <c r="AH264">
        <v>0.25</v>
      </c>
      <c r="AI264">
        <v>0.95299999999999996</v>
      </c>
    </row>
    <row r="265" spans="1:35" x14ac:dyDescent="0.25">
      <c r="A265">
        <v>259</v>
      </c>
      <c r="B265" t="s">
        <v>35</v>
      </c>
      <c r="C265">
        <v>3</v>
      </c>
      <c r="D265" t="s">
        <v>36</v>
      </c>
      <c r="E265">
        <v>2</v>
      </c>
      <c r="F265" t="s">
        <v>259</v>
      </c>
      <c r="G265">
        <v>2</v>
      </c>
      <c r="H265">
        <v>6</v>
      </c>
      <c r="I265">
        <v>1</v>
      </c>
      <c r="J265">
        <v>48</v>
      </c>
      <c r="K265">
        <v>31</v>
      </c>
      <c r="L265">
        <v>63</v>
      </c>
      <c r="M265">
        <v>2</v>
      </c>
      <c r="N265" t="s">
        <v>140</v>
      </c>
      <c r="O265" t="s">
        <v>113</v>
      </c>
      <c r="P265" t="s">
        <v>114</v>
      </c>
      <c r="Q265" t="s">
        <v>134</v>
      </c>
      <c r="R265" t="s">
        <v>114</v>
      </c>
      <c r="S265" t="s">
        <v>59</v>
      </c>
      <c r="T265" t="s">
        <v>95</v>
      </c>
      <c r="U265">
        <v>4</v>
      </c>
      <c r="V265" t="s">
        <v>124</v>
      </c>
      <c r="W265" t="s">
        <v>47</v>
      </c>
      <c r="X265" t="s">
        <v>106</v>
      </c>
      <c r="Y265">
        <v>2</v>
      </c>
      <c r="Z265">
        <v>4</v>
      </c>
      <c r="AA265">
        <v>44.1</v>
      </c>
      <c r="AB265">
        <v>1.113</v>
      </c>
      <c r="AC265" t="s">
        <v>124</v>
      </c>
      <c r="AD265">
        <v>3</v>
      </c>
      <c r="AE265">
        <v>5</v>
      </c>
      <c r="AF265">
        <v>0</v>
      </c>
      <c r="AG265">
        <v>1.605</v>
      </c>
      <c r="AH265">
        <v>0.48399999999999999</v>
      </c>
      <c r="AI265">
        <v>1.117</v>
      </c>
    </row>
    <row r="266" spans="1:35" x14ac:dyDescent="0.25">
      <c r="A266">
        <v>259</v>
      </c>
      <c r="B266" t="s">
        <v>35</v>
      </c>
      <c r="C266">
        <v>3</v>
      </c>
      <c r="D266" t="s">
        <v>36</v>
      </c>
      <c r="E266">
        <v>2</v>
      </c>
      <c r="F266" t="s">
        <v>259</v>
      </c>
      <c r="G266">
        <v>2</v>
      </c>
      <c r="H266">
        <v>6</v>
      </c>
      <c r="I266">
        <v>1</v>
      </c>
      <c r="J266">
        <v>49</v>
      </c>
      <c r="K266">
        <v>52</v>
      </c>
      <c r="L266">
        <v>14</v>
      </c>
      <c r="M266">
        <v>1</v>
      </c>
      <c r="N266" t="s">
        <v>184</v>
      </c>
      <c r="O266" t="s">
        <v>151</v>
      </c>
      <c r="P266" t="s">
        <v>168</v>
      </c>
      <c r="Q266" t="s">
        <v>169</v>
      </c>
      <c r="R266" t="s">
        <v>154</v>
      </c>
      <c r="S266" t="s">
        <v>92</v>
      </c>
      <c r="T266" t="s">
        <v>141</v>
      </c>
      <c r="U266">
        <v>1</v>
      </c>
      <c r="V266" t="s">
        <v>62</v>
      </c>
      <c r="W266" t="s">
        <v>111</v>
      </c>
      <c r="X266" t="s">
        <v>102</v>
      </c>
      <c r="Y266">
        <v>2</v>
      </c>
      <c r="Z266">
        <v>4</v>
      </c>
      <c r="AA266">
        <v>44.1</v>
      </c>
      <c r="AB266">
        <v>5.1999999999999998E-2</v>
      </c>
      <c r="AC266" t="s">
        <v>141</v>
      </c>
      <c r="AD266">
        <v>1</v>
      </c>
      <c r="AE266">
        <v>1</v>
      </c>
      <c r="AF266">
        <v>1</v>
      </c>
      <c r="AG266">
        <v>2.839</v>
      </c>
      <c r="AH266">
        <v>0.45</v>
      </c>
      <c r="AI266">
        <v>4.2999999999999997E-2</v>
      </c>
    </row>
    <row r="267" spans="1:35" x14ac:dyDescent="0.25">
      <c r="A267">
        <v>259</v>
      </c>
      <c r="B267" t="s">
        <v>35</v>
      </c>
      <c r="C267">
        <v>3</v>
      </c>
      <c r="D267" t="s">
        <v>36</v>
      </c>
      <c r="E267">
        <v>2</v>
      </c>
      <c r="F267" t="s">
        <v>259</v>
      </c>
      <c r="G267">
        <v>2</v>
      </c>
      <c r="H267">
        <v>6</v>
      </c>
      <c r="I267">
        <v>1</v>
      </c>
      <c r="J267">
        <v>50</v>
      </c>
      <c r="K267">
        <v>62</v>
      </c>
      <c r="L267">
        <v>24</v>
      </c>
      <c r="M267">
        <v>1</v>
      </c>
      <c r="N267" t="s">
        <v>251</v>
      </c>
      <c r="O267" t="s">
        <v>151</v>
      </c>
      <c r="P267" t="s">
        <v>245</v>
      </c>
      <c r="Q267" t="s">
        <v>246</v>
      </c>
      <c r="R267" t="s">
        <v>160</v>
      </c>
      <c r="S267" t="s">
        <v>43</v>
      </c>
      <c r="T267" t="s">
        <v>121</v>
      </c>
      <c r="U267">
        <v>4</v>
      </c>
      <c r="V267" t="s">
        <v>161</v>
      </c>
      <c r="W267" t="s">
        <v>214</v>
      </c>
      <c r="X267" t="s">
        <v>60</v>
      </c>
      <c r="Y267">
        <v>2</v>
      </c>
      <c r="Z267">
        <v>4</v>
      </c>
      <c r="AA267">
        <v>44.1</v>
      </c>
      <c r="AB267">
        <v>0.05</v>
      </c>
      <c r="AC267" t="s">
        <v>214</v>
      </c>
      <c r="AD267">
        <v>4</v>
      </c>
      <c r="AE267">
        <v>2</v>
      </c>
      <c r="AF267">
        <v>0</v>
      </c>
      <c r="AG267">
        <v>2.0270000000000001</v>
      </c>
      <c r="AH267">
        <v>0.28299999999999997</v>
      </c>
      <c r="AI267">
        <v>0.05</v>
      </c>
    </row>
    <row r="268" spans="1:35" x14ac:dyDescent="0.25">
      <c r="A268">
        <v>259</v>
      </c>
      <c r="B268" t="s">
        <v>35</v>
      </c>
      <c r="C268">
        <v>3</v>
      </c>
      <c r="D268" t="s">
        <v>36</v>
      </c>
      <c r="E268">
        <v>2</v>
      </c>
      <c r="F268" t="s">
        <v>259</v>
      </c>
      <c r="G268">
        <v>2</v>
      </c>
      <c r="H268">
        <v>6</v>
      </c>
      <c r="I268">
        <v>1</v>
      </c>
      <c r="J268">
        <v>51</v>
      </c>
      <c r="K268">
        <v>65</v>
      </c>
      <c r="L268">
        <v>53</v>
      </c>
      <c r="M268">
        <v>2</v>
      </c>
      <c r="N268" t="s">
        <v>257</v>
      </c>
      <c r="O268" t="s">
        <v>151</v>
      </c>
      <c r="P268" t="s">
        <v>249</v>
      </c>
      <c r="Q268" t="s">
        <v>250</v>
      </c>
      <c r="R268" t="s">
        <v>170</v>
      </c>
      <c r="S268" t="s">
        <v>59</v>
      </c>
      <c r="T268" t="s">
        <v>204</v>
      </c>
      <c r="U268">
        <v>4</v>
      </c>
      <c r="V268" t="s">
        <v>68</v>
      </c>
      <c r="W268" t="s">
        <v>69</v>
      </c>
      <c r="X268" t="s">
        <v>79</v>
      </c>
      <c r="Y268">
        <v>1</v>
      </c>
      <c r="Z268">
        <v>4</v>
      </c>
      <c r="AA268">
        <v>44.1</v>
      </c>
      <c r="AB268">
        <v>4.9000000000000002E-2</v>
      </c>
      <c r="AC268" t="s">
        <v>204</v>
      </c>
      <c r="AD268">
        <v>1</v>
      </c>
      <c r="AE268">
        <v>4</v>
      </c>
      <c r="AF268">
        <v>1</v>
      </c>
      <c r="AG268">
        <v>1.379</v>
      </c>
      <c r="AH268">
        <v>0.26700000000000002</v>
      </c>
      <c r="AI268">
        <v>4.2000000000000003E-2</v>
      </c>
    </row>
    <row r="269" spans="1:35" x14ac:dyDescent="0.25">
      <c r="A269">
        <v>259</v>
      </c>
      <c r="B269" t="s">
        <v>35</v>
      </c>
      <c r="C269">
        <v>3</v>
      </c>
      <c r="D269" t="s">
        <v>36</v>
      </c>
      <c r="E269">
        <v>2</v>
      </c>
      <c r="F269" t="s">
        <v>259</v>
      </c>
      <c r="G269">
        <v>2</v>
      </c>
      <c r="H269">
        <v>6</v>
      </c>
      <c r="I269">
        <v>1</v>
      </c>
      <c r="J269">
        <v>52</v>
      </c>
      <c r="K269">
        <v>49</v>
      </c>
      <c r="L269">
        <v>59</v>
      </c>
      <c r="M269">
        <v>2</v>
      </c>
      <c r="N269" t="s">
        <v>171</v>
      </c>
      <c r="O269" t="s">
        <v>151</v>
      </c>
      <c r="P269" t="s">
        <v>158</v>
      </c>
      <c r="Q269" t="s">
        <v>159</v>
      </c>
      <c r="R269" t="s">
        <v>170</v>
      </c>
      <c r="S269" t="s">
        <v>59</v>
      </c>
      <c r="T269" t="s">
        <v>103</v>
      </c>
      <c r="U269">
        <v>5</v>
      </c>
      <c r="V269" t="s">
        <v>146</v>
      </c>
      <c r="W269" t="s">
        <v>172</v>
      </c>
      <c r="X269" t="s">
        <v>74</v>
      </c>
      <c r="Y269">
        <v>2</v>
      </c>
      <c r="Z269">
        <v>4</v>
      </c>
      <c r="AA269">
        <v>44.1</v>
      </c>
      <c r="AB269">
        <v>6.3E-2</v>
      </c>
      <c r="AC269" t="s">
        <v>146</v>
      </c>
      <c r="AD269">
        <v>3</v>
      </c>
      <c r="AE269">
        <v>1</v>
      </c>
      <c r="AF269">
        <v>0</v>
      </c>
      <c r="AG269">
        <v>3.2280000000000002</v>
      </c>
      <c r="AH269">
        <v>0.26700000000000002</v>
      </c>
      <c r="AI269">
        <v>5.7000000000000002E-2</v>
      </c>
    </row>
    <row r="270" spans="1:35" x14ac:dyDescent="0.25">
      <c r="A270">
        <v>259</v>
      </c>
      <c r="B270" t="s">
        <v>35</v>
      </c>
      <c r="C270">
        <v>3</v>
      </c>
      <c r="D270" t="s">
        <v>36</v>
      </c>
      <c r="E270">
        <v>2</v>
      </c>
      <c r="F270" t="s">
        <v>259</v>
      </c>
      <c r="G270">
        <v>2</v>
      </c>
      <c r="H270">
        <v>6</v>
      </c>
      <c r="I270">
        <v>1</v>
      </c>
      <c r="J270">
        <v>53</v>
      </c>
      <c r="K270">
        <v>54</v>
      </c>
      <c r="L270">
        <v>50</v>
      </c>
      <c r="M270">
        <v>2</v>
      </c>
      <c r="N270" t="s">
        <v>186</v>
      </c>
      <c r="O270" t="s">
        <v>151</v>
      </c>
      <c r="P270" t="s">
        <v>181</v>
      </c>
      <c r="Q270" t="s">
        <v>182</v>
      </c>
      <c r="R270" t="s">
        <v>174</v>
      </c>
      <c r="S270" t="s">
        <v>52</v>
      </c>
      <c r="T270" t="s">
        <v>187</v>
      </c>
      <c r="U270">
        <v>2</v>
      </c>
      <c r="V270" t="s">
        <v>47</v>
      </c>
      <c r="W270" t="s">
        <v>179</v>
      </c>
      <c r="X270" t="s">
        <v>94</v>
      </c>
      <c r="Y270">
        <v>2</v>
      </c>
      <c r="Z270">
        <v>4</v>
      </c>
      <c r="AA270">
        <v>44.1</v>
      </c>
      <c r="AB270">
        <v>6.0999999999999999E-2</v>
      </c>
      <c r="AC270" t="s">
        <v>179</v>
      </c>
      <c r="AD270">
        <v>4</v>
      </c>
      <c r="AE270">
        <v>1</v>
      </c>
      <c r="AF270">
        <v>0</v>
      </c>
      <c r="AG270">
        <v>3.4089999999999998</v>
      </c>
      <c r="AH270">
        <v>0.11700000000000001</v>
      </c>
      <c r="AI270">
        <v>6.8000000000000005E-2</v>
      </c>
    </row>
    <row r="271" spans="1:35" x14ac:dyDescent="0.25">
      <c r="A271">
        <v>259</v>
      </c>
      <c r="B271" t="s">
        <v>35</v>
      </c>
      <c r="C271">
        <v>3</v>
      </c>
      <c r="D271" t="s">
        <v>36</v>
      </c>
      <c r="E271">
        <v>2</v>
      </c>
      <c r="F271" t="s">
        <v>259</v>
      </c>
      <c r="G271">
        <v>2</v>
      </c>
      <c r="H271">
        <v>6</v>
      </c>
      <c r="I271">
        <v>1</v>
      </c>
      <c r="J271">
        <v>54</v>
      </c>
      <c r="K271">
        <v>71</v>
      </c>
      <c r="L271">
        <v>21</v>
      </c>
      <c r="M271">
        <v>1</v>
      </c>
      <c r="N271" t="s">
        <v>252</v>
      </c>
      <c r="O271" t="s">
        <v>151</v>
      </c>
      <c r="P271" t="s">
        <v>242</v>
      </c>
      <c r="Q271" t="s">
        <v>243</v>
      </c>
      <c r="R271" t="s">
        <v>170</v>
      </c>
      <c r="S271" t="s">
        <v>59</v>
      </c>
      <c r="T271" t="s">
        <v>146</v>
      </c>
      <c r="U271">
        <v>2</v>
      </c>
      <c r="V271" t="s">
        <v>132</v>
      </c>
      <c r="W271" t="s">
        <v>104</v>
      </c>
      <c r="X271" t="s">
        <v>185</v>
      </c>
      <c r="Y271">
        <v>1</v>
      </c>
      <c r="Z271">
        <v>4</v>
      </c>
      <c r="AA271">
        <v>44.1</v>
      </c>
      <c r="AB271">
        <v>5.1999999999999998E-2</v>
      </c>
      <c r="AC271" t="s">
        <v>146</v>
      </c>
      <c r="AD271">
        <v>1</v>
      </c>
      <c r="AE271">
        <v>2</v>
      </c>
      <c r="AF271">
        <v>1</v>
      </c>
      <c r="AG271">
        <v>2.57</v>
      </c>
      <c r="AH271">
        <v>0.36699999999999999</v>
      </c>
      <c r="AI271">
        <v>5.7000000000000002E-2</v>
      </c>
    </row>
    <row r="272" spans="1:35" x14ac:dyDescent="0.25">
      <c r="A272">
        <v>259</v>
      </c>
      <c r="B272" t="s">
        <v>35</v>
      </c>
      <c r="C272">
        <v>3</v>
      </c>
      <c r="D272" t="s">
        <v>36</v>
      </c>
      <c r="E272">
        <v>2</v>
      </c>
      <c r="F272" t="s">
        <v>259</v>
      </c>
      <c r="G272">
        <v>2</v>
      </c>
      <c r="H272">
        <v>6</v>
      </c>
      <c r="I272">
        <v>1</v>
      </c>
      <c r="J272">
        <v>55</v>
      </c>
      <c r="K272">
        <v>61</v>
      </c>
      <c r="L272">
        <v>23</v>
      </c>
      <c r="M272">
        <v>1</v>
      </c>
      <c r="N272" t="s">
        <v>244</v>
      </c>
      <c r="O272" t="s">
        <v>151</v>
      </c>
      <c r="P272" t="s">
        <v>245</v>
      </c>
      <c r="Q272" t="s">
        <v>246</v>
      </c>
      <c r="R272" t="s">
        <v>154</v>
      </c>
      <c r="S272" t="s">
        <v>92</v>
      </c>
      <c r="T272" t="s">
        <v>62</v>
      </c>
      <c r="U272">
        <v>4</v>
      </c>
      <c r="V272" t="s">
        <v>121</v>
      </c>
      <c r="W272" t="s">
        <v>156</v>
      </c>
      <c r="X272" t="s">
        <v>46</v>
      </c>
      <c r="Y272">
        <v>1</v>
      </c>
      <c r="Z272">
        <v>4</v>
      </c>
      <c r="AA272">
        <v>44.1</v>
      </c>
      <c r="AB272">
        <v>0.06</v>
      </c>
      <c r="AC272" t="s">
        <v>46</v>
      </c>
      <c r="AD272">
        <v>4</v>
      </c>
      <c r="AE272">
        <v>5</v>
      </c>
      <c r="AF272">
        <v>0</v>
      </c>
      <c r="AG272">
        <v>2.411</v>
      </c>
      <c r="AH272">
        <v>0.26700000000000002</v>
      </c>
      <c r="AI272">
        <v>5.8999999999999997E-2</v>
      </c>
    </row>
    <row r="273" spans="1:35" x14ac:dyDescent="0.25">
      <c r="A273">
        <v>259</v>
      </c>
      <c r="B273" t="s">
        <v>35</v>
      </c>
      <c r="C273">
        <v>3</v>
      </c>
      <c r="D273" t="s">
        <v>36</v>
      </c>
      <c r="E273">
        <v>2</v>
      </c>
      <c r="F273" t="s">
        <v>259</v>
      </c>
      <c r="G273">
        <v>2</v>
      </c>
      <c r="H273">
        <v>6</v>
      </c>
      <c r="I273">
        <v>1</v>
      </c>
      <c r="J273">
        <v>56</v>
      </c>
      <c r="K273">
        <v>58</v>
      </c>
      <c r="L273">
        <v>16</v>
      </c>
      <c r="M273">
        <v>1</v>
      </c>
      <c r="N273" t="s">
        <v>173</v>
      </c>
      <c r="O273" t="s">
        <v>151</v>
      </c>
      <c r="P273" t="s">
        <v>152</v>
      </c>
      <c r="Q273" t="s">
        <v>153</v>
      </c>
      <c r="R273" t="s">
        <v>174</v>
      </c>
      <c r="S273" t="s">
        <v>52</v>
      </c>
      <c r="T273" t="s">
        <v>99</v>
      </c>
      <c r="U273">
        <v>4</v>
      </c>
      <c r="V273" t="s">
        <v>75</v>
      </c>
      <c r="W273" t="s">
        <v>56</v>
      </c>
      <c r="X273" t="s">
        <v>98</v>
      </c>
      <c r="Y273">
        <v>2</v>
      </c>
      <c r="Z273">
        <v>4</v>
      </c>
      <c r="AA273">
        <v>44.1</v>
      </c>
      <c r="AB273">
        <v>9.2999999999999999E-2</v>
      </c>
      <c r="AC273" t="s">
        <v>98</v>
      </c>
      <c r="AD273">
        <v>4</v>
      </c>
      <c r="AE273">
        <v>2</v>
      </c>
      <c r="AF273">
        <v>0</v>
      </c>
      <c r="AG273">
        <v>2.4820000000000002</v>
      </c>
      <c r="AH273">
        <v>0.25</v>
      </c>
      <c r="AI273">
        <v>9.5000000000000001E-2</v>
      </c>
    </row>
    <row r="274" spans="1:35" x14ac:dyDescent="0.25">
      <c r="A274">
        <v>259</v>
      </c>
      <c r="B274" t="s">
        <v>35</v>
      </c>
      <c r="C274">
        <v>3</v>
      </c>
      <c r="D274" t="s">
        <v>36</v>
      </c>
      <c r="E274">
        <v>2</v>
      </c>
      <c r="F274" t="s">
        <v>259</v>
      </c>
      <c r="G274">
        <v>2</v>
      </c>
      <c r="H274">
        <v>6</v>
      </c>
      <c r="I274">
        <v>1</v>
      </c>
      <c r="J274">
        <v>57</v>
      </c>
      <c r="K274">
        <v>59</v>
      </c>
      <c r="L274">
        <v>55</v>
      </c>
      <c r="M274">
        <v>2</v>
      </c>
      <c r="N274" t="s">
        <v>163</v>
      </c>
      <c r="O274" t="s">
        <v>151</v>
      </c>
      <c r="P274" t="s">
        <v>164</v>
      </c>
      <c r="Q274" t="s">
        <v>165</v>
      </c>
      <c r="R274" t="s">
        <v>154</v>
      </c>
      <c r="S274" t="s">
        <v>92</v>
      </c>
      <c r="T274" t="s">
        <v>86</v>
      </c>
      <c r="U274">
        <v>5</v>
      </c>
      <c r="V274" t="s">
        <v>155</v>
      </c>
      <c r="W274" t="s">
        <v>73</v>
      </c>
      <c r="X274" t="s">
        <v>81</v>
      </c>
      <c r="Y274">
        <v>2</v>
      </c>
      <c r="Z274">
        <v>4</v>
      </c>
      <c r="AA274">
        <v>44.1</v>
      </c>
      <c r="AB274">
        <v>0.05</v>
      </c>
      <c r="AC274" t="s">
        <v>86</v>
      </c>
      <c r="AD274">
        <v>1</v>
      </c>
      <c r="AE274">
        <v>5</v>
      </c>
      <c r="AF274">
        <v>1</v>
      </c>
      <c r="AG274">
        <v>1.5669999999999999</v>
      </c>
      <c r="AH274">
        <v>0.23400000000000001</v>
      </c>
      <c r="AI274">
        <v>4.8000000000000001E-2</v>
      </c>
    </row>
    <row r="275" spans="1:35" x14ac:dyDescent="0.25">
      <c r="A275">
        <v>259</v>
      </c>
      <c r="B275" t="s">
        <v>35</v>
      </c>
      <c r="C275">
        <v>3</v>
      </c>
      <c r="D275" t="s">
        <v>36</v>
      </c>
      <c r="E275">
        <v>2</v>
      </c>
      <c r="F275" t="s">
        <v>259</v>
      </c>
      <c r="G275">
        <v>2</v>
      </c>
      <c r="H275">
        <v>6</v>
      </c>
      <c r="I275">
        <v>1</v>
      </c>
      <c r="J275">
        <v>58</v>
      </c>
      <c r="K275">
        <v>69</v>
      </c>
      <c r="L275">
        <v>57</v>
      </c>
      <c r="M275">
        <v>2</v>
      </c>
      <c r="N275" t="s">
        <v>247</v>
      </c>
      <c r="O275" t="s">
        <v>151</v>
      </c>
      <c r="P275" t="s">
        <v>236</v>
      </c>
      <c r="Q275" t="s">
        <v>237</v>
      </c>
      <c r="R275" t="s">
        <v>174</v>
      </c>
      <c r="S275" t="s">
        <v>52</v>
      </c>
      <c r="T275" t="s">
        <v>75</v>
      </c>
      <c r="U275">
        <v>1</v>
      </c>
      <c r="V275" t="s">
        <v>55</v>
      </c>
      <c r="W275" t="s">
        <v>93</v>
      </c>
      <c r="X275" t="s">
        <v>162</v>
      </c>
      <c r="Y275">
        <v>1</v>
      </c>
      <c r="Z275">
        <v>4</v>
      </c>
      <c r="AA275">
        <v>44.1</v>
      </c>
      <c r="AB275">
        <v>8.9999999999999993E-3</v>
      </c>
      <c r="AC275" t="s">
        <v>93</v>
      </c>
      <c r="AD275">
        <v>4</v>
      </c>
      <c r="AE275">
        <v>2</v>
      </c>
      <c r="AF275">
        <v>0</v>
      </c>
      <c r="AG275">
        <v>1.9650000000000001</v>
      </c>
      <c r="AH275">
        <v>0.35</v>
      </c>
      <c r="AI275">
        <v>6.0000000000000001E-3</v>
      </c>
    </row>
    <row r="276" spans="1:35" x14ac:dyDescent="0.25">
      <c r="A276">
        <v>259</v>
      </c>
      <c r="B276" t="s">
        <v>35</v>
      </c>
      <c r="C276">
        <v>3</v>
      </c>
      <c r="D276" t="s">
        <v>36</v>
      </c>
      <c r="E276">
        <v>2</v>
      </c>
      <c r="F276" t="s">
        <v>259</v>
      </c>
      <c r="G276">
        <v>2</v>
      </c>
      <c r="H276">
        <v>6</v>
      </c>
      <c r="I276">
        <v>1</v>
      </c>
      <c r="J276">
        <v>59</v>
      </c>
      <c r="K276">
        <v>55</v>
      </c>
      <c r="L276">
        <v>51</v>
      </c>
      <c r="M276">
        <v>2</v>
      </c>
      <c r="N276" t="s">
        <v>176</v>
      </c>
      <c r="O276" t="s">
        <v>151</v>
      </c>
      <c r="P276" t="s">
        <v>177</v>
      </c>
      <c r="Q276" t="s">
        <v>178</v>
      </c>
      <c r="R276" t="s">
        <v>170</v>
      </c>
      <c r="S276" t="s">
        <v>59</v>
      </c>
      <c r="T276" t="s">
        <v>139</v>
      </c>
      <c r="U276">
        <v>2</v>
      </c>
      <c r="V276" t="s">
        <v>204</v>
      </c>
      <c r="W276" t="s">
        <v>80</v>
      </c>
      <c r="X276" t="s">
        <v>127</v>
      </c>
      <c r="Y276">
        <v>2</v>
      </c>
      <c r="Z276">
        <v>4</v>
      </c>
      <c r="AA276">
        <v>44.1</v>
      </c>
      <c r="AB276">
        <v>5.2999999999999999E-2</v>
      </c>
      <c r="AC276" t="s">
        <v>139</v>
      </c>
      <c r="AD276">
        <v>1</v>
      </c>
      <c r="AE276">
        <v>2</v>
      </c>
      <c r="AF276">
        <v>1</v>
      </c>
      <c r="AG276">
        <v>2.415</v>
      </c>
      <c r="AH276">
        <v>0.217</v>
      </c>
      <c r="AI276">
        <v>0.05</v>
      </c>
    </row>
    <row r="277" spans="1:35" x14ac:dyDescent="0.25">
      <c r="A277">
        <v>259</v>
      </c>
      <c r="B277" t="s">
        <v>35</v>
      </c>
      <c r="C277">
        <v>3</v>
      </c>
      <c r="D277" t="s">
        <v>36</v>
      </c>
      <c r="E277">
        <v>2</v>
      </c>
      <c r="F277" t="s">
        <v>259</v>
      </c>
      <c r="G277">
        <v>2</v>
      </c>
      <c r="H277">
        <v>6</v>
      </c>
      <c r="I277">
        <v>1</v>
      </c>
      <c r="J277">
        <v>60</v>
      </c>
      <c r="K277">
        <v>63</v>
      </c>
      <c r="L277">
        <v>19</v>
      </c>
      <c r="M277">
        <v>1</v>
      </c>
      <c r="N277" t="s">
        <v>253</v>
      </c>
      <c r="O277" t="s">
        <v>151</v>
      </c>
      <c r="P277" t="s">
        <v>239</v>
      </c>
      <c r="Q277" t="s">
        <v>240</v>
      </c>
      <c r="R277" t="s">
        <v>170</v>
      </c>
      <c r="S277" t="s">
        <v>59</v>
      </c>
      <c r="T277" t="s">
        <v>211</v>
      </c>
      <c r="U277">
        <v>4</v>
      </c>
      <c r="V277" t="s">
        <v>96</v>
      </c>
      <c r="W277" t="s">
        <v>144</v>
      </c>
      <c r="X277" t="s">
        <v>119</v>
      </c>
      <c r="Y277">
        <v>2</v>
      </c>
      <c r="Z277">
        <v>4</v>
      </c>
      <c r="AA277">
        <v>44.1</v>
      </c>
      <c r="AB277">
        <v>3.1E-2</v>
      </c>
      <c r="AC277" t="s">
        <v>211</v>
      </c>
      <c r="AD277">
        <v>1</v>
      </c>
      <c r="AE277">
        <v>4</v>
      </c>
      <c r="AF277">
        <v>1</v>
      </c>
      <c r="AG277">
        <v>0.86099999999999999</v>
      </c>
      <c r="AH277">
        <v>0.3</v>
      </c>
      <c r="AI277">
        <v>2.1999999999999999E-2</v>
      </c>
    </row>
    <row r="278" spans="1:35" x14ac:dyDescent="0.25">
      <c r="A278">
        <v>259</v>
      </c>
      <c r="B278" t="s">
        <v>35</v>
      </c>
      <c r="C278">
        <v>3</v>
      </c>
      <c r="D278" t="s">
        <v>36</v>
      </c>
      <c r="E278">
        <v>2</v>
      </c>
      <c r="F278" t="s">
        <v>259</v>
      </c>
      <c r="G278">
        <v>2</v>
      </c>
      <c r="H278">
        <v>6</v>
      </c>
      <c r="I278">
        <v>1</v>
      </c>
      <c r="J278">
        <v>61</v>
      </c>
      <c r="K278">
        <v>57</v>
      </c>
      <c r="L278">
        <v>15</v>
      </c>
      <c r="M278">
        <v>1</v>
      </c>
      <c r="N278" t="s">
        <v>150</v>
      </c>
      <c r="O278" t="s">
        <v>151</v>
      </c>
      <c r="P278" t="s">
        <v>152</v>
      </c>
      <c r="Q278" t="s">
        <v>153</v>
      </c>
      <c r="R278" t="s">
        <v>154</v>
      </c>
      <c r="S278" t="s">
        <v>92</v>
      </c>
      <c r="T278" t="s">
        <v>155</v>
      </c>
      <c r="U278">
        <v>1</v>
      </c>
      <c r="V278" t="s">
        <v>99</v>
      </c>
      <c r="W278" t="s">
        <v>87</v>
      </c>
      <c r="X278" t="s">
        <v>147</v>
      </c>
      <c r="Y278">
        <v>1</v>
      </c>
      <c r="Z278">
        <v>4</v>
      </c>
      <c r="AA278">
        <v>44.1</v>
      </c>
      <c r="AB278">
        <v>3.1E-2</v>
      </c>
      <c r="AC278" t="s">
        <v>155</v>
      </c>
      <c r="AD278">
        <v>1</v>
      </c>
      <c r="AE278">
        <v>1</v>
      </c>
      <c r="AF278">
        <v>1</v>
      </c>
      <c r="AG278">
        <v>2.2330000000000001</v>
      </c>
      <c r="AH278">
        <v>0.33300000000000002</v>
      </c>
      <c r="AI278">
        <v>3.9E-2</v>
      </c>
    </row>
    <row r="279" spans="1:35" x14ac:dyDescent="0.25">
      <c r="A279">
        <v>259</v>
      </c>
      <c r="B279" t="s">
        <v>35</v>
      </c>
      <c r="C279">
        <v>3</v>
      </c>
      <c r="D279" t="s">
        <v>36</v>
      </c>
      <c r="E279">
        <v>2</v>
      </c>
      <c r="F279" t="s">
        <v>259</v>
      </c>
      <c r="G279">
        <v>2</v>
      </c>
      <c r="H279">
        <v>6</v>
      </c>
      <c r="I279">
        <v>1</v>
      </c>
      <c r="J279">
        <v>62</v>
      </c>
      <c r="K279">
        <v>68</v>
      </c>
      <c r="L279">
        <v>18</v>
      </c>
      <c r="M279">
        <v>1</v>
      </c>
      <c r="N279" t="s">
        <v>258</v>
      </c>
      <c r="O279" t="s">
        <v>151</v>
      </c>
      <c r="P279" t="s">
        <v>255</v>
      </c>
      <c r="Q279" t="s">
        <v>256</v>
      </c>
      <c r="R279" t="s">
        <v>160</v>
      </c>
      <c r="S279" t="s">
        <v>43</v>
      </c>
      <c r="T279" t="s">
        <v>110</v>
      </c>
      <c r="U279">
        <v>1</v>
      </c>
      <c r="V279" t="s">
        <v>82</v>
      </c>
      <c r="W279" t="s">
        <v>138</v>
      </c>
      <c r="X279" t="s">
        <v>61</v>
      </c>
      <c r="Y279">
        <v>2</v>
      </c>
      <c r="Z279">
        <v>4</v>
      </c>
      <c r="AA279">
        <v>44.1</v>
      </c>
      <c r="AB279">
        <v>3.2000000000000001E-2</v>
      </c>
      <c r="AC279" t="s">
        <v>110</v>
      </c>
      <c r="AD279">
        <v>1</v>
      </c>
      <c r="AE279">
        <v>1</v>
      </c>
      <c r="AF279">
        <v>1</v>
      </c>
      <c r="AG279">
        <v>1.256</v>
      </c>
      <c r="AH279">
        <v>0.25</v>
      </c>
      <c r="AI279">
        <v>3.9E-2</v>
      </c>
    </row>
    <row r="280" spans="1:35" x14ac:dyDescent="0.25">
      <c r="A280">
        <v>259</v>
      </c>
      <c r="B280" t="s">
        <v>35</v>
      </c>
      <c r="C280">
        <v>3</v>
      </c>
      <c r="D280" t="s">
        <v>36</v>
      </c>
      <c r="E280">
        <v>2</v>
      </c>
      <c r="F280" t="s">
        <v>259</v>
      </c>
      <c r="G280">
        <v>2</v>
      </c>
      <c r="H280">
        <v>6</v>
      </c>
      <c r="I280">
        <v>1</v>
      </c>
      <c r="J280">
        <v>63</v>
      </c>
      <c r="K280">
        <v>56</v>
      </c>
      <c r="L280">
        <v>52</v>
      </c>
      <c r="M280">
        <v>2</v>
      </c>
      <c r="N280" t="s">
        <v>188</v>
      </c>
      <c r="O280" t="s">
        <v>151</v>
      </c>
      <c r="P280" t="s">
        <v>177</v>
      </c>
      <c r="Q280" t="s">
        <v>178</v>
      </c>
      <c r="R280" t="s">
        <v>160</v>
      </c>
      <c r="S280" t="s">
        <v>43</v>
      </c>
      <c r="T280" t="s">
        <v>108</v>
      </c>
      <c r="U280">
        <v>2</v>
      </c>
      <c r="V280" t="s">
        <v>139</v>
      </c>
      <c r="W280" t="s">
        <v>137</v>
      </c>
      <c r="X280" t="s">
        <v>53</v>
      </c>
      <c r="Y280">
        <v>1</v>
      </c>
      <c r="Z280">
        <v>4</v>
      </c>
      <c r="AA280">
        <v>44.1</v>
      </c>
      <c r="AB280">
        <v>0.06</v>
      </c>
      <c r="AC280" t="s">
        <v>108</v>
      </c>
      <c r="AD280">
        <v>1</v>
      </c>
      <c r="AE280">
        <v>2</v>
      </c>
      <c r="AF280">
        <v>1</v>
      </c>
      <c r="AG280">
        <v>1.089</v>
      </c>
      <c r="AH280">
        <v>0.4</v>
      </c>
      <c r="AI280">
        <v>5.1999999999999998E-2</v>
      </c>
    </row>
    <row r="281" spans="1:35" x14ac:dyDescent="0.25">
      <c r="A281">
        <v>259</v>
      </c>
      <c r="B281" t="s">
        <v>35</v>
      </c>
      <c r="C281">
        <v>3</v>
      </c>
      <c r="D281" t="s">
        <v>36</v>
      </c>
      <c r="E281">
        <v>2</v>
      </c>
      <c r="F281" t="s">
        <v>259</v>
      </c>
      <c r="G281">
        <v>2</v>
      </c>
      <c r="H281">
        <v>6</v>
      </c>
      <c r="I281">
        <v>1</v>
      </c>
      <c r="J281">
        <v>64</v>
      </c>
      <c r="K281">
        <v>60</v>
      </c>
      <c r="L281">
        <v>56</v>
      </c>
      <c r="M281">
        <v>2</v>
      </c>
      <c r="N281" t="s">
        <v>175</v>
      </c>
      <c r="O281" t="s">
        <v>151</v>
      </c>
      <c r="P281" t="s">
        <v>164</v>
      </c>
      <c r="Q281" t="s">
        <v>165</v>
      </c>
      <c r="R281" t="s">
        <v>174</v>
      </c>
      <c r="S281" t="s">
        <v>52</v>
      </c>
      <c r="T281" t="s">
        <v>166</v>
      </c>
      <c r="U281">
        <v>5</v>
      </c>
      <c r="V281" t="s">
        <v>86</v>
      </c>
      <c r="W281" t="s">
        <v>44</v>
      </c>
      <c r="X281" t="s">
        <v>95</v>
      </c>
      <c r="Y281">
        <v>1</v>
      </c>
      <c r="Z281">
        <v>4</v>
      </c>
      <c r="AA281">
        <v>44.1</v>
      </c>
      <c r="AB281">
        <v>3.9E-2</v>
      </c>
      <c r="AC281" t="s">
        <v>86</v>
      </c>
      <c r="AD281">
        <v>2</v>
      </c>
      <c r="AE281">
        <v>4</v>
      </c>
      <c r="AF281">
        <v>0</v>
      </c>
      <c r="AG281">
        <v>1.0189999999999999</v>
      </c>
      <c r="AH281">
        <v>0.3</v>
      </c>
      <c r="AI281">
        <v>0.05</v>
      </c>
    </row>
    <row r="282" spans="1:35" x14ac:dyDescent="0.25">
      <c r="A282">
        <v>259</v>
      </c>
      <c r="B282" t="s">
        <v>35</v>
      </c>
      <c r="C282">
        <v>3</v>
      </c>
      <c r="D282" t="s">
        <v>36</v>
      </c>
      <c r="E282">
        <v>2</v>
      </c>
      <c r="F282" t="s">
        <v>259</v>
      </c>
      <c r="G282">
        <v>2</v>
      </c>
      <c r="H282">
        <v>6</v>
      </c>
      <c r="I282">
        <v>1</v>
      </c>
      <c r="J282">
        <v>65</v>
      </c>
      <c r="K282">
        <v>66</v>
      </c>
      <c r="L282">
        <v>54</v>
      </c>
      <c r="M282">
        <v>2</v>
      </c>
      <c r="N282" t="s">
        <v>248</v>
      </c>
      <c r="O282" t="s">
        <v>151</v>
      </c>
      <c r="P282" t="s">
        <v>249</v>
      </c>
      <c r="Q282" t="s">
        <v>250</v>
      </c>
      <c r="R282" t="s">
        <v>154</v>
      </c>
      <c r="S282" t="s">
        <v>92</v>
      </c>
      <c r="T282" t="s">
        <v>68</v>
      </c>
      <c r="U282">
        <v>2</v>
      </c>
      <c r="V282" t="s">
        <v>183</v>
      </c>
      <c r="W282" t="s">
        <v>67</v>
      </c>
      <c r="X282" t="s">
        <v>116</v>
      </c>
      <c r="Y282">
        <v>2</v>
      </c>
      <c r="Z282">
        <v>4</v>
      </c>
      <c r="AA282">
        <v>44.1</v>
      </c>
      <c r="AB282">
        <v>2.1000000000000001E-2</v>
      </c>
      <c r="AC282" t="s">
        <v>183</v>
      </c>
      <c r="AD282">
        <v>3</v>
      </c>
      <c r="AE282">
        <v>4</v>
      </c>
      <c r="AF282">
        <v>0</v>
      </c>
      <c r="AG282">
        <v>2.645</v>
      </c>
      <c r="AH282">
        <v>0.4</v>
      </c>
      <c r="AI282">
        <v>1.9E-2</v>
      </c>
    </row>
    <row r="283" spans="1:35" x14ac:dyDescent="0.25">
      <c r="A283">
        <v>259</v>
      </c>
      <c r="B283" t="s">
        <v>35</v>
      </c>
      <c r="C283">
        <v>3</v>
      </c>
      <c r="D283" t="s">
        <v>36</v>
      </c>
      <c r="E283">
        <v>2</v>
      </c>
      <c r="F283" t="s">
        <v>259</v>
      </c>
      <c r="G283">
        <v>2</v>
      </c>
      <c r="H283">
        <v>6</v>
      </c>
      <c r="I283">
        <v>1</v>
      </c>
      <c r="J283">
        <v>66</v>
      </c>
      <c r="K283">
        <v>72</v>
      </c>
      <c r="L283">
        <v>22</v>
      </c>
      <c r="M283">
        <v>1</v>
      </c>
      <c r="N283" t="s">
        <v>241</v>
      </c>
      <c r="O283" t="s">
        <v>151</v>
      </c>
      <c r="P283" t="s">
        <v>242</v>
      </c>
      <c r="Q283" t="s">
        <v>243</v>
      </c>
      <c r="R283" t="s">
        <v>174</v>
      </c>
      <c r="S283" t="s">
        <v>52</v>
      </c>
      <c r="T283" t="s">
        <v>132</v>
      </c>
      <c r="U283">
        <v>5</v>
      </c>
      <c r="V283" t="s">
        <v>166</v>
      </c>
      <c r="W283" t="s">
        <v>131</v>
      </c>
      <c r="X283" t="s">
        <v>107</v>
      </c>
      <c r="Y283">
        <v>2</v>
      </c>
      <c r="Z283">
        <v>4</v>
      </c>
      <c r="AA283">
        <v>44.1</v>
      </c>
      <c r="AB283">
        <v>0.93899999999999995</v>
      </c>
      <c r="AC283" t="s">
        <v>107</v>
      </c>
      <c r="AD283">
        <v>4</v>
      </c>
      <c r="AE283">
        <v>2</v>
      </c>
      <c r="AF283">
        <v>0</v>
      </c>
      <c r="AG283">
        <v>1.516</v>
      </c>
      <c r="AH283">
        <v>0.26700000000000002</v>
      </c>
      <c r="AI283">
        <v>0.93100000000000005</v>
      </c>
    </row>
    <row r="284" spans="1:35" x14ac:dyDescent="0.25">
      <c r="A284">
        <v>259</v>
      </c>
      <c r="B284" t="s">
        <v>35</v>
      </c>
      <c r="C284">
        <v>3</v>
      </c>
      <c r="D284" t="s">
        <v>36</v>
      </c>
      <c r="E284">
        <v>2</v>
      </c>
      <c r="F284" t="s">
        <v>259</v>
      </c>
      <c r="G284">
        <v>2</v>
      </c>
      <c r="H284">
        <v>6</v>
      </c>
      <c r="I284">
        <v>1</v>
      </c>
      <c r="J284">
        <v>67</v>
      </c>
      <c r="K284">
        <v>51</v>
      </c>
      <c r="L284">
        <v>13</v>
      </c>
      <c r="M284">
        <v>1</v>
      </c>
      <c r="N284" t="s">
        <v>167</v>
      </c>
      <c r="O284" t="s">
        <v>151</v>
      </c>
      <c r="P284" t="s">
        <v>168</v>
      </c>
      <c r="Q284" t="s">
        <v>169</v>
      </c>
      <c r="R284" t="s">
        <v>170</v>
      </c>
      <c r="S284" t="s">
        <v>59</v>
      </c>
      <c r="T284" t="s">
        <v>96</v>
      </c>
      <c r="U284">
        <v>5</v>
      </c>
      <c r="V284" t="s">
        <v>141</v>
      </c>
      <c r="W284" t="s">
        <v>128</v>
      </c>
      <c r="X284" t="s">
        <v>85</v>
      </c>
      <c r="Y284">
        <v>1</v>
      </c>
      <c r="Z284">
        <v>4</v>
      </c>
      <c r="AA284">
        <v>44.1</v>
      </c>
      <c r="AB284">
        <v>4.2000000000000003E-2</v>
      </c>
      <c r="AC284" t="s">
        <v>96</v>
      </c>
      <c r="AD284">
        <v>1</v>
      </c>
      <c r="AE284">
        <v>5</v>
      </c>
      <c r="AF284">
        <v>1</v>
      </c>
      <c r="AG284">
        <v>1.952</v>
      </c>
      <c r="AH284">
        <v>0.41699999999999998</v>
      </c>
      <c r="AI284">
        <v>3.1E-2</v>
      </c>
    </row>
    <row r="285" spans="1:35" x14ac:dyDescent="0.25">
      <c r="A285">
        <v>259</v>
      </c>
      <c r="B285" t="s">
        <v>35</v>
      </c>
      <c r="C285">
        <v>3</v>
      </c>
      <c r="D285" t="s">
        <v>36</v>
      </c>
      <c r="E285">
        <v>2</v>
      </c>
      <c r="F285" t="s">
        <v>259</v>
      </c>
      <c r="G285">
        <v>2</v>
      </c>
      <c r="H285">
        <v>6</v>
      </c>
      <c r="I285">
        <v>1</v>
      </c>
      <c r="J285">
        <v>68</v>
      </c>
      <c r="K285">
        <v>64</v>
      </c>
      <c r="L285">
        <v>20</v>
      </c>
      <c r="M285">
        <v>1</v>
      </c>
      <c r="N285" t="s">
        <v>238</v>
      </c>
      <c r="O285" t="s">
        <v>151</v>
      </c>
      <c r="P285" t="s">
        <v>239</v>
      </c>
      <c r="Q285" t="s">
        <v>240</v>
      </c>
      <c r="R285" t="s">
        <v>160</v>
      </c>
      <c r="S285" t="s">
        <v>43</v>
      </c>
      <c r="T285" t="s">
        <v>82</v>
      </c>
      <c r="U285">
        <v>2</v>
      </c>
      <c r="V285" t="s">
        <v>211</v>
      </c>
      <c r="W285" t="s">
        <v>54</v>
      </c>
      <c r="X285" t="s">
        <v>130</v>
      </c>
      <c r="Y285">
        <v>1</v>
      </c>
      <c r="Z285">
        <v>4</v>
      </c>
      <c r="AA285">
        <v>44.1</v>
      </c>
      <c r="AB285">
        <v>6.0999999999999999E-2</v>
      </c>
      <c r="AC285" t="s">
        <v>54</v>
      </c>
      <c r="AD285">
        <v>4</v>
      </c>
      <c r="AE285">
        <v>1</v>
      </c>
      <c r="AF285">
        <v>0</v>
      </c>
      <c r="AG285">
        <v>2.359</v>
      </c>
      <c r="AH285">
        <v>0.33300000000000002</v>
      </c>
      <c r="AI285">
        <v>6.5000000000000002E-2</v>
      </c>
    </row>
    <row r="286" spans="1:35" x14ac:dyDescent="0.25">
      <c r="A286">
        <v>259</v>
      </c>
      <c r="B286" t="s">
        <v>35</v>
      </c>
      <c r="C286">
        <v>3</v>
      </c>
      <c r="D286" t="s">
        <v>36</v>
      </c>
      <c r="E286">
        <v>2</v>
      </c>
      <c r="F286" t="s">
        <v>259</v>
      </c>
      <c r="G286">
        <v>2</v>
      </c>
      <c r="H286">
        <v>6</v>
      </c>
      <c r="I286">
        <v>1</v>
      </c>
      <c r="J286">
        <v>69</v>
      </c>
      <c r="K286">
        <v>50</v>
      </c>
      <c r="L286">
        <v>60</v>
      </c>
      <c r="M286">
        <v>2</v>
      </c>
      <c r="N286" t="s">
        <v>157</v>
      </c>
      <c r="O286" t="s">
        <v>151</v>
      </c>
      <c r="P286" t="s">
        <v>158</v>
      </c>
      <c r="Q286" t="s">
        <v>159</v>
      </c>
      <c r="R286" t="s">
        <v>160</v>
      </c>
      <c r="S286" t="s">
        <v>43</v>
      </c>
      <c r="T286" t="s">
        <v>161</v>
      </c>
      <c r="U286">
        <v>4</v>
      </c>
      <c r="V286" t="s">
        <v>103</v>
      </c>
      <c r="W286" t="s">
        <v>149</v>
      </c>
      <c r="X286" t="s">
        <v>209</v>
      </c>
      <c r="Y286">
        <v>1</v>
      </c>
      <c r="Z286">
        <v>4</v>
      </c>
      <c r="AA286">
        <v>44.1</v>
      </c>
      <c r="AB286">
        <v>2.9000000000000001E-2</v>
      </c>
      <c r="AC286" t="s">
        <v>149</v>
      </c>
      <c r="AD286">
        <v>4</v>
      </c>
      <c r="AE286">
        <v>2</v>
      </c>
      <c r="AF286">
        <v>0</v>
      </c>
      <c r="AG286">
        <v>3.3279999999999998</v>
      </c>
      <c r="AH286">
        <v>0.5</v>
      </c>
      <c r="AI286">
        <v>2.8000000000000001E-2</v>
      </c>
    </row>
    <row r="287" spans="1:35" x14ac:dyDescent="0.25">
      <c r="A287">
        <v>259</v>
      </c>
      <c r="B287" t="s">
        <v>35</v>
      </c>
      <c r="C287">
        <v>3</v>
      </c>
      <c r="D287" t="s">
        <v>36</v>
      </c>
      <c r="E287">
        <v>2</v>
      </c>
      <c r="F287" t="s">
        <v>259</v>
      </c>
      <c r="G287">
        <v>2</v>
      </c>
      <c r="H287">
        <v>6</v>
      </c>
      <c r="I287">
        <v>1</v>
      </c>
      <c r="J287">
        <v>70</v>
      </c>
      <c r="K287">
        <v>67</v>
      </c>
      <c r="L287">
        <v>17</v>
      </c>
      <c r="M287">
        <v>1</v>
      </c>
      <c r="N287" t="s">
        <v>254</v>
      </c>
      <c r="O287" t="s">
        <v>151</v>
      </c>
      <c r="P287" t="s">
        <v>255</v>
      </c>
      <c r="Q287" t="s">
        <v>256</v>
      </c>
      <c r="R287" t="s">
        <v>174</v>
      </c>
      <c r="S287" t="s">
        <v>52</v>
      </c>
      <c r="T287" t="s">
        <v>47</v>
      </c>
      <c r="U287">
        <v>1</v>
      </c>
      <c r="V287" t="s">
        <v>110</v>
      </c>
      <c r="W287" t="s">
        <v>124</v>
      </c>
      <c r="X287" t="s">
        <v>106</v>
      </c>
      <c r="Y287">
        <v>1</v>
      </c>
      <c r="Z287">
        <v>4</v>
      </c>
      <c r="AA287">
        <v>44.1</v>
      </c>
      <c r="AB287">
        <v>0.08</v>
      </c>
      <c r="AC287" t="s">
        <v>124</v>
      </c>
      <c r="AD287">
        <v>4</v>
      </c>
      <c r="AE287">
        <v>4</v>
      </c>
      <c r="AF287">
        <v>0</v>
      </c>
      <c r="AG287">
        <v>2.7989999999999999</v>
      </c>
      <c r="AH287">
        <v>0.53400000000000003</v>
      </c>
      <c r="AI287">
        <v>7.5999999999999998E-2</v>
      </c>
    </row>
    <row r="288" spans="1:35" x14ac:dyDescent="0.25">
      <c r="A288">
        <v>259</v>
      </c>
      <c r="B288" t="s">
        <v>35</v>
      </c>
      <c r="C288">
        <v>3</v>
      </c>
      <c r="D288" t="s">
        <v>36</v>
      </c>
      <c r="E288">
        <v>2</v>
      </c>
      <c r="F288" t="s">
        <v>259</v>
      </c>
      <c r="G288">
        <v>2</v>
      </c>
      <c r="H288">
        <v>6</v>
      </c>
      <c r="I288">
        <v>1</v>
      </c>
      <c r="J288">
        <v>71</v>
      </c>
      <c r="K288">
        <v>53</v>
      </c>
      <c r="L288">
        <v>49</v>
      </c>
      <c r="M288">
        <v>2</v>
      </c>
      <c r="N288" t="s">
        <v>180</v>
      </c>
      <c r="O288" t="s">
        <v>151</v>
      </c>
      <c r="P288" t="s">
        <v>181</v>
      </c>
      <c r="Q288" t="s">
        <v>182</v>
      </c>
      <c r="R288" t="s">
        <v>154</v>
      </c>
      <c r="S288" t="s">
        <v>92</v>
      </c>
      <c r="T288" t="s">
        <v>183</v>
      </c>
      <c r="U288">
        <v>1</v>
      </c>
      <c r="V288" t="s">
        <v>187</v>
      </c>
      <c r="W288" t="s">
        <v>100</v>
      </c>
      <c r="X288" t="s">
        <v>45</v>
      </c>
      <c r="Y288">
        <v>1</v>
      </c>
      <c r="Z288">
        <v>4</v>
      </c>
      <c r="AA288">
        <v>44.1</v>
      </c>
      <c r="AB288">
        <v>5.1999999999999998E-2</v>
      </c>
      <c r="AC288" t="s">
        <v>45</v>
      </c>
      <c r="AD288">
        <v>4</v>
      </c>
      <c r="AE288">
        <v>4</v>
      </c>
      <c r="AF288">
        <v>0</v>
      </c>
      <c r="AG288">
        <v>2.5369999999999999</v>
      </c>
      <c r="AH288">
        <v>0.76700000000000002</v>
      </c>
      <c r="AI288">
        <v>4.5999999999999999E-2</v>
      </c>
    </row>
    <row r="289" spans="1:35" x14ac:dyDescent="0.25">
      <c r="A289">
        <v>259</v>
      </c>
      <c r="B289" t="s">
        <v>35</v>
      </c>
      <c r="C289">
        <v>3</v>
      </c>
      <c r="D289" t="s">
        <v>36</v>
      </c>
      <c r="E289">
        <v>2</v>
      </c>
      <c r="F289" t="s">
        <v>259</v>
      </c>
      <c r="G289">
        <v>2</v>
      </c>
      <c r="H289">
        <v>6</v>
      </c>
      <c r="I289">
        <v>1</v>
      </c>
      <c r="J289">
        <v>72</v>
      </c>
      <c r="K289">
        <v>70</v>
      </c>
      <c r="L289">
        <v>58</v>
      </c>
      <c r="M289">
        <v>2</v>
      </c>
      <c r="N289" t="s">
        <v>235</v>
      </c>
      <c r="O289" t="s">
        <v>151</v>
      </c>
      <c r="P289" t="s">
        <v>236</v>
      </c>
      <c r="Q289" t="s">
        <v>237</v>
      </c>
      <c r="R289" t="s">
        <v>160</v>
      </c>
      <c r="S289" t="s">
        <v>43</v>
      </c>
      <c r="T289" t="s">
        <v>55</v>
      </c>
      <c r="U289">
        <v>2</v>
      </c>
      <c r="V289" t="s">
        <v>108</v>
      </c>
      <c r="W289" t="s">
        <v>120</v>
      </c>
      <c r="X289" t="s">
        <v>66</v>
      </c>
      <c r="Y289">
        <v>2</v>
      </c>
      <c r="Z289">
        <v>4</v>
      </c>
      <c r="AA289">
        <v>44.1</v>
      </c>
      <c r="AB289">
        <v>2.1000000000000001E-2</v>
      </c>
      <c r="AC289" t="s">
        <v>120</v>
      </c>
      <c r="AD289">
        <v>4</v>
      </c>
      <c r="AE289">
        <v>5</v>
      </c>
      <c r="AF289">
        <v>0</v>
      </c>
      <c r="AG289">
        <v>1.9690000000000001</v>
      </c>
      <c r="AH289">
        <v>0.28299999999999997</v>
      </c>
      <c r="AI289">
        <v>1.0999999999999999E-2</v>
      </c>
    </row>
    <row r="290" spans="1:35" x14ac:dyDescent="0.25">
      <c r="A290">
        <v>259</v>
      </c>
      <c r="B290" t="s">
        <v>35</v>
      </c>
      <c r="C290">
        <v>3</v>
      </c>
      <c r="D290" t="s">
        <v>36</v>
      </c>
      <c r="E290">
        <v>2</v>
      </c>
      <c r="F290" t="s">
        <v>259</v>
      </c>
      <c r="G290">
        <v>2</v>
      </c>
      <c r="H290">
        <v>6</v>
      </c>
      <c r="I290">
        <v>2</v>
      </c>
      <c r="J290">
        <v>1</v>
      </c>
      <c r="K290">
        <v>20</v>
      </c>
      <c r="L290">
        <v>6</v>
      </c>
      <c r="M290">
        <v>1</v>
      </c>
      <c r="N290" t="s">
        <v>215</v>
      </c>
      <c r="O290" t="s">
        <v>39</v>
      </c>
      <c r="P290" t="s">
        <v>193</v>
      </c>
      <c r="Q290" t="s">
        <v>194</v>
      </c>
      <c r="R290" t="s">
        <v>42</v>
      </c>
      <c r="S290" t="s">
        <v>43</v>
      </c>
      <c r="T290" t="s">
        <v>185</v>
      </c>
      <c r="U290">
        <v>2</v>
      </c>
      <c r="V290" t="s">
        <v>144</v>
      </c>
      <c r="W290" t="s">
        <v>127</v>
      </c>
      <c r="X290" t="s">
        <v>146</v>
      </c>
      <c r="Y290">
        <v>1</v>
      </c>
      <c r="Z290">
        <v>1</v>
      </c>
      <c r="AA290">
        <v>44.1</v>
      </c>
      <c r="AB290">
        <v>0.13900000000000001</v>
      </c>
      <c r="AC290" t="s">
        <v>185</v>
      </c>
      <c r="AD290">
        <v>1</v>
      </c>
      <c r="AE290">
        <v>2</v>
      </c>
      <c r="AF290">
        <v>1</v>
      </c>
      <c r="AG290">
        <v>1.6839999999999999</v>
      </c>
      <c r="AH290">
        <v>3.036</v>
      </c>
      <c r="AI290">
        <v>0.13800000000000001</v>
      </c>
    </row>
    <row r="291" spans="1:35" x14ac:dyDescent="0.25">
      <c r="A291">
        <v>259</v>
      </c>
      <c r="B291" t="s">
        <v>35</v>
      </c>
      <c r="C291">
        <v>3</v>
      </c>
      <c r="D291" t="s">
        <v>36</v>
      </c>
      <c r="E291">
        <v>2</v>
      </c>
      <c r="F291" t="s">
        <v>259</v>
      </c>
      <c r="G291">
        <v>2</v>
      </c>
      <c r="H291">
        <v>6</v>
      </c>
      <c r="I291">
        <v>2</v>
      </c>
      <c r="J291">
        <v>2</v>
      </c>
      <c r="K291">
        <v>18</v>
      </c>
      <c r="L291">
        <v>42</v>
      </c>
      <c r="M291">
        <v>2</v>
      </c>
      <c r="N291" t="s">
        <v>216</v>
      </c>
      <c r="O291" t="s">
        <v>39</v>
      </c>
      <c r="P291" t="s">
        <v>199</v>
      </c>
      <c r="Q291" t="s">
        <v>200</v>
      </c>
      <c r="R291" t="s">
        <v>91</v>
      </c>
      <c r="S291" t="s">
        <v>92</v>
      </c>
      <c r="T291" t="s">
        <v>98</v>
      </c>
      <c r="U291">
        <v>2</v>
      </c>
      <c r="V291" t="s">
        <v>138</v>
      </c>
      <c r="W291" t="s">
        <v>132</v>
      </c>
      <c r="X291" t="s">
        <v>128</v>
      </c>
      <c r="Y291">
        <v>1</v>
      </c>
      <c r="Z291">
        <v>1</v>
      </c>
      <c r="AA291">
        <v>44.1</v>
      </c>
      <c r="AB291">
        <v>3.2000000000000001E-2</v>
      </c>
      <c r="AC291" t="s">
        <v>132</v>
      </c>
      <c r="AD291">
        <v>4</v>
      </c>
      <c r="AE291">
        <v>4</v>
      </c>
      <c r="AF291">
        <v>0</v>
      </c>
      <c r="AG291">
        <v>1.675</v>
      </c>
      <c r="AH291">
        <v>1.401</v>
      </c>
      <c r="AI291">
        <v>3.4000000000000002E-2</v>
      </c>
    </row>
    <row r="292" spans="1:35" x14ac:dyDescent="0.25">
      <c r="A292">
        <v>259</v>
      </c>
      <c r="B292" t="s">
        <v>35</v>
      </c>
      <c r="C292">
        <v>3</v>
      </c>
      <c r="D292" t="s">
        <v>36</v>
      </c>
      <c r="E292">
        <v>2</v>
      </c>
      <c r="F292" t="s">
        <v>259</v>
      </c>
      <c r="G292">
        <v>2</v>
      </c>
      <c r="H292">
        <v>6</v>
      </c>
      <c r="I292">
        <v>2</v>
      </c>
      <c r="J292">
        <v>3</v>
      </c>
      <c r="K292">
        <v>8</v>
      </c>
      <c r="L292">
        <v>40</v>
      </c>
      <c r="M292">
        <v>2</v>
      </c>
      <c r="N292" t="s">
        <v>84</v>
      </c>
      <c r="O292" t="s">
        <v>39</v>
      </c>
      <c r="P292" t="s">
        <v>64</v>
      </c>
      <c r="Q292" t="s">
        <v>65</v>
      </c>
      <c r="R292" t="s">
        <v>42</v>
      </c>
      <c r="S292" t="s">
        <v>43</v>
      </c>
      <c r="T292" t="s">
        <v>67</v>
      </c>
      <c r="U292">
        <v>5</v>
      </c>
      <c r="V292" t="s">
        <v>85</v>
      </c>
      <c r="W292" t="s">
        <v>86</v>
      </c>
      <c r="X292" t="s">
        <v>87</v>
      </c>
      <c r="Y292">
        <v>2</v>
      </c>
      <c r="Z292">
        <v>1</v>
      </c>
      <c r="AA292">
        <v>44.1</v>
      </c>
      <c r="AB292">
        <v>0.19</v>
      </c>
      <c r="AC292" t="s">
        <v>86</v>
      </c>
      <c r="AD292">
        <v>4</v>
      </c>
      <c r="AE292">
        <v>2</v>
      </c>
      <c r="AF292">
        <v>0</v>
      </c>
      <c r="AG292">
        <v>2.38</v>
      </c>
      <c r="AH292">
        <v>0.11700000000000001</v>
      </c>
      <c r="AI292">
        <v>0.19</v>
      </c>
    </row>
    <row r="293" spans="1:35" x14ac:dyDescent="0.25">
      <c r="A293">
        <v>259</v>
      </c>
      <c r="B293" t="s">
        <v>35</v>
      </c>
      <c r="C293">
        <v>3</v>
      </c>
      <c r="D293" t="s">
        <v>36</v>
      </c>
      <c r="E293">
        <v>2</v>
      </c>
      <c r="F293" t="s">
        <v>259</v>
      </c>
      <c r="G293">
        <v>2</v>
      </c>
      <c r="H293">
        <v>6</v>
      </c>
      <c r="I293">
        <v>2</v>
      </c>
      <c r="J293">
        <v>4</v>
      </c>
      <c r="K293">
        <v>3</v>
      </c>
      <c r="L293">
        <v>1</v>
      </c>
      <c r="M293">
        <v>1</v>
      </c>
      <c r="N293" t="s">
        <v>70</v>
      </c>
      <c r="O293" t="s">
        <v>39</v>
      </c>
      <c r="P293" t="s">
        <v>71</v>
      </c>
      <c r="Q293" t="s">
        <v>72</v>
      </c>
      <c r="R293" t="s">
        <v>58</v>
      </c>
      <c r="S293" t="s">
        <v>59</v>
      </c>
      <c r="T293" t="s">
        <v>73</v>
      </c>
      <c r="U293">
        <v>1</v>
      </c>
      <c r="V293" t="s">
        <v>60</v>
      </c>
      <c r="W293" t="s">
        <v>74</v>
      </c>
      <c r="X293" t="s">
        <v>75</v>
      </c>
      <c r="Y293">
        <v>2</v>
      </c>
      <c r="Z293">
        <v>1</v>
      </c>
      <c r="AA293">
        <v>44.1</v>
      </c>
      <c r="AB293">
        <v>4.1000000000000002E-2</v>
      </c>
      <c r="AC293" t="s">
        <v>60</v>
      </c>
      <c r="AD293">
        <v>3</v>
      </c>
      <c r="AE293">
        <v>2</v>
      </c>
      <c r="AF293">
        <v>0</v>
      </c>
      <c r="AG293">
        <v>2.278</v>
      </c>
      <c r="AH293">
        <v>0.28299999999999997</v>
      </c>
      <c r="AI293">
        <v>4.8000000000000001E-2</v>
      </c>
    </row>
    <row r="294" spans="1:35" x14ac:dyDescent="0.25">
      <c r="A294">
        <v>259</v>
      </c>
      <c r="B294" t="s">
        <v>35</v>
      </c>
      <c r="C294">
        <v>3</v>
      </c>
      <c r="D294" t="s">
        <v>36</v>
      </c>
      <c r="E294">
        <v>2</v>
      </c>
      <c r="F294" t="s">
        <v>259</v>
      </c>
      <c r="G294">
        <v>2</v>
      </c>
      <c r="H294">
        <v>6</v>
      </c>
      <c r="I294">
        <v>2</v>
      </c>
      <c r="J294">
        <v>5</v>
      </c>
      <c r="K294">
        <v>21</v>
      </c>
      <c r="L294">
        <v>45</v>
      </c>
      <c r="M294">
        <v>2</v>
      </c>
      <c r="N294" t="s">
        <v>210</v>
      </c>
      <c r="O294" t="s">
        <v>39</v>
      </c>
      <c r="P294" t="s">
        <v>190</v>
      </c>
      <c r="Q294" t="s">
        <v>191</v>
      </c>
      <c r="R294" t="s">
        <v>51</v>
      </c>
      <c r="S294" t="s">
        <v>52</v>
      </c>
      <c r="T294" t="s">
        <v>149</v>
      </c>
      <c r="U294">
        <v>2</v>
      </c>
      <c r="V294" t="s">
        <v>79</v>
      </c>
      <c r="W294" t="s">
        <v>211</v>
      </c>
      <c r="X294" t="s">
        <v>120</v>
      </c>
      <c r="Y294">
        <v>2</v>
      </c>
      <c r="Z294">
        <v>1</v>
      </c>
      <c r="AA294">
        <v>44.1</v>
      </c>
      <c r="AB294">
        <v>2E-3</v>
      </c>
      <c r="AC294" t="s">
        <v>149</v>
      </c>
      <c r="AD294">
        <v>1</v>
      </c>
      <c r="AE294">
        <v>2</v>
      </c>
      <c r="AF294">
        <v>1</v>
      </c>
      <c r="AG294">
        <v>2.758</v>
      </c>
      <c r="AH294">
        <v>0.35</v>
      </c>
      <c r="AI294">
        <v>8.0000000000000002E-3</v>
      </c>
    </row>
    <row r="295" spans="1:35" x14ac:dyDescent="0.25">
      <c r="A295">
        <v>259</v>
      </c>
      <c r="B295" t="s">
        <v>35</v>
      </c>
      <c r="C295">
        <v>3</v>
      </c>
      <c r="D295" t="s">
        <v>36</v>
      </c>
      <c r="E295">
        <v>2</v>
      </c>
      <c r="F295" t="s">
        <v>259</v>
      </c>
      <c r="G295">
        <v>2</v>
      </c>
      <c r="H295">
        <v>6</v>
      </c>
      <c r="I295">
        <v>2</v>
      </c>
      <c r="J295">
        <v>6</v>
      </c>
      <c r="K295">
        <v>19</v>
      </c>
      <c r="L295">
        <v>5</v>
      </c>
      <c r="M295">
        <v>1</v>
      </c>
      <c r="N295" t="s">
        <v>192</v>
      </c>
      <c r="O295" t="s">
        <v>39</v>
      </c>
      <c r="P295" t="s">
        <v>193</v>
      </c>
      <c r="Q295" t="s">
        <v>194</v>
      </c>
      <c r="R295" t="s">
        <v>51</v>
      </c>
      <c r="S295" t="s">
        <v>52</v>
      </c>
      <c r="T295" t="s">
        <v>144</v>
      </c>
      <c r="U295">
        <v>2</v>
      </c>
      <c r="V295" t="s">
        <v>53</v>
      </c>
      <c r="W295" t="s">
        <v>116</v>
      </c>
      <c r="X295" t="s">
        <v>161</v>
      </c>
      <c r="Y295">
        <v>2</v>
      </c>
      <c r="Z295">
        <v>1</v>
      </c>
      <c r="AA295">
        <v>44.1</v>
      </c>
      <c r="AB295">
        <v>1.2999999999999999E-2</v>
      </c>
      <c r="AC295" t="s">
        <v>116</v>
      </c>
      <c r="AD295">
        <v>4</v>
      </c>
      <c r="AE295">
        <v>4</v>
      </c>
      <c r="AF295">
        <v>0</v>
      </c>
      <c r="AG295">
        <v>2.835</v>
      </c>
      <c r="AH295">
        <v>0.38400000000000001</v>
      </c>
      <c r="AI295">
        <v>2E-3</v>
      </c>
    </row>
    <row r="296" spans="1:35" x14ac:dyDescent="0.25">
      <c r="A296">
        <v>259</v>
      </c>
      <c r="B296" t="s">
        <v>35</v>
      </c>
      <c r="C296">
        <v>3</v>
      </c>
      <c r="D296" t="s">
        <v>36</v>
      </c>
      <c r="E296">
        <v>2</v>
      </c>
      <c r="F296" t="s">
        <v>259</v>
      </c>
      <c r="G296">
        <v>2</v>
      </c>
      <c r="H296">
        <v>6</v>
      </c>
      <c r="I296">
        <v>2</v>
      </c>
      <c r="J296">
        <v>7</v>
      </c>
      <c r="K296">
        <v>12</v>
      </c>
      <c r="L296">
        <v>44</v>
      </c>
      <c r="M296">
        <v>2</v>
      </c>
      <c r="N296" t="s">
        <v>76</v>
      </c>
      <c r="O296" t="s">
        <v>39</v>
      </c>
      <c r="P296" t="s">
        <v>77</v>
      </c>
      <c r="Q296" t="s">
        <v>78</v>
      </c>
      <c r="R296" t="s">
        <v>51</v>
      </c>
      <c r="S296" t="s">
        <v>52</v>
      </c>
      <c r="T296" t="s">
        <v>79</v>
      </c>
      <c r="U296">
        <v>1</v>
      </c>
      <c r="V296" t="s">
        <v>80</v>
      </c>
      <c r="W296" t="s">
        <v>81</v>
      </c>
      <c r="X296" t="s">
        <v>82</v>
      </c>
      <c r="Y296">
        <v>1</v>
      </c>
      <c r="Z296">
        <v>1</v>
      </c>
      <c r="AA296">
        <v>44.1</v>
      </c>
      <c r="AB296">
        <v>4.2000000000000003E-2</v>
      </c>
      <c r="AC296" t="s">
        <v>81</v>
      </c>
      <c r="AD296">
        <v>4</v>
      </c>
      <c r="AE296">
        <v>2</v>
      </c>
      <c r="AF296">
        <v>0</v>
      </c>
      <c r="AG296">
        <v>2.339</v>
      </c>
      <c r="AH296">
        <v>0.35</v>
      </c>
      <c r="AI296">
        <v>4.7E-2</v>
      </c>
    </row>
    <row r="297" spans="1:35" x14ac:dyDescent="0.25">
      <c r="A297">
        <v>259</v>
      </c>
      <c r="B297" t="s">
        <v>35</v>
      </c>
      <c r="C297">
        <v>3</v>
      </c>
      <c r="D297" t="s">
        <v>36</v>
      </c>
      <c r="E297">
        <v>2</v>
      </c>
      <c r="F297" t="s">
        <v>259</v>
      </c>
      <c r="G297">
        <v>2</v>
      </c>
      <c r="H297">
        <v>6</v>
      </c>
      <c r="I297">
        <v>2</v>
      </c>
      <c r="J297">
        <v>8</v>
      </c>
      <c r="K297">
        <v>10</v>
      </c>
      <c r="L297">
        <v>4</v>
      </c>
      <c r="M297">
        <v>1</v>
      </c>
      <c r="N297" t="s">
        <v>101</v>
      </c>
      <c r="O297" t="s">
        <v>39</v>
      </c>
      <c r="P297" t="s">
        <v>89</v>
      </c>
      <c r="Q297" t="s">
        <v>90</v>
      </c>
      <c r="R297" t="s">
        <v>51</v>
      </c>
      <c r="S297" t="s">
        <v>52</v>
      </c>
      <c r="T297" t="s">
        <v>102</v>
      </c>
      <c r="U297">
        <v>4</v>
      </c>
      <c r="V297" t="s">
        <v>93</v>
      </c>
      <c r="W297" t="s">
        <v>103</v>
      </c>
      <c r="X297" t="s">
        <v>104</v>
      </c>
      <c r="Y297">
        <v>1</v>
      </c>
      <c r="Z297">
        <v>1</v>
      </c>
      <c r="AA297">
        <v>44.1</v>
      </c>
      <c r="AB297">
        <v>1.04</v>
      </c>
      <c r="AC297" t="s">
        <v>102</v>
      </c>
      <c r="AD297">
        <v>1</v>
      </c>
      <c r="AE297">
        <v>4</v>
      </c>
      <c r="AF297">
        <v>1</v>
      </c>
      <c r="AG297">
        <v>1.889</v>
      </c>
      <c r="AH297">
        <v>0.2</v>
      </c>
      <c r="AI297">
        <v>1.038</v>
      </c>
    </row>
    <row r="298" spans="1:35" x14ac:dyDescent="0.25">
      <c r="A298">
        <v>259</v>
      </c>
      <c r="B298" t="s">
        <v>35</v>
      </c>
      <c r="C298">
        <v>3</v>
      </c>
      <c r="D298" t="s">
        <v>36</v>
      </c>
      <c r="E298">
        <v>2</v>
      </c>
      <c r="F298" t="s">
        <v>259</v>
      </c>
      <c r="G298">
        <v>2</v>
      </c>
      <c r="H298">
        <v>6</v>
      </c>
      <c r="I298">
        <v>2</v>
      </c>
      <c r="J298">
        <v>9</v>
      </c>
      <c r="K298">
        <v>15</v>
      </c>
      <c r="L298">
        <v>7</v>
      </c>
      <c r="M298">
        <v>1</v>
      </c>
      <c r="N298" t="s">
        <v>205</v>
      </c>
      <c r="O298" t="s">
        <v>39</v>
      </c>
      <c r="P298" t="s">
        <v>196</v>
      </c>
      <c r="Q298" t="s">
        <v>197</v>
      </c>
      <c r="R298" t="s">
        <v>58</v>
      </c>
      <c r="S298" t="s">
        <v>59</v>
      </c>
      <c r="T298" t="s">
        <v>156</v>
      </c>
      <c r="U298">
        <v>4</v>
      </c>
      <c r="V298" t="s">
        <v>147</v>
      </c>
      <c r="W298" t="s">
        <v>130</v>
      </c>
      <c r="X298" t="s">
        <v>166</v>
      </c>
      <c r="Y298">
        <v>2</v>
      </c>
      <c r="Z298">
        <v>1</v>
      </c>
      <c r="AA298">
        <v>44.1</v>
      </c>
      <c r="AB298">
        <v>3.1E-2</v>
      </c>
      <c r="AC298" t="s">
        <v>147</v>
      </c>
      <c r="AD298">
        <v>3</v>
      </c>
      <c r="AE298">
        <v>2</v>
      </c>
      <c r="AF298">
        <v>0</v>
      </c>
      <c r="AG298">
        <v>1.3129999999999999</v>
      </c>
      <c r="AH298">
        <v>0.53400000000000003</v>
      </c>
      <c r="AI298">
        <v>2.3E-2</v>
      </c>
    </row>
    <row r="299" spans="1:35" x14ac:dyDescent="0.25">
      <c r="A299">
        <v>259</v>
      </c>
      <c r="B299" t="s">
        <v>35</v>
      </c>
      <c r="C299">
        <v>3</v>
      </c>
      <c r="D299" t="s">
        <v>36</v>
      </c>
      <c r="E299">
        <v>2</v>
      </c>
      <c r="F299" t="s">
        <v>259</v>
      </c>
      <c r="G299">
        <v>2</v>
      </c>
      <c r="H299">
        <v>6</v>
      </c>
      <c r="I299">
        <v>2</v>
      </c>
      <c r="J299">
        <v>10</v>
      </c>
      <c r="K299">
        <v>6</v>
      </c>
      <c r="L299">
        <v>38</v>
      </c>
      <c r="M299">
        <v>2</v>
      </c>
      <c r="N299" t="s">
        <v>48</v>
      </c>
      <c r="O299" t="s">
        <v>39</v>
      </c>
      <c r="P299" t="s">
        <v>49</v>
      </c>
      <c r="Q299" t="s">
        <v>50</v>
      </c>
      <c r="R299" t="s">
        <v>51</v>
      </c>
      <c r="S299" t="s">
        <v>52</v>
      </c>
      <c r="T299" t="s">
        <v>53</v>
      </c>
      <c r="U299">
        <v>2</v>
      </c>
      <c r="V299" t="s">
        <v>54</v>
      </c>
      <c r="W299" t="s">
        <v>55</v>
      </c>
      <c r="X299" t="s">
        <v>56</v>
      </c>
      <c r="Y299">
        <v>1</v>
      </c>
      <c r="Z299">
        <v>1</v>
      </c>
      <c r="AA299">
        <v>44.1</v>
      </c>
      <c r="AB299">
        <v>3.1E-2</v>
      </c>
      <c r="AC299" t="s">
        <v>53</v>
      </c>
      <c r="AD299">
        <v>1</v>
      </c>
      <c r="AE299">
        <v>2</v>
      </c>
      <c r="AF299">
        <v>1</v>
      </c>
      <c r="AG299">
        <v>1.5229999999999999</v>
      </c>
      <c r="AH299">
        <v>0.317</v>
      </c>
      <c r="AI299">
        <v>2.4E-2</v>
      </c>
    </row>
    <row r="300" spans="1:35" x14ac:dyDescent="0.25">
      <c r="A300">
        <v>259</v>
      </c>
      <c r="B300" t="s">
        <v>35</v>
      </c>
      <c r="C300">
        <v>3</v>
      </c>
      <c r="D300" t="s">
        <v>36</v>
      </c>
      <c r="E300">
        <v>2</v>
      </c>
      <c r="F300" t="s">
        <v>259</v>
      </c>
      <c r="G300">
        <v>2</v>
      </c>
      <c r="H300">
        <v>6</v>
      </c>
      <c r="I300">
        <v>2</v>
      </c>
      <c r="J300">
        <v>11</v>
      </c>
      <c r="K300">
        <v>2</v>
      </c>
      <c r="L300">
        <v>48</v>
      </c>
      <c r="M300">
        <v>2</v>
      </c>
      <c r="N300" t="s">
        <v>38</v>
      </c>
      <c r="O300" t="s">
        <v>39</v>
      </c>
      <c r="P300" t="s">
        <v>40</v>
      </c>
      <c r="Q300" t="s">
        <v>41</v>
      </c>
      <c r="R300" t="s">
        <v>42</v>
      </c>
      <c r="S300" t="s">
        <v>43</v>
      </c>
      <c r="T300" t="s">
        <v>44</v>
      </c>
      <c r="U300">
        <v>1</v>
      </c>
      <c r="V300" t="s">
        <v>45</v>
      </c>
      <c r="W300" t="s">
        <v>46</v>
      </c>
      <c r="X300" t="s">
        <v>47</v>
      </c>
      <c r="Y300">
        <v>2</v>
      </c>
      <c r="Z300">
        <v>1</v>
      </c>
      <c r="AA300">
        <v>44.1</v>
      </c>
      <c r="AB300">
        <v>1.4E-2</v>
      </c>
      <c r="AC300" t="s">
        <v>45</v>
      </c>
      <c r="AD300">
        <v>3</v>
      </c>
      <c r="AE300">
        <v>2</v>
      </c>
      <c r="AF300">
        <v>0</v>
      </c>
      <c r="AG300">
        <v>1.4670000000000001</v>
      </c>
      <c r="AH300">
        <v>0.33300000000000002</v>
      </c>
      <c r="AI300">
        <v>1.4999999999999999E-2</v>
      </c>
    </row>
    <row r="301" spans="1:35" x14ac:dyDescent="0.25">
      <c r="A301">
        <v>259</v>
      </c>
      <c r="B301" t="s">
        <v>35</v>
      </c>
      <c r="C301">
        <v>3</v>
      </c>
      <c r="D301" t="s">
        <v>36</v>
      </c>
      <c r="E301">
        <v>2</v>
      </c>
      <c r="F301" t="s">
        <v>259</v>
      </c>
      <c r="G301">
        <v>2</v>
      </c>
      <c r="H301">
        <v>6</v>
      </c>
      <c r="I301">
        <v>2</v>
      </c>
      <c r="J301">
        <v>12</v>
      </c>
      <c r="K301">
        <v>9</v>
      </c>
      <c r="L301">
        <v>3</v>
      </c>
      <c r="M301">
        <v>1</v>
      </c>
      <c r="N301" t="s">
        <v>88</v>
      </c>
      <c r="O301" t="s">
        <v>39</v>
      </c>
      <c r="P301" t="s">
        <v>89</v>
      </c>
      <c r="Q301" t="s">
        <v>90</v>
      </c>
      <c r="R301" t="s">
        <v>91</v>
      </c>
      <c r="S301" t="s">
        <v>92</v>
      </c>
      <c r="T301" t="s">
        <v>93</v>
      </c>
      <c r="U301">
        <v>2</v>
      </c>
      <c r="V301" t="s">
        <v>94</v>
      </c>
      <c r="W301" t="s">
        <v>95</v>
      </c>
      <c r="X301" t="s">
        <v>96</v>
      </c>
      <c r="Y301">
        <v>2</v>
      </c>
      <c r="Z301">
        <v>1</v>
      </c>
      <c r="AA301">
        <v>44.1</v>
      </c>
      <c r="AB301">
        <v>0.96899999999999997</v>
      </c>
      <c r="AC301" t="s">
        <v>95</v>
      </c>
      <c r="AD301">
        <v>4</v>
      </c>
      <c r="AE301">
        <v>5</v>
      </c>
      <c r="AF301">
        <v>0</v>
      </c>
      <c r="AG301">
        <v>2.2130000000000001</v>
      </c>
      <c r="AH301">
        <v>0.55000000000000004</v>
      </c>
      <c r="AI301">
        <v>0.96699999999999997</v>
      </c>
    </row>
    <row r="302" spans="1:35" x14ac:dyDescent="0.25">
      <c r="A302">
        <v>259</v>
      </c>
      <c r="B302" t="s">
        <v>35</v>
      </c>
      <c r="C302">
        <v>3</v>
      </c>
      <c r="D302" t="s">
        <v>36</v>
      </c>
      <c r="E302">
        <v>2</v>
      </c>
      <c r="F302" t="s">
        <v>259</v>
      </c>
      <c r="G302">
        <v>2</v>
      </c>
      <c r="H302">
        <v>6</v>
      </c>
      <c r="I302">
        <v>2</v>
      </c>
      <c r="J302">
        <v>13</v>
      </c>
      <c r="K302">
        <v>24</v>
      </c>
      <c r="L302">
        <v>10</v>
      </c>
      <c r="M302">
        <v>1</v>
      </c>
      <c r="N302" t="s">
        <v>201</v>
      </c>
      <c r="O302" t="s">
        <v>39</v>
      </c>
      <c r="P302" t="s">
        <v>202</v>
      </c>
      <c r="Q302" t="s">
        <v>203</v>
      </c>
      <c r="R302" t="s">
        <v>51</v>
      </c>
      <c r="S302" t="s">
        <v>52</v>
      </c>
      <c r="T302" t="s">
        <v>172</v>
      </c>
      <c r="U302">
        <v>1</v>
      </c>
      <c r="V302" t="s">
        <v>102</v>
      </c>
      <c r="W302" t="s">
        <v>162</v>
      </c>
      <c r="X302" t="s">
        <v>204</v>
      </c>
      <c r="Y302">
        <v>2</v>
      </c>
      <c r="Z302">
        <v>1</v>
      </c>
      <c r="AA302">
        <v>44.1</v>
      </c>
      <c r="AB302">
        <v>4.1000000000000002E-2</v>
      </c>
      <c r="AC302" t="s">
        <v>204</v>
      </c>
      <c r="AD302">
        <v>4</v>
      </c>
      <c r="AE302">
        <v>5</v>
      </c>
      <c r="AF302">
        <v>0</v>
      </c>
      <c r="AG302">
        <v>1.105</v>
      </c>
      <c r="AH302">
        <v>0.16700000000000001</v>
      </c>
      <c r="AI302">
        <v>3.4000000000000002E-2</v>
      </c>
    </row>
    <row r="303" spans="1:35" x14ac:dyDescent="0.25">
      <c r="A303">
        <v>259</v>
      </c>
      <c r="B303" t="s">
        <v>35</v>
      </c>
      <c r="C303">
        <v>3</v>
      </c>
      <c r="D303" t="s">
        <v>36</v>
      </c>
      <c r="E303">
        <v>2</v>
      </c>
      <c r="F303" t="s">
        <v>259</v>
      </c>
      <c r="G303">
        <v>2</v>
      </c>
      <c r="H303">
        <v>6</v>
      </c>
      <c r="I303">
        <v>2</v>
      </c>
      <c r="J303">
        <v>14</v>
      </c>
      <c r="K303">
        <v>13</v>
      </c>
      <c r="L303">
        <v>11</v>
      </c>
      <c r="M303">
        <v>1</v>
      </c>
      <c r="N303" t="s">
        <v>213</v>
      </c>
      <c r="O303" t="s">
        <v>39</v>
      </c>
      <c r="P303" t="s">
        <v>207</v>
      </c>
      <c r="Q303" t="s">
        <v>208</v>
      </c>
      <c r="R303" t="s">
        <v>91</v>
      </c>
      <c r="S303" t="s">
        <v>92</v>
      </c>
      <c r="T303" t="s">
        <v>106</v>
      </c>
      <c r="U303">
        <v>5</v>
      </c>
      <c r="V303" t="s">
        <v>131</v>
      </c>
      <c r="W303" t="s">
        <v>187</v>
      </c>
      <c r="X303" t="s">
        <v>214</v>
      </c>
      <c r="Y303">
        <v>1</v>
      </c>
      <c r="Z303">
        <v>1</v>
      </c>
      <c r="AA303">
        <v>44.1</v>
      </c>
      <c r="AB303">
        <v>0.79100000000000004</v>
      </c>
      <c r="AC303" t="s">
        <v>106</v>
      </c>
      <c r="AD303">
        <v>1</v>
      </c>
      <c r="AE303">
        <v>5</v>
      </c>
      <c r="AF303">
        <v>1</v>
      </c>
      <c r="AG303">
        <v>1.1399999999999999</v>
      </c>
      <c r="AH303">
        <v>0.3</v>
      </c>
      <c r="AI303">
        <v>0.78</v>
      </c>
    </row>
    <row r="304" spans="1:35" x14ac:dyDescent="0.25">
      <c r="A304">
        <v>259</v>
      </c>
      <c r="B304" t="s">
        <v>35</v>
      </c>
      <c r="C304">
        <v>3</v>
      </c>
      <c r="D304" t="s">
        <v>36</v>
      </c>
      <c r="E304">
        <v>2</v>
      </c>
      <c r="F304" t="s">
        <v>259</v>
      </c>
      <c r="G304">
        <v>2</v>
      </c>
      <c r="H304">
        <v>6</v>
      </c>
      <c r="I304">
        <v>2</v>
      </c>
      <c r="J304">
        <v>15</v>
      </c>
      <c r="K304">
        <v>7</v>
      </c>
      <c r="L304">
        <v>39</v>
      </c>
      <c r="M304">
        <v>2</v>
      </c>
      <c r="N304" t="s">
        <v>63</v>
      </c>
      <c r="O304" t="s">
        <v>39</v>
      </c>
      <c r="P304" t="s">
        <v>64</v>
      </c>
      <c r="Q304" t="s">
        <v>65</v>
      </c>
      <c r="R304" t="s">
        <v>58</v>
      </c>
      <c r="S304" t="s">
        <v>59</v>
      </c>
      <c r="T304" t="s">
        <v>66</v>
      </c>
      <c r="U304">
        <v>1</v>
      </c>
      <c r="V304" t="s">
        <v>67</v>
      </c>
      <c r="W304" t="s">
        <v>68</v>
      </c>
      <c r="X304" t="s">
        <v>69</v>
      </c>
      <c r="Y304">
        <v>1</v>
      </c>
      <c r="Z304">
        <v>1</v>
      </c>
      <c r="AA304">
        <v>44.1</v>
      </c>
      <c r="AB304">
        <v>1.099</v>
      </c>
      <c r="AC304" t="s">
        <v>68</v>
      </c>
      <c r="AD304">
        <v>4</v>
      </c>
      <c r="AE304">
        <v>4</v>
      </c>
      <c r="AF304">
        <v>0</v>
      </c>
      <c r="AG304">
        <v>1.077</v>
      </c>
      <c r="AH304">
        <v>0.26700000000000002</v>
      </c>
      <c r="AI304">
        <v>1.091</v>
      </c>
    </row>
    <row r="305" spans="1:35" x14ac:dyDescent="0.25">
      <c r="A305">
        <v>259</v>
      </c>
      <c r="B305" t="s">
        <v>35</v>
      </c>
      <c r="C305">
        <v>3</v>
      </c>
      <c r="D305" t="s">
        <v>36</v>
      </c>
      <c r="E305">
        <v>2</v>
      </c>
      <c r="F305" t="s">
        <v>259</v>
      </c>
      <c r="G305">
        <v>2</v>
      </c>
      <c r="H305">
        <v>6</v>
      </c>
      <c r="I305">
        <v>2</v>
      </c>
      <c r="J305">
        <v>16</v>
      </c>
      <c r="K305">
        <v>1</v>
      </c>
      <c r="L305">
        <v>47</v>
      </c>
      <c r="M305">
        <v>2</v>
      </c>
      <c r="N305" t="s">
        <v>57</v>
      </c>
      <c r="O305" t="s">
        <v>39</v>
      </c>
      <c r="P305" t="s">
        <v>40</v>
      </c>
      <c r="Q305" t="s">
        <v>41</v>
      </c>
      <c r="R305" t="s">
        <v>58</v>
      </c>
      <c r="S305" t="s">
        <v>59</v>
      </c>
      <c r="T305" t="s">
        <v>60</v>
      </c>
      <c r="U305">
        <v>1</v>
      </c>
      <c r="V305" t="s">
        <v>44</v>
      </c>
      <c r="W305" t="s">
        <v>61</v>
      </c>
      <c r="X305" t="s">
        <v>62</v>
      </c>
      <c r="Y305">
        <v>1</v>
      </c>
      <c r="Z305">
        <v>1</v>
      </c>
      <c r="AA305">
        <v>44.1</v>
      </c>
      <c r="AB305">
        <v>7.1999999999999995E-2</v>
      </c>
      <c r="AC305" t="s">
        <v>61</v>
      </c>
      <c r="AD305">
        <v>4</v>
      </c>
      <c r="AE305">
        <v>4</v>
      </c>
      <c r="AF305">
        <v>0</v>
      </c>
      <c r="AG305">
        <v>2.0059999999999998</v>
      </c>
      <c r="AH305">
        <v>0.183</v>
      </c>
      <c r="AI305">
        <v>7.9000000000000001E-2</v>
      </c>
    </row>
    <row r="306" spans="1:35" x14ac:dyDescent="0.25">
      <c r="A306">
        <v>259</v>
      </c>
      <c r="B306" t="s">
        <v>35</v>
      </c>
      <c r="C306">
        <v>3</v>
      </c>
      <c r="D306" t="s">
        <v>36</v>
      </c>
      <c r="E306">
        <v>2</v>
      </c>
      <c r="F306" t="s">
        <v>259</v>
      </c>
      <c r="G306">
        <v>2</v>
      </c>
      <c r="H306">
        <v>6</v>
      </c>
      <c r="I306">
        <v>2</v>
      </c>
      <c r="J306">
        <v>17</v>
      </c>
      <c r="K306">
        <v>17</v>
      </c>
      <c r="L306">
        <v>41</v>
      </c>
      <c r="M306">
        <v>2</v>
      </c>
      <c r="N306" t="s">
        <v>198</v>
      </c>
      <c r="O306" t="s">
        <v>39</v>
      </c>
      <c r="P306" t="s">
        <v>199</v>
      </c>
      <c r="Q306" t="s">
        <v>200</v>
      </c>
      <c r="R306" t="s">
        <v>58</v>
      </c>
      <c r="S306" t="s">
        <v>59</v>
      </c>
      <c r="T306" t="s">
        <v>138</v>
      </c>
      <c r="U306">
        <v>2</v>
      </c>
      <c r="V306" t="s">
        <v>66</v>
      </c>
      <c r="W306" t="s">
        <v>121</v>
      </c>
      <c r="X306" t="s">
        <v>137</v>
      </c>
      <c r="Y306">
        <v>2</v>
      </c>
      <c r="Z306">
        <v>1</v>
      </c>
      <c r="AA306">
        <v>44.1</v>
      </c>
      <c r="AB306">
        <v>0.03</v>
      </c>
      <c r="AC306" t="s">
        <v>138</v>
      </c>
      <c r="AD306">
        <v>1</v>
      </c>
      <c r="AE306">
        <v>2</v>
      </c>
      <c r="AF306">
        <v>1</v>
      </c>
      <c r="AG306">
        <v>3.26</v>
      </c>
      <c r="AH306">
        <v>0.48299999999999998</v>
      </c>
      <c r="AI306">
        <v>2.4E-2</v>
      </c>
    </row>
    <row r="307" spans="1:35" x14ac:dyDescent="0.25">
      <c r="A307">
        <v>259</v>
      </c>
      <c r="B307" t="s">
        <v>35</v>
      </c>
      <c r="C307">
        <v>3</v>
      </c>
      <c r="D307" t="s">
        <v>36</v>
      </c>
      <c r="E307">
        <v>2</v>
      </c>
      <c r="F307" t="s">
        <v>259</v>
      </c>
      <c r="G307">
        <v>2</v>
      </c>
      <c r="H307">
        <v>6</v>
      </c>
      <c r="I307">
        <v>2</v>
      </c>
      <c r="J307">
        <v>18</v>
      </c>
      <c r="K307">
        <v>5</v>
      </c>
      <c r="L307">
        <v>37</v>
      </c>
      <c r="M307">
        <v>2</v>
      </c>
      <c r="N307" t="s">
        <v>97</v>
      </c>
      <c r="O307" t="s">
        <v>39</v>
      </c>
      <c r="P307" t="s">
        <v>49</v>
      </c>
      <c r="Q307" t="s">
        <v>50</v>
      </c>
      <c r="R307" t="s">
        <v>91</v>
      </c>
      <c r="S307" t="s">
        <v>92</v>
      </c>
      <c r="T307" t="s">
        <v>54</v>
      </c>
      <c r="U307">
        <v>5</v>
      </c>
      <c r="V307" t="s">
        <v>98</v>
      </c>
      <c r="W307" t="s">
        <v>99</v>
      </c>
      <c r="X307" t="s">
        <v>100</v>
      </c>
      <c r="Y307">
        <v>2</v>
      </c>
      <c r="Z307">
        <v>1</v>
      </c>
      <c r="AA307">
        <v>44.1</v>
      </c>
      <c r="AB307">
        <v>1.03</v>
      </c>
      <c r="AC307" t="s">
        <v>54</v>
      </c>
      <c r="AD307">
        <v>1</v>
      </c>
      <c r="AE307">
        <v>5</v>
      </c>
      <c r="AF307">
        <v>1</v>
      </c>
      <c r="AG307">
        <v>3.0470000000000002</v>
      </c>
      <c r="AH307">
        <v>0.33400000000000002</v>
      </c>
      <c r="AI307">
        <v>1.0349999999999999</v>
      </c>
    </row>
    <row r="308" spans="1:35" x14ac:dyDescent="0.25">
      <c r="A308">
        <v>259</v>
      </c>
      <c r="B308" t="s">
        <v>35</v>
      </c>
      <c r="C308">
        <v>3</v>
      </c>
      <c r="D308" t="s">
        <v>36</v>
      </c>
      <c r="E308">
        <v>2</v>
      </c>
      <c r="F308" t="s">
        <v>259</v>
      </c>
      <c r="G308">
        <v>2</v>
      </c>
      <c r="H308">
        <v>6</v>
      </c>
      <c r="I308">
        <v>2</v>
      </c>
      <c r="J308">
        <v>19</v>
      </c>
      <c r="K308">
        <v>16</v>
      </c>
      <c r="L308">
        <v>8</v>
      </c>
      <c r="M308">
        <v>1</v>
      </c>
      <c r="N308" t="s">
        <v>195</v>
      </c>
      <c r="O308" t="s">
        <v>39</v>
      </c>
      <c r="P308" t="s">
        <v>196</v>
      </c>
      <c r="Q308" t="s">
        <v>197</v>
      </c>
      <c r="R308" t="s">
        <v>42</v>
      </c>
      <c r="S308" t="s">
        <v>43</v>
      </c>
      <c r="T308" t="s">
        <v>85</v>
      </c>
      <c r="U308">
        <v>2</v>
      </c>
      <c r="V308" t="s">
        <v>156</v>
      </c>
      <c r="W308" t="s">
        <v>119</v>
      </c>
      <c r="X308" t="s">
        <v>155</v>
      </c>
      <c r="Y308">
        <v>1</v>
      </c>
      <c r="Z308">
        <v>1</v>
      </c>
      <c r="AA308">
        <v>44.1</v>
      </c>
      <c r="AB308">
        <v>0.214</v>
      </c>
      <c r="AC308" t="s">
        <v>155</v>
      </c>
      <c r="AD308">
        <v>4</v>
      </c>
      <c r="AE308">
        <v>1</v>
      </c>
      <c r="AF308">
        <v>0</v>
      </c>
      <c r="AG308">
        <v>1.8740000000000001</v>
      </c>
      <c r="AH308">
        <v>0.26700000000000002</v>
      </c>
      <c r="AI308">
        <v>0.21199999999999999</v>
      </c>
    </row>
    <row r="309" spans="1:35" x14ac:dyDescent="0.25">
      <c r="A309">
        <v>259</v>
      </c>
      <c r="B309" t="s">
        <v>35</v>
      </c>
      <c r="C309">
        <v>3</v>
      </c>
      <c r="D309" t="s">
        <v>36</v>
      </c>
      <c r="E309">
        <v>2</v>
      </c>
      <c r="F309" t="s">
        <v>259</v>
      </c>
      <c r="G309">
        <v>2</v>
      </c>
      <c r="H309">
        <v>6</v>
      </c>
      <c r="I309">
        <v>2</v>
      </c>
      <c r="J309">
        <v>20</v>
      </c>
      <c r="K309">
        <v>22</v>
      </c>
      <c r="L309">
        <v>46</v>
      </c>
      <c r="M309">
        <v>2</v>
      </c>
      <c r="N309" t="s">
        <v>189</v>
      </c>
      <c r="O309" t="s">
        <v>39</v>
      </c>
      <c r="P309" t="s">
        <v>190</v>
      </c>
      <c r="Q309" t="s">
        <v>191</v>
      </c>
      <c r="R309" t="s">
        <v>42</v>
      </c>
      <c r="S309" t="s">
        <v>43</v>
      </c>
      <c r="T309" t="s">
        <v>45</v>
      </c>
      <c r="U309">
        <v>4</v>
      </c>
      <c r="V309" t="s">
        <v>149</v>
      </c>
      <c r="W309" t="s">
        <v>139</v>
      </c>
      <c r="X309" t="s">
        <v>124</v>
      </c>
      <c r="Y309">
        <v>1</v>
      </c>
      <c r="Z309">
        <v>1</v>
      </c>
      <c r="AA309">
        <v>44.1</v>
      </c>
      <c r="AB309">
        <v>8.8999999999999996E-2</v>
      </c>
      <c r="AC309" t="s">
        <v>149</v>
      </c>
      <c r="AD309">
        <v>2</v>
      </c>
      <c r="AE309">
        <v>5</v>
      </c>
      <c r="AF309">
        <v>0</v>
      </c>
      <c r="AG309">
        <v>1.659</v>
      </c>
      <c r="AH309">
        <v>0.15</v>
      </c>
      <c r="AI309">
        <v>8.3000000000000004E-2</v>
      </c>
    </row>
    <row r="310" spans="1:35" x14ac:dyDescent="0.25">
      <c r="A310">
        <v>259</v>
      </c>
      <c r="B310" t="s">
        <v>35</v>
      </c>
      <c r="C310">
        <v>3</v>
      </c>
      <c r="D310" t="s">
        <v>36</v>
      </c>
      <c r="E310">
        <v>2</v>
      </c>
      <c r="F310" t="s">
        <v>259</v>
      </c>
      <c r="G310">
        <v>2</v>
      </c>
      <c r="H310">
        <v>6</v>
      </c>
      <c r="I310">
        <v>2</v>
      </c>
      <c r="J310">
        <v>21</v>
      </c>
      <c r="K310">
        <v>4</v>
      </c>
      <c r="L310">
        <v>2</v>
      </c>
      <c r="M310">
        <v>1</v>
      </c>
      <c r="N310" t="s">
        <v>109</v>
      </c>
      <c r="O310" t="s">
        <v>39</v>
      </c>
      <c r="P310" t="s">
        <v>71</v>
      </c>
      <c r="Q310" t="s">
        <v>72</v>
      </c>
      <c r="R310" t="s">
        <v>91</v>
      </c>
      <c r="S310" t="s">
        <v>92</v>
      </c>
      <c r="T310" t="s">
        <v>94</v>
      </c>
      <c r="U310">
        <v>5</v>
      </c>
      <c r="V310" t="s">
        <v>73</v>
      </c>
      <c r="W310" t="s">
        <v>110</v>
      </c>
      <c r="X310" t="s">
        <v>111</v>
      </c>
      <c r="Y310">
        <v>1</v>
      </c>
      <c r="Z310">
        <v>1</v>
      </c>
      <c r="AA310">
        <v>44.1</v>
      </c>
      <c r="AB310">
        <v>0.81</v>
      </c>
      <c r="AC310" t="s">
        <v>73</v>
      </c>
      <c r="AD310">
        <v>2</v>
      </c>
      <c r="AE310">
        <v>4</v>
      </c>
      <c r="AF310">
        <v>0</v>
      </c>
      <c r="AG310">
        <v>1.111</v>
      </c>
      <c r="AH310">
        <v>0.3</v>
      </c>
      <c r="AI310">
        <v>0.8</v>
      </c>
    </row>
    <row r="311" spans="1:35" x14ac:dyDescent="0.25">
      <c r="A311">
        <v>259</v>
      </c>
      <c r="B311" t="s">
        <v>35</v>
      </c>
      <c r="C311">
        <v>3</v>
      </c>
      <c r="D311" t="s">
        <v>36</v>
      </c>
      <c r="E311">
        <v>2</v>
      </c>
      <c r="F311" t="s">
        <v>259</v>
      </c>
      <c r="G311">
        <v>2</v>
      </c>
      <c r="H311">
        <v>6</v>
      </c>
      <c r="I311">
        <v>2</v>
      </c>
      <c r="J311">
        <v>22</v>
      </c>
      <c r="K311">
        <v>11</v>
      </c>
      <c r="L311">
        <v>43</v>
      </c>
      <c r="M311">
        <v>2</v>
      </c>
      <c r="N311" t="s">
        <v>105</v>
      </c>
      <c r="O311" t="s">
        <v>39</v>
      </c>
      <c r="P311" t="s">
        <v>77</v>
      </c>
      <c r="Q311" t="s">
        <v>78</v>
      </c>
      <c r="R311" t="s">
        <v>91</v>
      </c>
      <c r="S311" t="s">
        <v>92</v>
      </c>
      <c r="T311" t="s">
        <v>80</v>
      </c>
      <c r="U311">
        <v>2</v>
      </c>
      <c r="V311" t="s">
        <v>106</v>
      </c>
      <c r="W311" t="s">
        <v>107</v>
      </c>
      <c r="X311" t="s">
        <v>108</v>
      </c>
      <c r="Y311">
        <v>2</v>
      </c>
      <c r="Z311">
        <v>1</v>
      </c>
      <c r="AA311">
        <v>44.1</v>
      </c>
      <c r="AB311">
        <v>0.97899999999999998</v>
      </c>
      <c r="AC311" t="s">
        <v>80</v>
      </c>
      <c r="AD311">
        <v>1</v>
      </c>
      <c r="AE311">
        <v>2</v>
      </c>
      <c r="AF311">
        <v>1</v>
      </c>
      <c r="AG311">
        <v>1.802</v>
      </c>
      <c r="AH311">
        <v>3.036</v>
      </c>
      <c r="AI311">
        <v>0.97099999999999997</v>
      </c>
    </row>
    <row r="312" spans="1:35" x14ac:dyDescent="0.25">
      <c r="A312">
        <v>259</v>
      </c>
      <c r="B312" t="s">
        <v>35</v>
      </c>
      <c r="C312">
        <v>3</v>
      </c>
      <c r="D312" t="s">
        <v>36</v>
      </c>
      <c r="E312">
        <v>2</v>
      </c>
      <c r="F312" t="s">
        <v>259</v>
      </c>
      <c r="G312">
        <v>2</v>
      </c>
      <c r="H312">
        <v>6</v>
      </c>
      <c r="I312">
        <v>2</v>
      </c>
      <c r="J312">
        <v>23</v>
      </c>
      <c r="K312">
        <v>14</v>
      </c>
      <c r="L312">
        <v>12</v>
      </c>
      <c r="M312">
        <v>1</v>
      </c>
      <c r="N312" t="s">
        <v>206</v>
      </c>
      <c r="O312" t="s">
        <v>39</v>
      </c>
      <c r="P312" t="s">
        <v>207</v>
      </c>
      <c r="Q312" t="s">
        <v>208</v>
      </c>
      <c r="R312" t="s">
        <v>42</v>
      </c>
      <c r="S312" t="s">
        <v>43</v>
      </c>
      <c r="T312" t="s">
        <v>131</v>
      </c>
      <c r="U312">
        <v>2</v>
      </c>
      <c r="V312" t="s">
        <v>185</v>
      </c>
      <c r="W312" t="s">
        <v>209</v>
      </c>
      <c r="X312" t="s">
        <v>183</v>
      </c>
      <c r="Y312">
        <v>2</v>
      </c>
      <c r="Z312">
        <v>1</v>
      </c>
      <c r="AA312">
        <v>44.1</v>
      </c>
      <c r="AB312">
        <v>4.2999999999999997E-2</v>
      </c>
      <c r="AC312" t="s">
        <v>209</v>
      </c>
      <c r="AD312">
        <v>4</v>
      </c>
      <c r="AE312">
        <v>5</v>
      </c>
      <c r="AF312">
        <v>0</v>
      </c>
      <c r="AG312">
        <v>1.895</v>
      </c>
      <c r="AH312">
        <v>0.33300000000000002</v>
      </c>
      <c r="AI312">
        <v>4.4999999999999998E-2</v>
      </c>
    </row>
    <row r="313" spans="1:35" x14ac:dyDescent="0.25">
      <c r="A313">
        <v>259</v>
      </c>
      <c r="B313" t="s">
        <v>35</v>
      </c>
      <c r="C313">
        <v>3</v>
      </c>
      <c r="D313" t="s">
        <v>36</v>
      </c>
      <c r="E313">
        <v>2</v>
      </c>
      <c r="F313" t="s">
        <v>259</v>
      </c>
      <c r="G313">
        <v>2</v>
      </c>
      <c r="H313">
        <v>6</v>
      </c>
      <c r="I313">
        <v>2</v>
      </c>
      <c r="J313">
        <v>24</v>
      </c>
      <c r="K313">
        <v>23</v>
      </c>
      <c r="L313">
        <v>9</v>
      </c>
      <c r="M313">
        <v>1</v>
      </c>
      <c r="N313" t="s">
        <v>212</v>
      </c>
      <c r="O313" t="s">
        <v>39</v>
      </c>
      <c r="P313" t="s">
        <v>202</v>
      </c>
      <c r="Q313" t="s">
        <v>203</v>
      </c>
      <c r="R313" t="s">
        <v>58</v>
      </c>
      <c r="S313" t="s">
        <v>59</v>
      </c>
      <c r="T313" t="s">
        <v>147</v>
      </c>
      <c r="U313">
        <v>1</v>
      </c>
      <c r="V313" t="s">
        <v>172</v>
      </c>
      <c r="W313" t="s">
        <v>141</v>
      </c>
      <c r="X313" t="s">
        <v>179</v>
      </c>
      <c r="Y313">
        <v>1</v>
      </c>
      <c r="Z313">
        <v>1</v>
      </c>
      <c r="AA313">
        <v>44.1</v>
      </c>
      <c r="AB313">
        <v>0.95299999999999996</v>
      </c>
      <c r="AC313" t="s">
        <v>179</v>
      </c>
      <c r="AD313">
        <v>4</v>
      </c>
      <c r="AE313">
        <v>4</v>
      </c>
      <c r="AF313">
        <v>0</v>
      </c>
      <c r="AG313">
        <v>1.881</v>
      </c>
      <c r="AH313">
        <v>0.3</v>
      </c>
      <c r="AI313">
        <v>0.95799999999999996</v>
      </c>
    </row>
    <row r="314" spans="1:35" x14ac:dyDescent="0.25">
      <c r="A314">
        <v>259</v>
      </c>
      <c r="B314" t="s">
        <v>35</v>
      </c>
      <c r="C314">
        <v>3</v>
      </c>
      <c r="D314" t="s">
        <v>36</v>
      </c>
      <c r="E314">
        <v>2</v>
      </c>
      <c r="F314" t="s">
        <v>259</v>
      </c>
      <c r="G314">
        <v>2</v>
      </c>
      <c r="H314">
        <v>6</v>
      </c>
      <c r="I314">
        <v>2</v>
      </c>
      <c r="J314">
        <v>25</v>
      </c>
      <c r="K314">
        <v>29</v>
      </c>
      <c r="L314">
        <v>61</v>
      </c>
      <c r="M314">
        <v>2</v>
      </c>
      <c r="N314" t="s">
        <v>125</v>
      </c>
      <c r="O314" t="s">
        <v>113</v>
      </c>
      <c r="P314" t="s">
        <v>114</v>
      </c>
      <c r="Q314" t="s">
        <v>126</v>
      </c>
      <c r="R314" t="s">
        <v>114</v>
      </c>
      <c r="S314" t="s">
        <v>92</v>
      </c>
      <c r="T314" t="s">
        <v>127</v>
      </c>
      <c r="U314">
        <v>2</v>
      </c>
      <c r="V314" t="s">
        <v>128</v>
      </c>
      <c r="W314" t="s">
        <v>96</v>
      </c>
      <c r="X314" t="s">
        <v>66</v>
      </c>
      <c r="Y314">
        <v>1</v>
      </c>
      <c r="Z314">
        <v>1</v>
      </c>
      <c r="AA314">
        <v>44.1</v>
      </c>
      <c r="AB314">
        <v>0.74199999999999999</v>
      </c>
      <c r="AC314" t="s">
        <v>128</v>
      </c>
      <c r="AD314">
        <v>2</v>
      </c>
      <c r="AE314">
        <v>4</v>
      </c>
      <c r="AF314">
        <v>0</v>
      </c>
      <c r="AG314">
        <v>1.9490000000000001</v>
      </c>
      <c r="AH314">
        <v>0.26700000000000002</v>
      </c>
      <c r="AI314">
        <v>0.73599999999999999</v>
      </c>
    </row>
    <row r="315" spans="1:35" x14ac:dyDescent="0.25">
      <c r="A315">
        <v>259</v>
      </c>
      <c r="B315" t="s">
        <v>35</v>
      </c>
      <c r="C315">
        <v>3</v>
      </c>
      <c r="D315" t="s">
        <v>36</v>
      </c>
      <c r="E315">
        <v>2</v>
      </c>
      <c r="F315" t="s">
        <v>259</v>
      </c>
      <c r="G315">
        <v>2</v>
      </c>
      <c r="H315">
        <v>6</v>
      </c>
      <c r="I315">
        <v>2</v>
      </c>
      <c r="J315">
        <v>26</v>
      </c>
      <c r="K315">
        <v>42</v>
      </c>
      <c r="L315">
        <v>66</v>
      </c>
      <c r="M315">
        <v>2</v>
      </c>
      <c r="N315" t="s">
        <v>229</v>
      </c>
      <c r="O315" t="s">
        <v>113</v>
      </c>
      <c r="P315" t="s">
        <v>114</v>
      </c>
      <c r="Q315" t="s">
        <v>226</v>
      </c>
      <c r="R315" t="s">
        <v>114</v>
      </c>
      <c r="S315" t="s">
        <v>92</v>
      </c>
      <c r="T315" t="s">
        <v>209</v>
      </c>
      <c r="U315">
        <v>4</v>
      </c>
      <c r="V315" t="s">
        <v>87</v>
      </c>
      <c r="W315" t="s">
        <v>161</v>
      </c>
      <c r="X315" t="s">
        <v>102</v>
      </c>
      <c r="Y315">
        <v>1</v>
      </c>
      <c r="Z315">
        <v>1</v>
      </c>
      <c r="AA315">
        <v>44.1</v>
      </c>
      <c r="AB315">
        <v>1.0309999999999999</v>
      </c>
      <c r="AC315" t="s">
        <v>87</v>
      </c>
      <c r="AD315">
        <v>2</v>
      </c>
      <c r="AE315">
        <v>5</v>
      </c>
      <c r="AF315">
        <v>0</v>
      </c>
      <c r="AG315">
        <v>1.24</v>
      </c>
      <c r="AH315">
        <v>0.46700000000000003</v>
      </c>
      <c r="AI315">
        <v>1.028</v>
      </c>
    </row>
    <row r="316" spans="1:35" x14ac:dyDescent="0.25">
      <c r="A316">
        <v>259</v>
      </c>
      <c r="B316" t="s">
        <v>35</v>
      </c>
      <c r="C316">
        <v>3</v>
      </c>
      <c r="D316" t="s">
        <v>36</v>
      </c>
      <c r="E316">
        <v>2</v>
      </c>
      <c r="F316" t="s">
        <v>259</v>
      </c>
      <c r="G316">
        <v>2</v>
      </c>
      <c r="H316">
        <v>6</v>
      </c>
      <c r="I316">
        <v>2</v>
      </c>
      <c r="J316">
        <v>27</v>
      </c>
      <c r="K316">
        <v>48</v>
      </c>
      <c r="L316">
        <v>34</v>
      </c>
      <c r="M316">
        <v>1</v>
      </c>
      <c r="N316" t="s">
        <v>228</v>
      </c>
      <c r="O316" t="s">
        <v>113</v>
      </c>
      <c r="P316" t="s">
        <v>114</v>
      </c>
      <c r="Q316" t="s">
        <v>224</v>
      </c>
      <c r="R316" t="s">
        <v>114</v>
      </c>
      <c r="S316" t="s">
        <v>52</v>
      </c>
      <c r="T316" t="s">
        <v>61</v>
      </c>
      <c r="U316">
        <v>2</v>
      </c>
      <c r="V316" t="s">
        <v>56</v>
      </c>
      <c r="W316" t="s">
        <v>93</v>
      </c>
      <c r="X316" t="s">
        <v>110</v>
      </c>
      <c r="Y316">
        <v>1</v>
      </c>
      <c r="Z316">
        <v>1</v>
      </c>
      <c r="AA316">
        <v>44.1</v>
      </c>
      <c r="AB316">
        <v>1.069</v>
      </c>
      <c r="AC316" t="s">
        <v>61</v>
      </c>
      <c r="AD316">
        <v>1</v>
      </c>
      <c r="AE316">
        <v>2</v>
      </c>
      <c r="AF316">
        <v>1</v>
      </c>
      <c r="AG316">
        <v>2.4529999999999998</v>
      </c>
      <c r="AH316">
        <v>0.26700000000000002</v>
      </c>
      <c r="AI316">
        <v>1.0660000000000001</v>
      </c>
    </row>
    <row r="317" spans="1:35" x14ac:dyDescent="0.25">
      <c r="A317">
        <v>259</v>
      </c>
      <c r="B317" t="s">
        <v>35</v>
      </c>
      <c r="C317">
        <v>3</v>
      </c>
      <c r="D317" t="s">
        <v>36</v>
      </c>
      <c r="E317">
        <v>2</v>
      </c>
      <c r="F317" t="s">
        <v>259</v>
      </c>
      <c r="G317">
        <v>2</v>
      </c>
      <c r="H317">
        <v>6</v>
      </c>
      <c r="I317">
        <v>2</v>
      </c>
      <c r="J317">
        <v>28</v>
      </c>
      <c r="K317">
        <v>43</v>
      </c>
      <c r="L317">
        <v>29</v>
      </c>
      <c r="M317">
        <v>1</v>
      </c>
      <c r="N317" t="s">
        <v>217</v>
      </c>
      <c r="O317" t="s">
        <v>113</v>
      </c>
      <c r="P317" t="s">
        <v>114</v>
      </c>
      <c r="Q317" t="s">
        <v>218</v>
      </c>
      <c r="R317" t="s">
        <v>114</v>
      </c>
      <c r="S317" t="s">
        <v>52</v>
      </c>
      <c r="T317" t="s">
        <v>214</v>
      </c>
      <c r="U317">
        <v>5</v>
      </c>
      <c r="V317" t="s">
        <v>74</v>
      </c>
      <c r="W317" t="s">
        <v>204</v>
      </c>
      <c r="X317" t="s">
        <v>94</v>
      </c>
      <c r="Y317">
        <v>2</v>
      </c>
      <c r="Z317">
        <v>1</v>
      </c>
      <c r="AA317">
        <v>44.1</v>
      </c>
      <c r="AB317">
        <v>0.78200000000000003</v>
      </c>
      <c r="AC317" t="s">
        <v>214</v>
      </c>
      <c r="AD317">
        <v>1</v>
      </c>
      <c r="AE317">
        <v>5</v>
      </c>
      <c r="AF317">
        <v>1</v>
      </c>
      <c r="AG317">
        <v>2.2010000000000001</v>
      </c>
      <c r="AH317">
        <v>8.3000000000000004E-2</v>
      </c>
      <c r="AI317">
        <v>0.78600000000000003</v>
      </c>
    </row>
    <row r="318" spans="1:35" x14ac:dyDescent="0.25">
      <c r="A318">
        <v>259</v>
      </c>
      <c r="B318" t="s">
        <v>35</v>
      </c>
      <c r="C318">
        <v>3</v>
      </c>
      <c r="D318" t="s">
        <v>36</v>
      </c>
      <c r="E318">
        <v>2</v>
      </c>
      <c r="F318" t="s">
        <v>259</v>
      </c>
      <c r="G318">
        <v>2</v>
      </c>
      <c r="H318">
        <v>6</v>
      </c>
      <c r="I318">
        <v>2</v>
      </c>
      <c r="J318">
        <v>29</v>
      </c>
      <c r="K318">
        <v>27</v>
      </c>
      <c r="L318">
        <v>25</v>
      </c>
      <c r="M318">
        <v>1</v>
      </c>
      <c r="N318" t="s">
        <v>122</v>
      </c>
      <c r="O318" t="s">
        <v>113</v>
      </c>
      <c r="P318" t="s">
        <v>114</v>
      </c>
      <c r="Q318" t="s">
        <v>123</v>
      </c>
      <c r="R318" t="s">
        <v>114</v>
      </c>
      <c r="S318" t="s">
        <v>59</v>
      </c>
      <c r="T318" t="s">
        <v>124</v>
      </c>
      <c r="U318">
        <v>1</v>
      </c>
      <c r="V318" t="s">
        <v>46</v>
      </c>
      <c r="W318" t="s">
        <v>108</v>
      </c>
      <c r="X318" t="s">
        <v>45</v>
      </c>
      <c r="Y318">
        <v>2</v>
      </c>
      <c r="Z318">
        <v>1</v>
      </c>
      <c r="AA318">
        <v>44.1</v>
      </c>
      <c r="AB318">
        <v>3.2000000000000001E-2</v>
      </c>
      <c r="AC318" t="s">
        <v>108</v>
      </c>
      <c r="AD318">
        <v>4</v>
      </c>
      <c r="AE318">
        <v>2</v>
      </c>
      <c r="AF318">
        <v>0</v>
      </c>
      <c r="AG318">
        <v>1.194</v>
      </c>
      <c r="AH318">
        <v>1.7000000000000001E-2</v>
      </c>
      <c r="AI318">
        <v>3.2000000000000001E-2</v>
      </c>
    </row>
    <row r="319" spans="1:35" x14ac:dyDescent="0.25">
      <c r="A319">
        <v>259</v>
      </c>
      <c r="B319" t="s">
        <v>35</v>
      </c>
      <c r="C319">
        <v>3</v>
      </c>
      <c r="D319" t="s">
        <v>36</v>
      </c>
      <c r="E319">
        <v>2</v>
      </c>
      <c r="F319" t="s">
        <v>259</v>
      </c>
      <c r="G319">
        <v>2</v>
      </c>
      <c r="H319">
        <v>6</v>
      </c>
      <c r="I319">
        <v>2</v>
      </c>
      <c r="J319">
        <v>30</v>
      </c>
      <c r="K319">
        <v>45</v>
      </c>
      <c r="L319">
        <v>69</v>
      </c>
      <c r="M319">
        <v>2</v>
      </c>
      <c r="N319" t="s">
        <v>221</v>
      </c>
      <c r="O319" t="s">
        <v>113</v>
      </c>
      <c r="P319" t="s">
        <v>114</v>
      </c>
      <c r="Q319" t="s">
        <v>222</v>
      </c>
      <c r="R319" t="s">
        <v>114</v>
      </c>
      <c r="S319" t="s">
        <v>52</v>
      </c>
      <c r="T319" t="s">
        <v>69</v>
      </c>
      <c r="U319">
        <v>4</v>
      </c>
      <c r="V319" t="s">
        <v>119</v>
      </c>
      <c r="W319" t="s">
        <v>155</v>
      </c>
      <c r="X319" t="s">
        <v>185</v>
      </c>
      <c r="Y319">
        <v>2</v>
      </c>
      <c r="Z319">
        <v>1</v>
      </c>
      <c r="AA319">
        <v>44.1</v>
      </c>
      <c r="AB319">
        <v>0.89</v>
      </c>
      <c r="AC319" t="s">
        <v>69</v>
      </c>
      <c r="AD319">
        <v>1</v>
      </c>
      <c r="AE319">
        <v>4</v>
      </c>
      <c r="AF319">
        <v>1</v>
      </c>
      <c r="AG319">
        <v>0.442</v>
      </c>
      <c r="AH319">
        <v>0.317</v>
      </c>
      <c r="AI319">
        <v>0.88800000000000001</v>
      </c>
    </row>
    <row r="320" spans="1:35" x14ac:dyDescent="0.25">
      <c r="A320">
        <v>259</v>
      </c>
      <c r="B320" t="s">
        <v>35</v>
      </c>
      <c r="C320">
        <v>3</v>
      </c>
      <c r="D320" t="s">
        <v>36</v>
      </c>
      <c r="E320">
        <v>2</v>
      </c>
      <c r="F320" t="s">
        <v>259</v>
      </c>
      <c r="G320">
        <v>2</v>
      </c>
      <c r="H320">
        <v>6</v>
      </c>
      <c r="I320">
        <v>2</v>
      </c>
      <c r="J320">
        <v>31</v>
      </c>
      <c r="K320">
        <v>34</v>
      </c>
      <c r="L320">
        <v>28</v>
      </c>
      <c r="M320">
        <v>1</v>
      </c>
      <c r="N320" t="s">
        <v>117</v>
      </c>
      <c r="O320" t="s">
        <v>113</v>
      </c>
      <c r="P320" t="s">
        <v>114</v>
      </c>
      <c r="Q320" t="s">
        <v>118</v>
      </c>
      <c r="R320" t="s">
        <v>114</v>
      </c>
      <c r="S320" t="s">
        <v>52</v>
      </c>
      <c r="T320" t="s">
        <v>119</v>
      </c>
      <c r="U320">
        <v>2</v>
      </c>
      <c r="V320" t="s">
        <v>120</v>
      </c>
      <c r="W320" t="s">
        <v>73</v>
      </c>
      <c r="X320" t="s">
        <v>121</v>
      </c>
      <c r="Y320">
        <v>1</v>
      </c>
      <c r="Z320">
        <v>1</v>
      </c>
      <c r="AA320">
        <v>44.1</v>
      </c>
      <c r="AB320">
        <v>0.97299999999999998</v>
      </c>
      <c r="AC320" t="s">
        <v>119</v>
      </c>
      <c r="AD320">
        <v>1</v>
      </c>
      <c r="AE320">
        <v>2</v>
      </c>
      <c r="AF320">
        <v>1</v>
      </c>
      <c r="AG320">
        <v>2.1829999999999998</v>
      </c>
      <c r="AH320">
        <v>0.28399999999999997</v>
      </c>
      <c r="AI320">
        <v>0.96</v>
      </c>
    </row>
    <row r="321" spans="1:35" x14ac:dyDescent="0.25">
      <c r="A321">
        <v>259</v>
      </c>
      <c r="B321" t="s">
        <v>35</v>
      </c>
      <c r="C321">
        <v>3</v>
      </c>
      <c r="D321" t="s">
        <v>36</v>
      </c>
      <c r="E321">
        <v>2</v>
      </c>
      <c r="F321" t="s">
        <v>259</v>
      </c>
      <c r="G321">
        <v>2</v>
      </c>
      <c r="H321">
        <v>6</v>
      </c>
      <c r="I321">
        <v>2</v>
      </c>
      <c r="J321">
        <v>32</v>
      </c>
      <c r="K321">
        <v>30</v>
      </c>
      <c r="L321">
        <v>62</v>
      </c>
      <c r="M321">
        <v>2</v>
      </c>
      <c r="N321" t="s">
        <v>142</v>
      </c>
      <c r="O321" t="s">
        <v>113</v>
      </c>
      <c r="P321" t="s">
        <v>114</v>
      </c>
      <c r="Q321" t="s">
        <v>126</v>
      </c>
      <c r="R321" t="s">
        <v>114</v>
      </c>
      <c r="S321" t="s">
        <v>52</v>
      </c>
      <c r="T321" t="s">
        <v>128</v>
      </c>
      <c r="U321">
        <v>4</v>
      </c>
      <c r="V321" t="s">
        <v>61</v>
      </c>
      <c r="W321" t="s">
        <v>82</v>
      </c>
      <c r="X321" t="s">
        <v>85</v>
      </c>
      <c r="Y321">
        <v>2</v>
      </c>
      <c r="Z321">
        <v>1</v>
      </c>
      <c r="AA321">
        <v>44.1</v>
      </c>
      <c r="AB321">
        <v>8.9999999999999993E-3</v>
      </c>
      <c r="AC321" t="s">
        <v>82</v>
      </c>
      <c r="AD321">
        <v>4</v>
      </c>
      <c r="AE321">
        <v>5</v>
      </c>
      <c r="AF321">
        <v>0</v>
      </c>
      <c r="AG321">
        <v>1.581</v>
      </c>
      <c r="AH321">
        <v>0.53400000000000003</v>
      </c>
      <c r="AI321">
        <v>2E-3</v>
      </c>
    </row>
    <row r="322" spans="1:35" x14ac:dyDescent="0.25">
      <c r="A322">
        <v>259</v>
      </c>
      <c r="B322" t="s">
        <v>35</v>
      </c>
      <c r="C322">
        <v>3</v>
      </c>
      <c r="D322" t="s">
        <v>36</v>
      </c>
      <c r="E322">
        <v>2</v>
      </c>
      <c r="F322" t="s">
        <v>259</v>
      </c>
      <c r="G322">
        <v>2</v>
      </c>
      <c r="H322">
        <v>6</v>
      </c>
      <c r="I322">
        <v>2</v>
      </c>
      <c r="J322">
        <v>33</v>
      </c>
      <c r="K322">
        <v>25</v>
      </c>
      <c r="L322">
        <v>71</v>
      </c>
      <c r="M322">
        <v>2</v>
      </c>
      <c r="N322" t="s">
        <v>143</v>
      </c>
      <c r="O322" t="s">
        <v>113</v>
      </c>
      <c r="P322" t="s">
        <v>114</v>
      </c>
      <c r="Q322" t="s">
        <v>115</v>
      </c>
      <c r="R322" t="s">
        <v>114</v>
      </c>
      <c r="S322" t="s">
        <v>59</v>
      </c>
      <c r="T322" t="s">
        <v>46</v>
      </c>
      <c r="U322">
        <v>1</v>
      </c>
      <c r="V322" t="s">
        <v>104</v>
      </c>
      <c r="W322" t="s">
        <v>144</v>
      </c>
      <c r="X322" t="s">
        <v>86</v>
      </c>
      <c r="Y322">
        <v>1</v>
      </c>
      <c r="Z322">
        <v>1</v>
      </c>
      <c r="AA322">
        <v>44.1</v>
      </c>
      <c r="AB322">
        <v>1.139</v>
      </c>
      <c r="AC322" t="s">
        <v>46</v>
      </c>
      <c r="AD322">
        <v>1</v>
      </c>
      <c r="AE322">
        <v>1</v>
      </c>
      <c r="AF322">
        <v>1</v>
      </c>
      <c r="AG322">
        <v>2.476</v>
      </c>
      <c r="AH322">
        <v>0.317</v>
      </c>
      <c r="AI322">
        <v>1.149</v>
      </c>
    </row>
    <row r="323" spans="1:35" x14ac:dyDescent="0.25">
      <c r="A323">
        <v>259</v>
      </c>
      <c r="B323" t="s">
        <v>35</v>
      </c>
      <c r="C323">
        <v>3</v>
      </c>
      <c r="D323" t="s">
        <v>36</v>
      </c>
      <c r="E323">
        <v>2</v>
      </c>
      <c r="F323" t="s">
        <v>259</v>
      </c>
      <c r="G323">
        <v>2</v>
      </c>
      <c r="H323">
        <v>6</v>
      </c>
      <c r="I323">
        <v>2</v>
      </c>
      <c r="J323">
        <v>34</v>
      </c>
      <c r="K323">
        <v>39</v>
      </c>
      <c r="L323">
        <v>31</v>
      </c>
      <c r="M323">
        <v>1</v>
      </c>
      <c r="N323" t="s">
        <v>230</v>
      </c>
      <c r="O323" t="s">
        <v>113</v>
      </c>
      <c r="P323" t="s">
        <v>114</v>
      </c>
      <c r="Q323" t="s">
        <v>231</v>
      </c>
      <c r="R323" t="s">
        <v>114</v>
      </c>
      <c r="S323" t="s">
        <v>59</v>
      </c>
      <c r="T323" t="s">
        <v>162</v>
      </c>
      <c r="U323">
        <v>1</v>
      </c>
      <c r="V323" t="s">
        <v>111</v>
      </c>
      <c r="W323" t="s">
        <v>166</v>
      </c>
      <c r="X323" t="s">
        <v>79</v>
      </c>
      <c r="Y323">
        <v>1</v>
      </c>
      <c r="Z323">
        <v>1</v>
      </c>
      <c r="AA323">
        <v>44.1</v>
      </c>
      <c r="AB323">
        <v>0.06</v>
      </c>
      <c r="AC323" t="s">
        <v>166</v>
      </c>
      <c r="AD323">
        <v>4</v>
      </c>
      <c r="AE323">
        <v>2</v>
      </c>
      <c r="AF323">
        <v>0</v>
      </c>
      <c r="AG323">
        <v>2.9510000000000001</v>
      </c>
      <c r="AH323">
        <v>0.3</v>
      </c>
      <c r="AI323">
        <v>5.6000000000000001E-2</v>
      </c>
    </row>
    <row r="324" spans="1:35" x14ac:dyDescent="0.25">
      <c r="A324">
        <v>259</v>
      </c>
      <c r="B324" t="s">
        <v>35</v>
      </c>
      <c r="C324">
        <v>3</v>
      </c>
      <c r="D324" t="s">
        <v>36</v>
      </c>
      <c r="E324">
        <v>2</v>
      </c>
      <c r="F324" t="s">
        <v>259</v>
      </c>
      <c r="G324">
        <v>2</v>
      </c>
      <c r="H324">
        <v>6</v>
      </c>
      <c r="I324">
        <v>2</v>
      </c>
      <c r="J324">
        <v>35</v>
      </c>
      <c r="K324">
        <v>32</v>
      </c>
      <c r="L324">
        <v>64</v>
      </c>
      <c r="M324">
        <v>2</v>
      </c>
      <c r="N324" t="s">
        <v>133</v>
      </c>
      <c r="O324" t="s">
        <v>113</v>
      </c>
      <c r="P324" t="s">
        <v>114</v>
      </c>
      <c r="Q324" t="s">
        <v>134</v>
      </c>
      <c r="R324" t="s">
        <v>114</v>
      </c>
      <c r="S324" t="s">
        <v>43</v>
      </c>
      <c r="T324" t="s">
        <v>100</v>
      </c>
      <c r="U324">
        <v>1</v>
      </c>
      <c r="V324" t="s">
        <v>107</v>
      </c>
      <c r="W324" t="s">
        <v>75</v>
      </c>
      <c r="X324" t="s">
        <v>53</v>
      </c>
      <c r="Y324">
        <v>2</v>
      </c>
      <c r="Z324">
        <v>1</v>
      </c>
      <c r="AA324">
        <v>44.1</v>
      </c>
      <c r="AB324">
        <v>0.04</v>
      </c>
      <c r="AC324" t="s">
        <v>100</v>
      </c>
      <c r="AD324">
        <v>1</v>
      </c>
      <c r="AE324">
        <v>1</v>
      </c>
      <c r="AF324">
        <v>1</v>
      </c>
      <c r="AG324">
        <v>0.74</v>
      </c>
      <c r="AH324">
        <v>0.33400000000000002</v>
      </c>
      <c r="AI324">
        <v>3.2000000000000001E-2</v>
      </c>
    </row>
    <row r="325" spans="1:35" x14ac:dyDescent="0.25">
      <c r="A325">
        <v>259</v>
      </c>
      <c r="B325" t="s">
        <v>35</v>
      </c>
      <c r="C325">
        <v>3</v>
      </c>
      <c r="D325" t="s">
        <v>36</v>
      </c>
      <c r="E325">
        <v>2</v>
      </c>
      <c r="F325" t="s">
        <v>259</v>
      </c>
      <c r="G325">
        <v>2</v>
      </c>
      <c r="H325">
        <v>6</v>
      </c>
      <c r="I325">
        <v>2</v>
      </c>
      <c r="J325">
        <v>36</v>
      </c>
      <c r="K325">
        <v>36</v>
      </c>
      <c r="L325">
        <v>68</v>
      </c>
      <c r="M325">
        <v>2</v>
      </c>
      <c r="N325" t="s">
        <v>135</v>
      </c>
      <c r="O325" t="s">
        <v>113</v>
      </c>
      <c r="P325" t="s">
        <v>114</v>
      </c>
      <c r="Q325" t="s">
        <v>136</v>
      </c>
      <c r="R325" t="s">
        <v>114</v>
      </c>
      <c r="S325" t="s">
        <v>52</v>
      </c>
      <c r="T325" t="s">
        <v>74</v>
      </c>
      <c r="U325">
        <v>2</v>
      </c>
      <c r="V325" t="s">
        <v>137</v>
      </c>
      <c r="W325" t="s">
        <v>138</v>
      </c>
      <c r="X325" t="s">
        <v>139</v>
      </c>
      <c r="Y325">
        <v>1</v>
      </c>
      <c r="Z325">
        <v>1</v>
      </c>
      <c r="AA325">
        <v>44.1</v>
      </c>
      <c r="AB325">
        <v>2.3E-2</v>
      </c>
      <c r="AC325" t="s">
        <v>138</v>
      </c>
      <c r="AD325">
        <v>4</v>
      </c>
      <c r="AE325">
        <v>5</v>
      </c>
      <c r="AF325">
        <v>0</v>
      </c>
      <c r="AG325">
        <v>3.29</v>
      </c>
      <c r="AH325">
        <v>0.434</v>
      </c>
      <c r="AI325">
        <v>2.9000000000000001E-2</v>
      </c>
    </row>
    <row r="326" spans="1:35" x14ac:dyDescent="0.25">
      <c r="A326">
        <v>259</v>
      </c>
      <c r="B326" t="s">
        <v>35</v>
      </c>
      <c r="C326">
        <v>3</v>
      </c>
      <c r="D326" t="s">
        <v>36</v>
      </c>
      <c r="E326">
        <v>2</v>
      </c>
      <c r="F326" t="s">
        <v>259</v>
      </c>
      <c r="G326">
        <v>2</v>
      </c>
      <c r="H326">
        <v>6</v>
      </c>
      <c r="I326">
        <v>2</v>
      </c>
      <c r="J326">
        <v>37</v>
      </c>
      <c r="K326">
        <v>26</v>
      </c>
      <c r="L326">
        <v>72</v>
      </c>
      <c r="M326">
        <v>2</v>
      </c>
      <c r="N326" t="s">
        <v>112</v>
      </c>
      <c r="O326" t="s">
        <v>113</v>
      </c>
      <c r="P326" t="s">
        <v>114</v>
      </c>
      <c r="Q326" t="s">
        <v>115</v>
      </c>
      <c r="R326" t="s">
        <v>114</v>
      </c>
      <c r="S326" t="s">
        <v>43</v>
      </c>
      <c r="T326" t="s">
        <v>104</v>
      </c>
      <c r="U326">
        <v>1</v>
      </c>
      <c r="V326" t="s">
        <v>116</v>
      </c>
      <c r="W326" t="s">
        <v>47</v>
      </c>
      <c r="X326" t="s">
        <v>106</v>
      </c>
      <c r="Y326">
        <v>2</v>
      </c>
      <c r="Z326">
        <v>1</v>
      </c>
      <c r="AA326">
        <v>44.1</v>
      </c>
      <c r="AB326">
        <v>0.999</v>
      </c>
      <c r="AC326" t="s">
        <v>106</v>
      </c>
      <c r="AD326">
        <v>4</v>
      </c>
      <c r="AE326">
        <v>2</v>
      </c>
      <c r="AF326">
        <v>0</v>
      </c>
      <c r="AG326">
        <v>1.171</v>
      </c>
      <c r="AH326">
        <v>0.11700000000000001</v>
      </c>
      <c r="AI326">
        <v>0.996</v>
      </c>
    </row>
    <row r="327" spans="1:35" x14ac:dyDescent="0.25">
      <c r="A327">
        <v>259</v>
      </c>
      <c r="B327" t="s">
        <v>35</v>
      </c>
      <c r="C327">
        <v>3</v>
      </c>
      <c r="D327" t="s">
        <v>36</v>
      </c>
      <c r="E327">
        <v>2</v>
      </c>
      <c r="F327" t="s">
        <v>259</v>
      </c>
      <c r="G327">
        <v>2</v>
      </c>
      <c r="H327">
        <v>6</v>
      </c>
      <c r="I327">
        <v>2</v>
      </c>
      <c r="J327">
        <v>38</v>
      </c>
      <c r="K327">
        <v>38</v>
      </c>
      <c r="L327">
        <v>36</v>
      </c>
      <c r="M327">
        <v>1</v>
      </c>
      <c r="N327" t="s">
        <v>227</v>
      </c>
      <c r="O327" t="s">
        <v>113</v>
      </c>
      <c r="P327" t="s">
        <v>114</v>
      </c>
      <c r="Q327" t="s">
        <v>220</v>
      </c>
      <c r="R327" t="s">
        <v>114</v>
      </c>
      <c r="S327" t="s">
        <v>43</v>
      </c>
      <c r="T327" t="s">
        <v>116</v>
      </c>
      <c r="U327">
        <v>4</v>
      </c>
      <c r="V327" t="s">
        <v>179</v>
      </c>
      <c r="W327" t="s">
        <v>172</v>
      </c>
      <c r="X327" t="s">
        <v>211</v>
      </c>
      <c r="Y327">
        <v>1</v>
      </c>
      <c r="Z327">
        <v>1</v>
      </c>
      <c r="AA327">
        <v>44.1</v>
      </c>
      <c r="AB327">
        <v>0.90200000000000002</v>
      </c>
      <c r="AC327" t="s">
        <v>179</v>
      </c>
      <c r="AD327">
        <v>2</v>
      </c>
      <c r="AE327">
        <v>2</v>
      </c>
      <c r="AF327">
        <v>0</v>
      </c>
      <c r="AG327">
        <v>2.3929999999999998</v>
      </c>
      <c r="AH327">
        <v>0.13300000000000001</v>
      </c>
      <c r="AI327">
        <v>0.90900000000000003</v>
      </c>
    </row>
    <row r="328" spans="1:35" x14ac:dyDescent="0.25">
      <c r="A328">
        <v>259</v>
      </c>
      <c r="B328" t="s">
        <v>35</v>
      </c>
      <c r="C328">
        <v>3</v>
      </c>
      <c r="D328" t="s">
        <v>36</v>
      </c>
      <c r="E328">
        <v>2</v>
      </c>
      <c r="F328" t="s">
        <v>259</v>
      </c>
      <c r="G328">
        <v>2</v>
      </c>
      <c r="H328">
        <v>6</v>
      </c>
      <c r="I328">
        <v>2</v>
      </c>
      <c r="J328">
        <v>39</v>
      </c>
      <c r="K328">
        <v>46</v>
      </c>
      <c r="L328">
        <v>70</v>
      </c>
      <c r="M328">
        <v>2</v>
      </c>
      <c r="N328" t="s">
        <v>232</v>
      </c>
      <c r="O328" t="s">
        <v>113</v>
      </c>
      <c r="P328" t="s">
        <v>114</v>
      </c>
      <c r="Q328" t="s">
        <v>222</v>
      </c>
      <c r="R328" t="s">
        <v>114</v>
      </c>
      <c r="S328" t="s">
        <v>43</v>
      </c>
      <c r="T328" t="s">
        <v>81</v>
      </c>
      <c r="U328">
        <v>1</v>
      </c>
      <c r="V328" t="s">
        <v>69</v>
      </c>
      <c r="W328" t="s">
        <v>183</v>
      </c>
      <c r="X328" t="s">
        <v>60</v>
      </c>
      <c r="Y328">
        <v>1</v>
      </c>
      <c r="Z328">
        <v>1</v>
      </c>
      <c r="AA328">
        <v>44.1</v>
      </c>
      <c r="AB328">
        <v>7.0999999999999994E-2</v>
      </c>
      <c r="AC328" t="s">
        <v>183</v>
      </c>
      <c r="AD328">
        <v>4</v>
      </c>
      <c r="AE328">
        <v>4</v>
      </c>
      <c r="AF328">
        <v>0</v>
      </c>
      <c r="AG328">
        <v>3.0070000000000001</v>
      </c>
      <c r="AH328">
        <v>0.317</v>
      </c>
      <c r="AI328">
        <v>7.6999999999999999E-2</v>
      </c>
    </row>
    <row r="329" spans="1:35" x14ac:dyDescent="0.25">
      <c r="A329">
        <v>259</v>
      </c>
      <c r="B329" t="s">
        <v>35</v>
      </c>
      <c r="C329">
        <v>3</v>
      </c>
      <c r="D329" t="s">
        <v>36</v>
      </c>
      <c r="E329">
        <v>2</v>
      </c>
      <c r="F329" t="s">
        <v>259</v>
      </c>
      <c r="G329">
        <v>2</v>
      </c>
      <c r="H329">
        <v>6</v>
      </c>
      <c r="I329">
        <v>2</v>
      </c>
      <c r="J329">
        <v>40</v>
      </c>
      <c r="K329">
        <v>33</v>
      </c>
      <c r="L329">
        <v>27</v>
      </c>
      <c r="M329">
        <v>1</v>
      </c>
      <c r="N329" t="s">
        <v>129</v>
      </c>
      <c r="O329" t="s">
        <v>113</v>
      </c>
      <c r="P329" t="s">
        <v>114</v>
      </c>
      <c r="Q329" t="s">
        <v>118</v>
      </c>
      <c r="R329" t="s">
        <v>114</v>
      </c>
      <c r="S329" t="s">
        <v>92</v>
      </c>
      <c r="T329" t="s">
        <v>120</v>
      </c>
      <c r="U329">
        <v>5</v>
      </c>
      <c r="V329" t="s">
        <v>130</v>
      </c>
      <c r="W329" t="s">
        <v>131</v>
      </c>
      <c r="X329" t="s">
        <v>132</v>
      </c>
      <c r="Y329">
        <v>2</v>
      </c>
      <c r="Z329">
        <v>1</v>
      </c>
      <c r="AA329">
        <v>44.1</v>
      </c>
      <c r="AB329">
        <v>2.1000000000000001E-2</v>
      </c>
      <c r="AC329" t="s">
        <v>120</v>
      </c>
      <c r="AD329">
        <v>1</v>
      </c>
      <c r="AE329">
        <v>5</v>
      </c>
      <c r="AF329">
        <v>1</v>
      </c>
      <c r="AG329">
        <v>1.8109999999999999</v>
      </c>
      <c r="AH329">
        <v>0.3</v>
      </c>
      <c r="AI329">
        <v>2.1000000000000001E-2</v>
      </c>
    </row>
    <row r="330" spans="1:35" x14ac:dyDescent="0.25">
      <c r="A330">
        <v>259</v>
      </c>
      <c r="B330" t="s">
        <v>35</v>
      </c>
      <c r="C330">
        <v>3</v>
      </c>
      <c r="D330" t="s">
        <v>36</v>
      </c>
      <c r="E330">
        <v>2</v>
      </c>
      <c r="F330" t="s">
        <v>259</v>
      </c>
      <c r="G330">
        <v>2</v>
      </c>
      <c r="H330">
        <v>6</v>
      </c>
      <c r="I330">
        <v>2</v>
      </c>
      <c r="J330">
        <v>41</v>
      </c>
      <c r="K330">
        <v>28</v>
      </c>
      <c r="L330">
        <v>26</v>
      </c>
      <c r="M330">
        <v>1</v>
      </c>
      <c r="N330" t="s">
        <v>148</v>
      </c>
      <c r="O330" t="s">
        <v>113</v>
      </c>
      <c r="P330" t="s">
        <v>114</v>
      </c>
      <c r="Q330" t="s">
        <v>123</v>
      </c>
      <c r="R330" t="s">
        <v>114</v>
      </c>
      <c r="S330" t="s">
        <v>92</v>
      </c>
      <c r="T330" t="s">
        <v>130</v>
      </c>
      <c r="U330">
        <v>2</v>
      </c>
      <c r="V330" t="s">
        <v>124</v>
      </c>
      <c r="W330" t="s">
        <v>149</v>
      </c>
      <c r="X330" t="s">
        <v>99</v>
      </c>
      <c r="Y330">
        <v>1</v>
      </c>
      <c r="Z330">
        <v>1</v>
      </c>
      <c r="AA330">
        <v>44.1</v>
      </c>
      <c r="AB330">
        <v>8.9999999999999993E-3</v>
      </c>
      <c r="AC330" t="s">
        <v>130</v>
      </c>
      <c r="AD330">
        <v>1</v>
      </c>
      <c r="AE330">
        <v>2</v>
      </c>
      <c r="AF330">
        <v>1</v>
      </c>
      <c r="AG330">
        <v>2.4350000000000001</v>
      </c>
      <c r="AH330">
        <v>6.7000000000000004E-2</v>
      </c>
      <c r="AI330">
        <v>0</v>
      </c>
    </row>
    <row r="331" spans="1:35" x14ac:dyDescent="0.25">
      <c r="A331">
        <v>259</v>
      </c>
      <c r="B331" t="s">
        <v>35</v>
      </c>
      <c r="C331">
        <v>3</v>
      </c>
      <c r="D331" t="s">
        <v>36</v>
      </c>
      <c r="E331">
        <v>2</v>
      </c>
      <c r="F331" t="s">
        <v>259</v>
      </c>
      <c r="G331">
        <v>2</v>
      </c>
      <c r="H331">
        <v>6</v>
      </c>
      <c r="I331">
        <v>2</v>
      </c>
      <c r="J331">
        <v>42</v>
      </c>
      <c r="K331">
        <v>35</v>
      </c>
      <c r="L331">
        <v>67</v>
      </c>
      <c r="M331">
        <v>2</v>
      </c>
      <c r="N331" t="s">
        <v>145</v>
      </c>
      <c r="O331" t="s">
        <v>113</v>
      </c>
      <c r="P331" t="s">
        <v>114</v>
      </c>
      <c r="Q331" t="s">
        <v>136</v>
      </c>
      <c r="R331" t="s">
        <v>114</v>
      </c>
      <c r="S331" t="s">
        <v>92</v>
      </c>
      <c r="T331" t="s">
        <v>137</v>
      </c>
      <c r="U331">
        <v>1</v>
      </c>
      <c r="V331" t="s">
        <v>127</v>
      </c>
      <c r="W331" t="s">
        <v>146</v>
      </c>
      <c r="X331" t="s">
        <v>147</v>
      </c>
      <c r="Y331">
        <v>2</v>
      </c>
      <c r="Z331">
        <v>1</v>
      </c>
      <c r="AA331">
        <v>44.1</v>
      </c>
      <c r="AB331">
        <v>5.1999999999999998E-2</v>
      </c>
      <c r="AC331" t="s">
        <v>146</v>
      </c>
      <c r="AD331">
        <v>4</v>
      </c>
      <c r="AE331">
        <v>2</v>
      </c>
      <c r="AF331">
        <v>0</v>
      </c>
      <c r="AG331">
        <v>1.976</v>
      </c>
      <c r="AH331">
        <v>0.26700000000000002</v>
      </c>
      <c r="AI331">
        <v>5.2999999999999999E-2</v>
      </c>
    </row>
    <row r="332" spans="1:35" x14ac:dyDescent="0.25">
      <c r="A332">
        <v>259</v>
      </c>
      <c r="B332" t="s">
        <v>35</v>
      </c>
      <c r="C332">
        <v>3</v>
      </c>
      <c r="D332" t="s">
        <v>36</v>
      </c>
      <c r="E332">
        <v>2</v>
      </c>
      <c r="F332" t="s">
        <v>259</v>
      </c>
      <c r="G332">
        <v>2</v>
      </c>
      <c r="H332">
        <v>6</v>
      </c>
      <c r="I332">
        <v>2</v>
      </c>
      <c r="J332">
        <v>43</v>
      </c>
      <c r="K332">
        <v>47</v>
      </c>
      <c r="L332">
        <v>33</v>
      </c>
      <c r="M332">
        <v>1</v>
      </c>
      <c r="N332" t="s">
        <v>223</v>
      </c>
      <c r="O332" t="s">
        <v>113</v>
      </c>
      <c r="P332" t="s">
        <v>114</v>
      </c>
      <c r="Q332" t="s">
        <v>224</v>
      </c>
      <c r="R332" t="s">
        <v>114</v>
      </c>
      <c r="S332" t="s">
        <v>59</v>
      </c>
      <c r="T332" t="s">
        <v>56</v>
      </c>
      <c r="U332">
        <v>5</v>
      </c>
      <c r="V332" t="s">
        <v>95</v>
      </c>
      <c r="W332" t="s">
        <v>44</v>
      </c>
      <c r="X332" t="s">
        <v>68</v>
      </c>
      <c r="Y332">
        <v>2</v>
      </c>
      <c r="Z332">
        <v>1</v>
      </c>
      <c r="AA332">
        <v>44.1</v>
      </c>
      <c r="AB332">
        <v>1.0620000000000001</v>
      </c>
      <c r="AC332" t="s">
        <v>68</v>
      </c>
      <c r="AD332">
        <v>4</v>
      </c>
      <c r="AE332">
        <v>2</v>
      </c>
      <c r="AF332">
        <v>0</v>
      </c>
      <c r="AG332">
        <v>1.8069999999999999</v>
      </c>
      <c r="AH332">
        <v>0.1</v>
      </c>
      <c r="AI332">
        <v>1.056</v>
      </c>
    </row>
    <row r="333" spans="1:35" x14ac:dyDescent="0.25">
      <c r="A333">
        <v>259</v>
      </c>
      <c r="B333" t="s">
        <v>35</v>
      </c>
      <c r="C333">
        <v>3</v>
      </c>
      <c r="D333" t="s">
        <v>36</v>
      </c>
      <c r="E333">
        <v>2</v>
      </c>
      <c r="F333" t="s">
        <v>259</v>
      </c>
      <c r="G333">
        <v>2</v>
      </c>
      <c r="H333">
        <v>6</v>
      </c>
      <c r="I333">
        <v>2</v>
      </c>
      <c r="J333">
        <v>44</v>
      </c>
      <c r="K333">
        <v>40</v>
      </c>
      <c r="L333">
        <v>32</v>
      </c>
      <c r="M333">
        <v>1</v>
      </c>
      <c r="N333" t="s">
        <v>234</v>
      </c>
      <c r="O333" t="s">
        <v>113</v>
      </c>
      <c r="P333" t="s">
        <v>114</v>
      </c>
      <c r="Q333" t="s">
        <v>231</v>
      </c>
      <c r="R333" t="s">
        <v>114</v>
      </c>
      <c r="S333" t="s">
        <v>43</v>
      </c>
      <c r="T333" t="s">
        <v>111</v>
      </c>
      <c r="U333">
        <v>4</v>
      </c>
      <c r="V333" t="s">
        <v>81</v>
      </c>
      <c r="W333" t="s">
        <v>62</v>
      </c>
      <c r="X333" t="s">
        <v>98</v>
      </c>
      <c r="Y333">
        <v>2</v>
      </c>
      <c r="Z333">
        <v>1</v>
      </c>
      <c r="AA333">
        <v>44.1</v>
      </c>
      <c r="AB333">
        <v>3.1E-2</v>
      </c>
      <c r="AC333" t="s">
        <v>111</v>
      </c>
      <c r="AD333">
        <v>1</v>
      </c>
      <c r="AE333">
        <v>4</v>
      </c>
      <c r="AF333">
        <v>1</v>
      </c>
      <c r="AG333">
        <v>2.2250000000000001</v>
      </c>
      <c r="AH333">
        <v>0.25</v>
      </c>
      <c r="AI333">
        <v>3.1E-2</v>
      </c>
    </row>
    <row r="334" spans="1:35" x14ac:dyDescent="0.25">
      <c r="A334">
        <v>259</v>
      </c>
      <c r="B334" t="s">
        <v>35</v>
      </c>
      <c r="C334">
        <v>3</v>
      </c>
      <c r="D334" t="s">
        <v>36</v>
      </c>
      <c r="E334">
        <v>2</v>
      </c>
      <c r="F334" t="s">
        <v>259</v>
      </c>
      <c r="G334">
        <v>2</v>
      </c>
      <c r="H334">
        <v>6</v>
      </c>
      <c r="I334">
        <v>2</v>
      </c>
      <c r="J334">
        <v>45</v>
      </c>
      <c r="K334">
        <v>37</v>
      </c>
      <c r="L334">
        <v>35</v>
      </c>
      <c r="M334">
        <v>1</v>
      </c>
      <c r="N334" t="s">
        <v>219</v>
      </c>
      <c r="O334" t="s">
        <v>113</v>
      </c>
      <c r="P334" t="s">
        <v>114</v>
      </c>
      <c r="Q334" t="s">
        <v>220</v>
      </c>
      <c r="R334" t="s">
        <v>114</v>
      </c>
      <c r="S334" t="s">
        <v>92</v>
      </c>
      <c r="T334" t="s">
        <v>179</v>
      </c>
      <c r="U334">
        <v>4</v>
      </c>
      <c r="V334" t="s">
        <v>209</v>
      </c>
      <c r="W334" t="s">
        <v>67</v>
      </c>
      <c r="X334" t="s">
        <v>55</v>
      </c>
      <c r="Y334">
        <v>2</v>
      </c>
      <c r="Z334">
        <v>1</v>
      </c>
      <c r="AA334">
        <v>44.1</v>
      </c>
      <c r="AB334">
        <v>5.2999999999999999E-2</v>
      </c>
      <c r="AC334" t="s">
        <v>179</v>
      </c>
      <c r="AD334">
        <v>1</v>
      </c>
      <c r="AE334">
        <v>4</v>
      </c>
      <c r="AF334">
        <v>1</v>
      </c>
      <c r="AG334">
        <v>1.8640000000000001</v>
      </c>
      <c r="AH334">
        <v>0.217</v>
      </c>
      <c r="AI334">
        <v>5.7000000000000002E-2</v>
      </c>
    </row>
    <row r="335" spans="1:35" x14ac:dyDescent="0.25">
      <c r="A335">
        <v>259</v>
      </c>
      <c r="B335" t="s">
        <v>35</v>
      </c>
      <c r="C335">
        <v>3</v>
      </c>
      <c r="D335" t="s">
        <v>36</v>
      </c>
      <c r="E335">
        <v>2</v>
      </c>
      <c r="F335" t="s">
        <v>259</v>
      </c>
      <c r="G335">
        <v>2</v>
      </c>
      <c r="H335">
        <v>6</v>
      </c>
      <c r="I335">
        <v>2</v>
      </c>
      <c r="J335">
        <v>46</v>
      </c>
      <c r="K335">
        <v>41</v>
      </c>
      <c r="L335">
        <v>65</v>
      </c>
      <c r="M335">
        <v>2</v>
      </c>
      <c r="N335" t="s">
        <v>225</v>
      </c>
      <c r="O335" t="s">
        <v>113</v>
      </c>
      <c r="P335" t="s">
        <v>114</v>
      </c>
      <c r="Q335" t="s">
        <v>226</v>
      </c>
      <c r="R335" t="s">
        <v>114</v>
      </c>
      <c r="S335" t="s">
        <v>59</v>
      </c>
      <c r="T335" t="s">
        <v>87</v>
      </c>
      <c r="U335">
        <v>4</v>
      </c>
      <c r="V335" t="s">
        <v>162</v>
      </c>
      <c r="W335" t="s">
        <v>80</v>
      </c>
      <c r="X335" t="s">
        <v>187</v>
      </c>
      <c r="Y335">
        <v>2</v>
      </c>
      <c r="Z335">
        <v>1</v>
      </c>
      <c r="AA335">
        <v>44.1</v>
      </c>
      <c r="AB335">
        <v>0.2</v>
      </c>
      <c r="AC335" t="s">
        <v>187</v>
      </c>
      <c r="AD335">
        <v>4</v>
      </c>
      <c r="AE335">
        <v>2</v>
      </c>
      <c r="AF335">
        <v>0</v>
      </c>
      <c r="AG335">
        <v>1.607</v>
      </c>
      <c r="AH335">
        <v>0.433</v>
      </c>
      <c r="AI335">
        <v>0.19800000000000001</v>
      </c>
    </row>
    <row r="336" spans="1:35" x14ac:dyDescent="0.25">
      <c r="A336">
        <v>259</v>
      </c>
      <c r="B336" t="s">
        <v>35</v>
      </c>
      <c r="C336">
        <v>3</v>
      </c>
      <c r="D336" t="s">
        <v>36</v>
      </c>
      <c r="E336">
        <v>2</v>
      </c>
      <c r="F336" t="s">
        <v>259</v>
      </c>
      <c r="G336">
        <v>2</v>
      </c>
      <c r="H336">
        <v>6</v>
      </c>
      <c r="I336">
        <v>2</v>
      </c>
      <c r="J336">
        <v>47</v>
      </c>
      <c r="K336">
        <v>31</v>
      </c>
      <c r="L336">
        <v>63</v>
      </c>
      <c r="M336">
        <v>2</v>
      </c>
      <c r="N336" t="s">
        <v>140</v>
      </c>
      <c r="O336" t="s">
        <v>113</v>
      </c>
      <c r="P336" t="s">
        <v>114</v>
      </c>
      <c r="Q336" t="s">
        <v>134</v>
      </c>
      <c r="R336" t="s">
        <v>114</v>
      </c>
      <c r="S336" t="s">
        <v>59</v>
      </c>
      <c r="T336" t="s">
        <v>95</v>
      </c>
      <c r="U336">
        <v>2</v>
      </c>
      <c r="V336" t="s">
        <v>100</v>
      </c>
      <c r="W336" t="s">
        <v>54</v>
      </c>
      <c r="X336" t="s">
        <v>141</v>
      </c>
      <c r="Y336">
        <v>1</v>
      </c>
      <c r="Z336">
        <v>1</v>
      </c>
      <c r="AA336">
        <v>44.1</v>
      </c>
      <c r="AB336">
        <v>0.95099999999999996</v>
      </c>
      <c r="AC336" t="s">
        <v>54</v>
      </c>
      <c r="AD336">
        <v>4</v>
      </c>
      <c r="AE336">
        <v>4</v>
      </c>
      <c r="AF336">
        <v>0</v>
      </c>
      <c r="AG336">
        <v>1.8440000000000001</v>
      </c>
      <c r="AH336">
        <v>0.51700000000000002</v>
      </c>
      <c r="AI336">
        <v>0.95599999999999996</v>
      </c>
    </row>
    <row r="337" spans="1:35" x14ac:dyDescent="0.25">
      <c r="A337">
        <v>259</v>
      </c>
      <c r="B337" t="s">
        <v>35</v>
      </c>
      <c r="C337">
        <v>3</v>
      </c>
      <c r="D337" t="s">
        <v>36</v>
      </c>
      <c r="E337">
        <v>2</v>
      </c>
      <c r="F337" t="s">
        <v>259</v>
      </c>
      <c r="G337">
        <v>2</v>
      </c>
      <c r="H337">
        <v>6</v>
      </c>
      <c r="I337">
        <v>2</v>
      </c>
      <c r="J337">
        <v>48</v>
      </c>
      <c r="K337">
        <v>44</v>
      </c>
      <c r="L337">
        <v>30</v>
      </c>
      <c r="M337">
        <v>1</v>
      </c>
      <c r="N337" t="s">
        <v>233</v>
      </c>
      <c r="O337" t="s">
        <v>113</v>
      </c>
      <c r="P337" t="s">
        <v>114</v>
      </c>
      <c r="Q337" t="s">
        <v>218</v>
      </c>
      <c r="R337" t="s">
        <v>114</v>
      </c>
      <c r="S337" t="s">
        <v>43</v>
      </c>
      <c r="T337" t="s">
        <v>107</v>
      </c>
      <c r="U337">
        <v>2</v>
      </c>
      <c r="V337" t="s">
        <v>214</v>
      </c>
      <c r="W337" t="s">
        <v>156</v>
      </c>
      <c r="X337" t="s">
        <v>103</v>
      </c>
      <c r="Y337">
        <v>1</v>
      </c>
      <c r="Z337">
        <v>1</v>
      </c>
      <c r="AA337">
        <v>44.1</v>
      </c>
      <c r="AB337">
        <v>4.2999999999999997E-2</v>
      </c>
      <c r="AC337" t="s">
        <v>107</v>
      </c>
      <c r="AD337">
        <v>1</v>
      </c>
      <c r="AE337">
        <v>2</v>
      </c>
      <c r="AF337">
        <v>1</v>
      </c>
      <c r="AG337">
        <v>2.5550000000000002</v>
      </c>
      <c r="AH337">
        <v>0.46700000000000003</v>
      </c>
      <c r="AI337">
        <v>4.5999999999999999E-2</v>
      </c>
    </row>
    <row r="338" spans="1:35" x14ac:dyDescent="0.25">
      <c r="A338">
        <v>259</v>
      </c>
      <c r="B338" t="s">
        <v>35</v>
      </c>
      <c r="C338">
        <v>3</v>
      </c>
      <c r="D338" t="s">
        <v>36</v>
      </c>
      <c r="E338">
        <v>2</v>
      </c>
      <c r="F338" t="s">
        <v>259</v>
      </c>
      <c r="G338">
        <v>2</v>
      </c>
      <c r="H338">
        <v>6</v>
      </c>
      <c r="I338">
        <v>2</v>
      </c>
      <c r="J338">
        <v>49</v>
      </c>
      <c r="K338">
        <v>52</v>
      </c>
      <c r="L338">
        <v>14</v>
      </c>
      <c r="M338">
        <v>1</v>
      </c>
      <c r="N338" t="s">
        <v>184</v>
      </c>
      <c r="O338" t="s">
        <v>151</v>
      </c>
      <c r="P338" t="s">
        <v>168</v>
      </c>
      <c r="Q338" t="s">
        <v>169</v>
      </c>
      <c r="R338" t="s">
        <v>154</v>
      </c>
      <c r="S338" t="s">
        <v>92</v>
      </c>
      <c r="T338" t="s">
        <v>141</v>
      </c>
      <c r="U338">
        <v>1</v>
      </c>
      <c r="V338" t="s">
        <v>96</v>
      </c>
      <c r="W338" t="s">
        <v>185</v>
      </c>
      <c r="X338" t="s">
        <v>107</v>
      </c>
      <c r="Y338">
        <v>1</v>
      </c>
      <c r="Z338">
        <v>1</v>
      </c>
      <c r="AA338">
        <v>44.1</v>
      </c>
      <c r="AB338">
        <v>3.1E-2</v>
      </c>
      <c r="AC338" t="s">
        <v>107</v>
      </c>
      <c r="AD338">
        <v>4</v>
      </c>
      <c r="AE338">
        <v>5</v>
      </c>
      <c r="AF338">
        <v>0</v>
      </c>
      <c r="AG338">
        <v>3.036</v>
      </c>
      <c r="AH338">
        <v>0.46700000000000003</v>
      </c>
      <c r="AI338">
        <v>2.7E-2</v>
      </c>
    </row>
    <row r="339" spans="1:35" x14ac:dyDescent="0.25">
      <c r="A339">
        <v>259</v>
      </c>
      <c r="B339" t="s">
        <v>35</v>
      </c>
      <c r="C339">
        <v>3</v>
      </c>
      <c r="D339" t="s">
        <v>36</v>
      </c>
      <c r="E339">
        <v>2</v>
      </c>
      <c r="F339" t="s">
        <v>259</v>
      </c>
      <c r="G339">
        <v>2</v>
      </c>
      <c r="H339">
        <v>6</v>
      </c>
      <c r="I339">
        <v>2</v>
      </c>
      <c r="J339">
        <v>50</v>
      </c>
      <c r="K339">
        <v>54</v>
      </c>
      <c r="L339">
        <v>50</v>
      </c>
      <c r="M339">
        <v>2</v>
      </c>
      <c r="N339" t="s">
        <v>186</v>
      </c>
      <c r="O339" t="s">
        <v>151</v>
      </c>
      <c r="P339" t="s">
        <v>181</v>
      </c>
      <c r="Q339" t="s">
        <v>182</v>
      </c>
      <c r="R339" t="s">
        <v>174</v>
      </c>
      <c r="S339" t="s">
        <v>52</v>
      </c>
      <c r="T339" t="s">
        <v>187</v>
      </c>
      <c r="U339">
        <v>4</v>
      </c>
      <c r="V339" t="s">
        <v>183</v>
      </c>
      <c r="W339" t="s">
        <v>45</v>
      </c>
      <c r="X339" t="s">
        <v>116</v>
      </c>
      <c r="Y339">
        <v>1</v>
      </c>
      <c r="Z339">
        <v>1</v>
      </c>
      <c r="AA339">
        <v>44.1</v>
      </c>
      <c r="AB339">
        <v>0.08</v>
      </c>
      <c r="AC339" t="s">
        <v>45</v>
      </c>
      <c r="AD339">
        <v>4</v>
      </c>
      <c r="AE339">
        <v>2</v>
      </c>
      <c r="AF339">
        <v>0</v>
      </c>
      <c r="AG339">
        <v>1.512</v>
      </c>
      <c r="AH339">
        <v>3.036</v>
      </c>
      <c r="AI339">
        <v>0.08</v>
      </c>
    </row>
    <row r="340" spans="1:35" x14ac:dyDescent="0.25">
      <c r="A340">
        <v>259</v>
      </c>
      <c r="B340" t="s">
        <v>35</v>
      </c>
      <c r="C340">
        <v>3</v>
      </c>
      <c r="D340" t="s">
        <v>36</v>
      </c>
      <c r="E340">
        <v>2</v>
      </c>
      <c r="F340" t="s">
        <v>259</v>
      </c>
      <c r="G340">
        <v>2</v>
      </c>
      <c r="H340">
        <v>6</v>
      </c>
      <c r="I340">
        <v>2</v>
      </c>
      <c r="J340">
        <v>51</v>
      </c>
      <c r="K340">
        <v>71</v>
      </c>
      <c r="L340">
        <v>21</v>
      </c>
      <c r="M340">
        <v>1</v>
      </c>
      <c r="N340" t="s">
        <v>252</v>
      </c>
      <c r="O340" t="s">
        <v>151</v>
      </c>
      <c r="P340" t="s">
        <v>242</v>
      </c>
      <c r="Q340" t="s">
        <v>243</v>
      </c>
      <c r="R340" t="s">
        <v>170</v>
      </c>
      <c r="S340" t="s">
        <v>59</v>
      </c>
      <c r="T340" t="s">
        <v>146</v>
      </c>
      <c r="U340">
        <v>2</v>
      </c>
      <c r="V340" t="s">
        <v>139</v>
      </c>
      <c r="W340" t="s">
        <v>104</v>
      </c>
      <c r="X340" t="s">
        <v>54</v>
      </c>
      <c r="Y340">
        <v>2</v>
      </c>
      <c r="Z340">
        <v>1</v>
      </c>
      <c r="AA340">
        <v>44.1</v>
      </c>
      <c r="AB340">
        <v>8.2000000000000003E-2</v>
      </c>
      <c r="AC340" t="s">
        <v>104</v>
      </c>
      <c r="AD340">
        <v>4</v>
      </c>
      <c r="AE340">
        <v>5</v>
      </c>
      <c r="AF340">
        <v>0</v>
      </c>
      <c r="AG340">
        <v>2.3740000000000001</v>
      </c>
      <c r="AH340">
        <v>0.60099999999999998</v>
      </c>
      <c r="AI340">
        <v>7.0999999999999994E-2</v>
      </c>
    </row>
    <row r="341" spans="1:35" x14ac:dyDescent="0.25">
      <c r="A341">
        <v>259</v>
      </c>
      <c r="B341" t="s">
        <v>35</v>
      </c>
      <c r="C341">
        <v>3</v>
      </c>
      <c r="D341" t="s">
        <v>36</v>
      </c>
      <c r="E341">
        <v>2</v>
      </c>
      <c r="F341" t="s">
        <v>259</v>
      </c>
      <c r="G341">
        <v>2</v>
      </c>
      <c r="H341">
        <v>6</v>
      </c>
      <c r="I341">
        <v>2</v>
      </c>
      <c r="J341">
        <v>52</v>
      </c>
      <c r="K341">
        <v>55</v>
      </c>
      <c r="L341">
        <v>51</v>
      </c>
      <c r="M341">
        <v>2</v>
      </c>
      <c r="N341" t="s">
        <v>176</v>
      </c>
      <c r="O341" t="s">
        <v>151</v>
      </c>
      <c r="P341" t="s">
        <v>177</v>
      </c>
      <c r="Q341" t="s">
        <v>178</v>
      </c>
      <c r="R341" t="s">
        <v>170</v>
      </c>
      <c r="S341" t="s">
        <v>59</v>
      </c>
      <c r="T341" t="s">
        <v>139</v>
      </c>
      <c r="U341">
        <v>5</v>
      </c>
      <c r="V341" t="s">
        <v>108</v>
      </c>
      <c r="W341" t="s">
        <v>179</v>
      </c>
      <c r="X341" t="s">
        <v>144</v>
      </c>
      <c r="Y341">
        <v>1</v>
      </c>
      <c r="Z341">
        <v>1</v>
      </c>
      <c r="AA341">
        <v>44.1</v>
      </c>
      <c r="AB341">
        <v>6.0999999999999999E-2</v>
      </c>
      <c r="AC341" t="s">
        <v>139</v>
      </c>
      <c r="AD341">
        <v>1</v>
      </c>
      <c r="AE341">
        <v>5</v>
      </c>
      <c r="AF341">
        <v>1</v>
      </c>
      <c r="AG341">
        <v>1.3660000000000001</v>
      </c>
      <c r="AH341">
        <v>0.25</v>
      </c>
      <c r="AI341">
        <v>6.6000000000000003E-2</v>
      </c>
    </row>
    <row r="342" spans="1:35" x14ac:dyDescent="0.25">
      <c r="A342">
        <v>259</v>
      </c>
      <c r="B342" t="s">
        <v>35</v>
      </c>
      <c r="C342">
        <v>3</v>
      </c>
      <c r="D342" t="s">
        <v>36</v>
      </c>
      <c r="E342">
        <v>2</v>
      </c>
      <c r="F342" t="s">
        <v>259</v>
      </c>
      <c r="G342">
        <v>2</v>
      </c>
      <c r="H342">
        <v>6</v>
      </c>
      <c r="I342">
        <v>2</v>
      </c>
      <c r="J342">
        <v>53</v>
      </c>
      <c r="K342">
        <v>64</v>
      </c>
      <c r="L342">
        <v>20</v>
      </c>
      <c r="M342">
        <v>1</v>
      </c>
      <c r="N342" t="s">
        <v>238</v>
      </c>
      <c r="O342" t="s">
        <v>151</v>
      </c>
      <c r="P342" t="s">
        <v>239</v>
      </c>
      <c r="Q342" t="s">
        <v>240</v>
      </c>
      <c r="R342" t="s">
        <v>160</v>
      </c>
      <c r="S342" t="s">
        <v>43</v>
      </c>
      <c r="T342" t="s">
        <v>82</v>
      </c>
      <c r="U342">
        <v>5</v>
      </c>
      <c r="V342" t="s">
        <v>110</v>
      </c>
      <c r="W342" t="s">
        <v>137</v>
      </c>
      <c r="X342" t="s">
        <v>149</v>
      </c>
      <c r="Y342">
        <v>2</v>
      </c>
      <c r="Z342">
        <v>1</v>
      </c>
      <c r="AA342">
        <v>44.1</v>
      </c>
      <c r="AB342">
        <v>1.071</v>
      </c>
      <c r="AC342" t="s">
        <v>82</v>
      </c>
      <c r="AD342">
        <v>1</v>
      </c>
      <c r="AE342">
        <v>5</v>
      </c>
      <c r="AF342">
        <v>1</v>
      </c>
      <c r="AG342">
        <v>0.81799999999999995</v>
      </c>
      <c r="AH342">
        <v>0.217</v>
      </c>
      <c r="AI342">
        <v>1.073</v>
      </c>
    </row>
    <row r="343" spans="1:35" x14ac:dyDescent="0.25">
      <c r="A343">
        <v>259</v>
      </c>
      <c r="B343" t="s">
        <v>35</v>
      </c>
      <c r="C343">
        <v>3</v>
      </c>
      <c r="D343" t="s">
        <v>36</v>
      </c>
      <c r="E343">
        <v>2</v>
      </c>
      <c r="F343" t="s">
        <v>259</v>
      </c>
      <c r="G343">
        <v>2</v>
      </c>
      <c r="H343">
        <v>6</v>
      </c>
      <c r="I343">
        <v>2</v>
      </c>
      <c r="J343">
        <v>54</v>
      </c>
      <c r="K343">
        <v>68</v>
      </c>
      <c r="L343">
        <v>18</v>
      </c>
      <c r="M343">
        <v>1</v>
      </c>
      <c r="N343" t="s">
        <v>258</v>
      </c>
      <c r="O343" t="s">
        <v>151</v>
      </c>
      <c r="P343" t="s">
        <v>255</v>
      </c>
      <c r="Q343" t="s">
        <v>256</v>
      </c>
      <c r="R343" t="s">
        <v>160</v>
      </c>
      <c r="S343" t="s">
        <v>43</v>
      </c>
      <c r="T343" t="s">
        <v>110</v>
      </c>
      <c r="U343">
        <v>4</v>
      </c>
      <c r="V343" t="s">
        <v>47</v>
      </c>
      <c r="W343" t="s">
        <v>98</v>
      </c>
      <c r="X343" t="s">
        <v>130</v>
      </c>
      <c r="Y343">
        <v>1</v>
      </c>
      <c r="Z343">
        <v>1</v>
      </c>
      <c r="AA343">
        <v>44.1</v>
      </c>
      <c r="AB343">
        <v>0.83899999999999997</v>
      </c>
      <c r="AC343" t="s">
        <v>110</v>
      </c>
      <c r="AD343">
        <v>1</v>
      </c>
      <c r="AE343">
        <v>4</v>
      </c>
      <c r="AF343">
        <v>1</v>
      </c>
      <c r="AG343">
        <v>2.2770000000000001</v>
      </c>
      <c r="AH343">
        <v>0.36699999999999999</v>
      </c>
      <c r="AI343">
        <v>0.83599999999999997</v>
      </c>
    </row>
    <row r="344" spans="1:35" x14ac:dyDescent="0.25">
      <c r="A344">
        <v>259</v>
      </c>
      <c r="B344" t="s">
        <v>35</v>
      </c>
      <c r="C344">
        <v>3</v>
      </c>
      <c r="D344" t="s">
        <v>36</v>
      </c>
      <c r="E344">
        <v>2</v>
      </c>
      <c r="F344" t="s">
        <v>259</v>
      </c>
      <c r="G344">
        <v>2</v>
      </c>
      <c r="H344">
        <v>6</v>
      </c>
      <c r="I344">
        <v>2</v>
      </c>
      <c r="J344">
        <v>55</v>
      </c>
      <c r="K344">
        <v>61</v>
      </c>
      <c r="L344">
        <v>23</v>
      </c>
      <c r="M344">
        <v>1</v>
      </c>
      <c r="N344" t="s">
        <v>244</v>
      </c>
      <c r="O344" t="s">
        <v>151</v>
      </c>
      <c r="P344" t="s">
        <v>245</v>
      </c>
      <c r="Q344" t="s">
        <v>246</v>
      </c>
      <c r="R344" t="s">
        <v>154</v>
      </c>
      <c r="S344" t="s">
        <v>92</v>
      </c>
      <c r="T344" t="s">
        <v>62</v>
      </c>
      <c r="U344">
        <v>1</v>
      </c>
      <c r="V344" t="s">
        <v>68</v>
      </c>
      <c r="W344" t="s">
        <v>87</v>
      </c>
      <c r="X344" t="s">
        <v>73</v>
      </c>
      <c r="Y344">
        <v>2</v>
      </c>
      <c r="Z344">
        <v>1</v>
      </c>
      <c r="AA344">
        <v>44.1</v>
      </c>
      <c r="AB344">
        <v>0.14099999999999999</v>
      </c>
      <c r="AC344" t="s">
        <v>87</v>
      </c>
      <c r="AD344">
        <v>4</v>
      </c>
      <c r="AE344">
        <v>5</v>
      </c>
      <c r="AF344">
        <v>0</v>
      </c>
      <c r="AG344">
        <v>2.3879999999999999</v>
      </c>
      <c r="AH344">
        <v>0.38300000000000001</v>
      </c>
      <c r="AI344">
        <v>0.13200000000000001</v>
      </c>
    </row>
    <row r="345" spans="1:35" x14ac:dyDescent="0.25">
      <c r="A345">
        <v>259</v>
      </c>
      <c r="B345" t="s">
        <v>35</v>
      </c>
      <c r="C345">
        <v>3</v>
      </c>
      <c r="D345" t="s">
        <v>36</v>
      </c>
      <c r="E345">
        <v>2</v>
      </c>
      <c r="F345" t="s">
        <v>259</v>
      </c>
      <c r="G345">
        <v>2</v>
      </c>
      <c r="H345">
        <v>6</v>
      </c>
      <c r="I345">
        <v>2</v>
      </c>
      <c r="J345">
        <v>56</v>
      </c>
      <c r="K345">
        <v>49</v>
      </c>
      <c r="L345">
        <v>59</v>
      </c>
      <c r="M345">
        <v>2</v>
      </c>
      <c r="N345" t="s">
        <v>171</v>
      </c>
      <c r="O345" t="s">
        <v>151</v>
      </c>
      <c r="P345" t="s">
        <v>158</v>
      </c>
      <c r="Q345" t="s">
        <v>159</v>
      </c>
      <c r="R345" t="s">
        <v>170</v>
      </c>
      <c r="S345" t="s">
        <v>59</v>
      </c>
      <c r="T345" t="s">
        <v>103</v>
      </c>
      <c r="U345">
        <v>4</v>
      </c>
      <c r="V345" t="s">
        <v>161</v>
      </c>
      <c r="W345" t="s">
        <v>69</v>
      </c>
      <c r="X345" t="s">
        <v>172</v>
      </c>
      <c r="Y345">
        <v>1</v>
      </c>
      <c r="Z345">
        <v>1</v>
      </c>
      <c r="AA345">
        <v>44.1</v>
      </c>
      <c r="AB345">
        <v>1.131</v>
      </c>
      <c r="AC345" t="s">
        <v>103</v>
      </c>
      <c r="AD345">
        <v>1</v>
      </c>
      <c r="AE345">
        <v>4</v>
      </c>
      <c r="AF345">
        <v>1</v>
      </c>
      <c r="AG345">
        <v>1.6140000000000001</v>
      </c>
      <c r="AH345">
        <v>1.7000000000000001E-2</v>
      </c>
      <c r="AI345">
        <v>1.1240000000000001</v>
      </c>
    </row>
    <row r="346" spans="1:35" x14ac:dyDescent="0.25">
      <c r="A346">
        <v>259</v>
      </c>
      <c r="B346" t="s">
        <v>35</v>
      </c>
      <c r="C346">
        <v>3</v>
      </c>
      <c r="D346" t="s">
        <v>36</v>
      </c>
      <c r="E346">
        <v>2</v>
      </c>
      <c r="F346" t="s">
        <v>259</v>
      </c>
      <c r="G346">
        <v>2</v>
      </c>
      <c r="H346">
        <v>6</v>
      </c>
      <c r="I346">
        <v>2</v>
      </c>
      <c r="J346">
        <v>57</v>
      </c>
      <c r="K346">
        <v>57</v>
      </c>
      <c r="L346">
        <v>15</v>
      </c>
      <c r="M346">
        <v>1</v>
      </c>
      <c r="N346" t="s">
        <v>150</v>
      </c>
      <c r="O346" t="s">
        <v>151</v>
      </c>
      <c r="P346" t="s">
        <v>152</v>
      </c>
      <c r="Q346" t="s">
        <v>153</v>
      </c>
      <c r="R346" t="s">
        <v>154</v>
      </c>
      <c r="S346" t="s">
        <v>92</v>
      </c>
      <c r="T346" t="s">
        <v>155</v>
      </c>
      <c r="U346">
        <v>4</v>
      </c>
      <c r="V346" t="s">
        <v>141</v>
      </c>
      <c r="W346" t="s">
        <v>124</v>
      </c>
      <c r="X346" t="s">
        <v>156</v>
      </c>
      <c r="Y346">
        <v>2</v>
      </c>
      <c r="Z346">
        <v>1</v>
      </c>
      <c r="AA346">
        <v>44.1</v>
      </c>
      <c r="AB346">
        <v>1.089</v>
      </c>
      <c r="AC346" t="s">
        <v>155</v>
      </c>
      <c r="AD346">
        <v>1</v>
      </c>
      <c r="AE346">
        <v>4</v>
      </c>
      <c r="AF346">
        <v>1</v>
      </c>
      <c r="AG346">
        <v>2.4009999999999998</v>
      </c>
      <c r="AH346">
        <v>3.3000000000000002E-2</v>
      </c>
      <c r="AI346">
        <v>1.0840000000000001</v>
      </c>
    </row>
    <row r="347" spans="1:35" x14ac:dyDescent="0.25">
      <c r="A347">
        <v>259</v>
      </c>
      <c r="B347" t="s">
        <v>35</v>
      </c>
      <c r="C347">
        <v>3</v>
      </c>
      <c r="D347" t="s">
        <v>36</v>
      </c>
      <c r="E347">
        <v>2</v>
      </c>
      <c r="F347" t="s">
        <v>259</v>
      </c>
      <c r="G347">
        <v>2</v>
      </c>
      <c r="H347">
        <v>6</v>
      </c>
      <c r="I347">
        <v>2</v>
      </c>
      <c r="J347">
        <v>58</v>
      </c>
      <c r="K347">
        <v>50</v>
      </c>
      <c r="L347">
        <v>60</v>
      </c>
      <c r="M347">
        <v>2</v>
      </c>
      <c r="N347" t="s">
        <v>157</v>
      </c>
      <c r="O347" t="s">
        <v>151</v>
      </c>
      <c r="P347" t="s">
        <v>158</v>
      </c>
      <c r="Q347" t="s">
        <v>159</v>
      </c>
      <c r="R347" t="s">
        <v>160</v>
      </c>
      <c r="S347" t="s">
        <v>43</v>
      </c>
      <c r="T347" t="s">
        <v>161</v>
      </c>
      <c r="U347">
        <v>2</v>
      </c>
      <c r="V347" t="s">
        <v>121</v>
      </c>
      <c r="W347" t="s">
        <v>94</v>
      </c>
      <c r="X347" t="s">
        <v>162</v>
      </c>
      <c r="Y347">
        <v>2</v>
      </c>
      <c r="Z347">
        <v>1</v>
      </c>
      <c r="AA347">
        <v>44.1</v>
      </c>
      <c r="AB347">
        <v>6.3E-2</v>
      </c>
      <c r="AC347" t="s">
        <v>161</v>
      </c>
      <c r="AD347">
        <v>1</v>
      </c>
      <c r="AE347">
        <v>2</v>
      </c>
      <c r="AF347">
        <v>1</v>
      </c>
      <c r="AG347">
        <v>0.96299999999999997</v>
      </c>
      <c r="AH347">
        <v>0.55000000000000004</v>
      </c>
      <c r="AI347">
        <v>0.06</v>
      </c>
    </row>
    <row r="348" spans="1:35" x14ac:dyDescent="0.25">
      <c r="A348">
        <v>259</v>
      </c>
      <c r="B348" t="s">
        <v>35</v>
      </c>
      <c r="C348">
        <v>3</v>
      </c>
      <c r="D348" t="s">
        <v>36</v>
      </c>
      <c r="E348">
        <v>2</v>
      </c>
      <c r="F348" t="s">
        <v>259</v>
      </c>
      <c r="G348">
        <v>2</v>
      </c>
      <c r="H348">
        <v>6</v>
      </c>
      <c r="I348">
        <v>2</v>
      </c>
      <c r="J348">
        <v>59</v>
      </c>
      <c r="K348">
        <v>66</v>
      </c>
      <c r="L348">
        <v>54</v>
      </c>
      <c r="M348">
        <v>2</v>
      </c>
      <c r="N348" t="s">
        <v>248</v>
      </c>
      <c r="O348" t="s">
        <v>151</v>
      </c>
      <c r="P348" t="s">
        <v>249</v>
      </c>
      <c r="Q348" t="s">
        <v>250</v>
      </c>
      <c r="R348" t="s">
        <v>154</v>
      </c>
      <c r="S348" t="s">
        <v>92</v>
      </c>
      <c r="T348" t="s">
        <v>68</v>
      </c>
      <c r="U348">
        <v>1</v>
      </c>
      <c r="V348" t="s">
        <v>204</v>
      </c>
      <c r="W348" t="s">
        <v>214</v>
      </c>
      <c r="X348" t="s">
        <v>131</v>
      </c>
      <c r="Y348">
        <v>1</v>
      </c>
      <c r="Z348">
        <v>1</v>
      </c>
      <c r="AA348">
        <v>44.1</v>
      </c>
      <c r="AB348">
        <v>1.9E-2</v>
      </c>
      <c r="AC348" t="s">
        <v>204</v>
      </c>
      <c r="AD348">
        <v>2</v>
      </c>
      <c r="AE348">
        <v>4</v>
      </c>
      <c r="AF348">
        <v>0</v>
      </c>
      <c r="AG348">
        <v>1.994</v>
      </c>
      <c r="AH348">
        <v>0.13300000000000001</v>
      </c>
      <c r="AI348">
        <v>1.2E-2</v>
      </c>
    </row>
    <row r="349" spans="1:35" x14ac:dyDescent="0.25">
      <c r="A349">
        <v>259</v>
      </c>
      <c r="B349" t="s">
        <v>35</v>
      </c>
      <c r="C349">
        <v>3</v>
      </c>
      <c r="D349" t="s">
        <v>36</v>
      </c>
      <c r="E349">
        <v>2</v>
      </c>
      <c r="F349" t="s">
        <v>259</v>
      </c>
      <c r="G349">
        <v>2</v>
      </c>
      <c r="H349">
        <v>6</v>
      </c>
      <c r="I349">
        <v>2</v>
      </c>
      <c r="J349">
        <v>60</v>
      </c>
      <c r="K349">
        <v>70</v>
      </c>
      <c r="L349">
        <v>58</v>
      </c>
      <c r="M349">
        <v>2</v>
      </c>
      <c r="N349" t="s">
        <v>235</v>
      </c>
      <c r="O349" t="s">
        <v>151</v>
      </c>
      <c r="P349" t="s">
        <v>236</v>
      </c>
      <c r="Q349" t="s">
        <v>237</v>
      </c>
      <c r="R349" t="s">
        <v>160</v>
      </c>
      <c r="S349" t="s">
        <v>43</v>
      </c>
      <c r="T349" t="s">
        <v>55</v>
      </c>
      <c r="U349">
        <v>2</v>
      </c>
      <c r="V349" t="s">
        <v>75</v>
      </c>
      <c r="W349" t="s">
        <v>106</v>
      </c>
      <c r="X349" t="s">
        <v>127</v>
      </c>
      <c r="Y349">
        <v>1</v>
      </c>
      <c r="Z349">
        <v>1</v>
      </c>
      <c r="AA349">
        <v>44.1</v>
      </c>
      <c r="AB349">
        <v>0.95199999999999996</v>
      </c>
      <c r="AC349" t="s">
        <v>106</v>
      </c>
      <c r="AD349">
        <v>4</v>
      </c>
      <c r="AE349">
        <v>5</v>
      </c>
      <c r="AF349">
        <v>0</v>
      </c>
      <c r="AG349">
        <v>2.1379999999999999</v>
      </c>
      <c r="AH349">
        <v>0.26700000000000002</v>
      </c>
      <c r="AI349">
        <v>0.95399999999999996</v>
      </c>
    </row>
    <row r="350" spans="1:35" x14ac:dyDescent="0.25">
      <c r="A350">
        <v>259</v>
      </c>
      <c r="B350" t="s">
        <v>35</v>
      </c>
      <c r="C350">
        <v>3</v>
      </c>
      <c r="D350" t="s">
        <v>36</v>
      </c>
      <c r="E350">
        <v>2</v>
      </c>
      <c r="F350" t="s">
        <v>259</v>
      </c>
      <c r="G350">
        <v>2</v>
      </c>
      <c r="H350">
        <v>6</v>
      </c>
      <c r="I350">
        <v>2</v>
      </c>
      <c r="J350">
        <v>61</v>
      </c>
      <c r="K350">
        <v>67</v>
      </c>
      <c r="L350">
        <v>17</v>
      </c>
      <c r="M350">
        <v>1</v>
      </c>
      <c r="N350" t="s">
        <v>254</v>
      </c>
      <c r="O350" t="s">
        <v>151</v>
      </c>
      <c r="P350" t="s">
        <v>255</v>
      </c>
      <c r="Q350" t="s">
        <v>256</v>
      </c>
      <c r="R350" t="s">
        <v>174</v>
      </c>
      <c r="S350" t="s">
        <v>52</v>
      </c>
      <c r="T350" t="s">
        <v>47</v>
      </c>
      <c r="U350">
        <v>4</v>
      </c>
      <c r="V350" t="s">
        <v>187</v>
      </c>
      <c r="W350" t="s">
        <v>111</v>
      </c>
      <c r="X350" t="s">
        <v>67</v>
      </c>
      <c r="Y350">
        <v>2</v>
      </c>
      <c r="Z350">
        <v>1</v>
      </c>
      <c r="AA350">
        <v>44.1</v>
      </c>
      <c r="AB350">
        <v>6.2E-2</v>
      </c>
      <c r="AC350" t="s">
        <v>47</v>
      </c>
      <c r="AD350">
        <v>1</v>
      </c>
      <c r="AE350">
        <v>4</v>
      </c>
      <c r="AF350">
        <v>1</v>
      </c>
      <c r="AG350">
        <v>2.5379999999999998</v>
      </c>
      <c r="AH350">
        <v>0.35</v>
      </c>
      <c r="AI350">
        <v>5.1999999999999998E-2</v>
      </c>
    </row>
    <row r="351" spans="1:35" x14ac:dyDescent="0.25">
      <c r="A351">
        <v>259</v>
      </c>
      <c r="B351" t="s">
        <v>35</v>
      </c>
      <c r="C351">
        <v>3</v>
      </c>
      <c r="D351" t="s">
        <v>36</v>
      </c>
      <c r="E351">
        <v>2</v>
      </c>
      <c r="F351" t="s">
        <v>259</v>
      </c>
      <c r="G351">
        <v>2</v>
      </c>
      <c r="H351">
        <v>6</v>
      </c>
      <c r="I351">
        <v>2</v>
      </c>
      <c r="J351">
        <v>62</v>
      </c>
      <c r="K351">
        <v>60</v>
      </c>
      <c r="L351">
        <v>56</v>
      </c>
      <c r="M351">
        <v>2</v>
      </c>
      <c r="N351" t="s">
        <v>175</v>
      </c>
      <c r="O351" t="s">
        <v>151</v>
      </c>
      <c r="P351" t="s">
        <v>164</v>
      </c>
      <c r="Q351" t="s">
        <v>165</v>
      </c>
      <c r="R351" t="s">
        <v>174</v>
      </c>
      <c r="S351" t="s">
        <v>52</v>
      </c>
      <c r="T351" t="s">
        <v>166</v>
      </c>
      <c r="U351">
        <v>1</v>
      </c>
      <c r="V351" t="s">
        <v>132</v>
      </c>
      <c r="W351" t="s">
        <v>100</v>
      </c>
      <c r="X351" t="s">
        <v>80</v>
      </c>
      <c r="Y351">
        <v>2</v>
      </c>
      <c r="Z351">
        <v>1</v>
      </c>
      <c r="AA351">
        <v>44.1</v>
      </c>
      <c r="AB351">
        <v>5.0999999999999997E-2</v>
      </c>
      <c r="AC351" t="s">
        <v>100</v>
      </c>
      <c r="AD351">
        <v>4</v>
      </c>
      <c r="AE351">
        <v>2</v>
      </c>
      <c r="AF351">
        <v>0</v>
      </c>
      <c r="AG351">
        <v>2.3460000000000001</v>
      </c>
      <c r="AH351">
        <v>0.48399999999999999</v>
      </c>
      <c r="AI351">
        <v>4.2000000000000003E-2</v>
      </c>
    </row>
    <row r="352" spans="1:35" x14ac:dyDescent="0.25">
      <c r="A352">
        <v>259</v>
      </c>
      <c r="B352" t="s">
        <v>35</v>
      </c>
      <c r="C352">
        <v>3</v>
      </c>
      <c r="D352" t="s">
        <v>36</v>
      </c>
      <c r="E352">
        <v>2</v>
      </c>
      <c r="F352" t="s">
        <v>259</v>
      </c>
      <c r="G352">
        <v>2</v>
      </c>
      <c r="H352">
        <v>6</v>
      </c>
      <c r="I352">
        <v>2</v>
      </c>
      <c r="J352">
        <v>63</v>
      </c>
      <c r="K352">
        <v>51</v>
      </c>
      <c r="L352">
        <v>13</v>
      </c>
      <c r="M352">
        <v>1</v>
      </c>
      <c r="N352" t="s">
        <v>167</v>
      </c>
      <c r="O352" t="s">
        <v>151</v>
      </c>
      <c r="P352" t="s">
        <v>168</v>
      </c>
      <c r="Q352" t="s">
        <v>169</v>
      </c>
      <c r="R352" t="s">
        <v>170</v>
      </c>
      <c r="S352" t="s">
        <v>59</v>
      </c>
      <c r="T352" t="s">
        <v>96</v>
      </c>
      <c r="U352">
        <v>5</v>
      </c>
      <c r="V352" t="s">
        <v>103</v>
      </c>
      <c r="W352" t="s">
        <v>128</v>
      </c>
      <c r="X352" t="s">
        <v>93</v>
      </c>
      <c r="Y352">
        <v>2</v>
      </c>
      <c r="Z352">
        <v>1</v>
      </c>
      <c r="AA352">
        <v>44.1</v>
      </c>
      <c r="AB352">
        <v>5.0000000000000001E-3</v>
      </c>
      <c r="AC352" t="s">
        <v>93</v>
      </c>
      <c r="AD352">
        <v>4</v>
      </c>
      <c r="AE352">
        <v>1</v>
      </c>
      <c r="AF352">
        <v>0</v>
      </c>
      <c r="AG352">
        <v>1.821</v>
      </c>
      <c r="AH352">
        <v>1.7000000000000001E-2</v>
      </c>
      <c r="AI352">
        <v>1E-3</v>
      </c>
    </row>
    <row r="353" spans="1:35" x14ac:dyDescent="0.25">
      <c r="A353">
        <v>259</v>
      </c>
      <c r="B353" t="s">
        <v>35</v>
      </c>
      <c r="C353">
        <v>3</v>
      </c>
      <c r="D353" t="s">
        <v>36</v>
      </c>
      <c r="E353">
        <v>2</v>
      </c>
      <c r="F353" t="s">
        <v>259</v>
      </c>
      <c r="G353">
        <v>2</v>
      </c>
      <c r="H353">
        <v>6</v>
      </c>
      <c r="I353">
        <v>2</v>
      </c>
      <c r="J353">
        <v>64</v>
      </c>
      <c r="K353">
        <v>58</v>
      </c>
      <c r="L353">
        <v>16</v>
      </c>
      <c r="M353">
        <v>1</v>
      </c>
      <c r="N353" t="s">
        <v>173</v>
      </c>
      <c r="O353" t="s">
        <v>151</v>
      </c>
      <c r="P353" t="s">
        <v>152</v>
      </c>
      <c r="Q353" t="s">
        <v>153</v>
      </c>
      <c r="R353" t="s">
        <v>174</v>
      </c>
      <c r="S353" t="s">
        <v>52</v>
      </c>
      <c r="T353" t="s">
        <v>99</v>
      </c>
      <c r="U353">
        <v>1</v>
      </c>
      <c r="V353" t="s">
        <v>155</v>
      </c>
      <c r="W353" t="s">
        <v>66</v>
      </c>
      <c r="X353" t="s">
        <v>81</v>
      </c>
      <c r="Y353">
        <v>1</v>
      </c>
      <c r="Z353">
        <v>1</v>
      </c>
      <c r="AA353">
        <v>44.1</v>
      </c>
      <c r="AB353">
        <v>1.139</v>
      </c>
      <c r="AC353" t="s">
        <v>99</v>
      </c>
      <c r="AD353">
        <v>1</v>
      </c>
      <c r="AE353">
        <v>1</v>
      </c>
      <c r="AF353">
        <v>1</v>
      </c>
      <c r="AG353">
        <v>2.1880000000000002</v>
      </c>
      <c r="AH353">
        <v>0.26700000000000002</v>
      </c>
      <c r="AI353">
        <v>1.131</v>
      </c>
    </row>
    <row r="354" spans="1:35" x14ac:dyDescent="0.25">
      <c r="A354">
        <v>259</v>
      </c>
      <c r="B354" t="s">
        <v>35</v>
      </c>
      <c r="C354">
        <v>3</v>
      </c>
      <c r="D354" t="s">
        <v>36</v>
      </c>
      <c r="E354">
        <v>2</v>
      </c>
      <c r="F354" t="s">
        <v>259</v>
      </c>
      <c r="G354">
        <v>2</v>
      </c>
      <c r="H354">
        <v>6</v>
      </c>
      <c r="I354">
        <v>2</v>
      </c>
      <c r="J354">
        <v>65</v>
      </c>
      <c r="K354">
        <v>69</v>
      </c>
      <c r="L354">
        <v>57</v>
      </c>
      <c r="M354">
        <v>2</v>
      </c>
      <c r="N354" t="s">
        <v>247</v>
      </c>
      <c r="O354" t="s">
        <v>151</v>
      </c>
      <c r="P354" t="s">
        <v>236</v>
      </c>
      <c r="Q354" t="s">
        <v>237</v>
      </c>
      <c r="R354" t="s">
        <v>174</v>
      </c>
      <c r="S354" t="s">
        <v>52</v>
      </c>
      <c r="T354" t="s">
        <v>75</v>
      </c>
      <c r="U354">
        <v>2</v>
      </c>
      <c r="V354" t="s">
        <v>99</v>
      </c>
      <c r="W354" t="s">
        <v>147</v>
      </c>
      <c r="X354" t="s">
        <v>46</v>
      </c>
      <c r="Y354">
        <v>2</v>
      </c>
      <c r="Z354">
        <v>1</v>
      </c>
      <c r="AA354">
        <v>44.1</v>
      </c>
      <c r="AB354">
        <v>1</v>
      </c>
      <c r="AC354" t="s">
        <v>75</v>
      </c>
      <c r="AD354">
        <v>1</v>
      </c>
      <c r="AE354">
        <v>2</v>
      </c>
      <c r="AF354">
        <v>1</v>
      </c>
      <c r="AG354">
        <v>1.8859999999999999</v>
      </c>
      <c r="AH354">
        <v>0.41699999999999998</v>
      </c>
      <c r="AI354">
        <v>0.999</v>
      </c>
    </row>
    <row r="355" spans="1:35" x14ac:dyDescent="0.25">
      <c r="A355">
        <v>259</v>
      </c>
      <c r="B355" t="s">
        <v>35</v>
      </c>
      <c r="C355">
        <v>3</v>
      </c>
      <c r="D355" t="s">
        <v>36</v>
      </c>
      <c r="E355">
        <v>2</v>
      </c>
      <c r="F355" t="s">
        <v>259</v>
      </c>
      <c r="G355">
        <v>2</v>
      </c>
      <c r="H355">
        <v>6</v>
      </c>
      <c r="I355">
        <v>2</v>
      </c>
      <c r="J355">
        <v>66</v>
      </c>
      <c r="K355">
        <v>62</v>
      </c>
      <c r="L355">
        <v>24</v>
      </c>
      <c r="M355">
        <v>1</v>
      </c>
      <c r="N355" t="s">
        <v>251</v>
      </c>
      <c r="O355" t="s">
        <v>151</v>
      </c>
      <c r="P355" t="s">
        <v>245</v>
      </c>
      <c r="Q355" t="s">
        <v>246</v>
      </c>
      <c r="R355" t="s">
        <v>160</v>
      </c>
      <c r="S355" t="s">
        <v>43</v>
      </c>
      <c r="T355" t="s">
        <v>121</v>
      </c>
      <c r="U355">
        <v>4</v>
      </c>
      <c r="V355" t="s">
        <v>62</v>
      </c>
      <c r="W355" t="s">
        <v>102</v>
      </c>
      <c r="X355" t="s">
        <v>119</v>
      </c>
      <c r="Y355">
        <v>1</v>
      </c>
      <c r="Z355">
        <v>1</v>
      </c>
      <c r="AA355">
        <v>44.1</v>
      </c>
      <c r="AB355">
        <v>8.2000000000000003E-2</v>
      </c>
      <c r="AC355" t="s">
        <v>102</v>
      </c>
      <c r="AD355">
        <v>4</v>
      </c>
      <c r="AE355">
        <v>2</v>
      </c>
      <c r="AF355">
        <v>0</v>
      </c>
      <c r="AG355">
        <v>1.8240000000000001</v>
      </c>
      <c r="AH355">
        <v>0.05</v>
      </c>
      <c r="AI355">
        <v>7.5999999999999998E-2</v>
      </c>
    </row>
    <row r="356" spans="1:35" x14ac:dyDescent="0.25">
      <c r="A356">
        <v>259</v>
      </c>
      <c r="B356" t="s">
        <v>35</v>
      </c>
      <c r="C356">
        <v>3</v>
      </c>
      <c r="D356" t="s">
        <v>36</v>
      </c>
      <c r="E356">
        <v>2</v>
      </c>
      <c r="F356" t="s">
        <v>259</v>
      </c>
      <c r="G356">
        <v>2</v>
      </c>
      <c r="H356">
        <v>6</v>
      </c>
      <c r="I356">
        <v>2</v>
      </c>
      <c r="J356">
        <v>67</v>
      </c>
      <c r="K356">
        <v>72</v>
      </c>
      <c r="L356">
        <v>22</v>
      </c>
      <c r="M356">
        <v>1</v>
      </c>
      <c r="N356" t="s">
        <v>241</v>
      </c>
      <c r="O356" t="s">
        <v>151</v>
      </c>
      <c r="P356" t="s">
        <v>242</v>
      </c>
      <c r="Q356" t="s">
        <v>243</v>
      </c>
      <c r="R356" t="s">
        <v>174</v>
      </c>
      <c r="S356" t="s">
        <v>52</v>
      </c>
      <c r="T356" t="s">
        <v>132</v>
      </c>
      <c r="U356">
        <v>1</v>
      </c>
      <c r="V356" t="s">
        <v>146</v>
      </c>
      <c r="W356" t="s">
        <v>120</v>
      </c>
      <c r="X356" t="s">
        <v>44</v>
      </c>
      <c r="Y356">
        <v>1</v>
      </c>
      <c r="Z356">
        <v>1</v>
      </c>
      <c r="AA356">
        <v>44.1</v>
      </c>
      <c r="AB356">
        <v>0.96199999999999997</v>
      </c>
      <c r="AC356" t="s">
        <v>132</v>
      </c>
      <c r="AD356">
        <v>1</v>
      </c>
      <c r="AE356">
        <v>1</v>
      </c>
      <c r="AF356">
        <v>1</v>
      </c>
      <c r="AG356">
        <v>2.0230000000000001</v>
      </c>
      <c r="AH356">
        <v>8.3000000000000004E-2</v>
      </c>
      <c r="AI356">
        <v>0.95099999999999996</v>
      </c>
    </row>
    <row r="357" spans="1:35" x14ac:dyDescent="0.25">
      <c r="A357">
        <v>259</v>
      </c>
      <c r="B357" t="s">
        <v>35</v>
      </c>
      <c r="C357">
        <v>3</v>
      </c>
      <c r="D357" t="s">
        <v>36</v>
      </c>
      <c r="E357">
        <v>2</v>
      </c>
      <c r="F357" t="s">
        <v>259</v>
      </c>
      <c r="G357">
        <v>2</v>
      </c>
      <c r="H357">
        <v>6</v>
      </c>
      <c r="I357">
        <v>2</v>
      </c>
      <c r="J357">
        <v>68</v>
      </c>
      <c r="K357">
        <v>53</v>
      </c>
      <c r="L357">
        <v>49</v>
      </c>
      <c r="M357">
        <v>2</v>
      </c>
      <c r="N357" t="s">
        <v>180</v>
      </c>
      <c r="O357" t="s">
        <v>151</v>
      </c>
      <c r="P357" t="s">
        <v>181</v>
      </c>
      <c r="Q357" t="s">
        <v>182</v>
      </c>
      <c r="R357" t="s">
        <v>154</v>
      </c>
      <c r="S357" t="s">
        <v>92</v>
      </c>
      <c r="T357" t="s">
        <v>183</v>
      </c>
      <c r="U357">
        <v>4</v>
      </c>
      <c r="V357" t="s">
        <v>86</v>
      </c>
      <c r="W357" t="s">
        <v>60</v>
      </c>
      <c r="X357" t="s">
        <v>61</v>
      </c>
      <c r="Y357">
        <v>2</v>
      </c>
      <c r="Z357">
        <v>1</v>
      </c>
      <c r="AA357">
        <v>44.1</v>
      </c>
      <c r="AB357">
        <v>0.01</v>
      </c>
      <c r="AC357" t="s">
        <v>61</v>
      </c>
      <c r="AD357">
        <v>4</v>
      </c>
      <c r="AE357">
        <v>2</v>
      </c>
      <c r="AF357">
        <v>0</v>
      </c>
      <c r="AG357">
        <v>2.0329999999999999</v>
      </c>
      <c r="AH357">
        <v>0.16700000000000001</v>
      </c>
      <c r="AI357">
        <v>1.2999999999999999E-2</v>
      </c>
    </row>
    <row r="358" spans="1:35" x14ac:dyDescent="0.25">
      <c r="A358">
        <v>259</v>
      </c>
      <c r="B358" t="s">
        <v>35</v>
      </c>
      <c r="C358">
        <v>3</v>
      </c>
      <c r="D358" t="s">
        <v>36</v>
      </c>
      <c r="E358">
        <v>2</v>
      </c>
      <c r="F358" t="s">
        <v>259</v>
      </c>
      <c r="G358">
        <v>2</v>
      </c>
      <c r="H358">
        <v>6</v>
      </c>
      <c r="I358">
        <v>2</v>
      </c>
      <c r="J358">
        <v>69</v>
      </c>
      <c r="K358">
        <v>63</v>
      </c>
      <c r="L358">
        <v>19</v>
      </c>
      <c r="M358">
        <v>1</v>
      </c>
      <c r="N358" t="s">
        <v>253</v>
      </c>
      <c r="O358" t="s">
        <v>151</v>
      </c>
      <c r="P358" t="s">
        <v>239</v>
      </c>
      <c r="Q358" t="s">
        <v>240</v>
      </c>
      <c r="R358" t="s">
        <v>170</v>
      </c>
      <c r="S358" t="s">
        <v>59</v>
      </c>
      <c r="T358" t="s">
        <v>211</v>
      </c>
      <c r="U358">
        <v>5</v>
      </c>
      <c r="V358" t="s">
        <v>82</v>
      </c>
      <c r="W358" t="s">
        <v>79</v>
      </c>
      <c r="X358" t="s">
        <v>209</v>
      </c>
      <c r="Y358">
        <v>1</v>
      </c>
      <c r="Z358">
        <v>1</v>
      </c>
      <c r="AA358">
        <v>44.1</v>
      </c>
      <c r="AB358">
        <v>3.2000000000000001E-2</v>
      </c>
      <c r="AC358" t="s">
        <v>211</v>
      </c>
      <c r="AD358">
        <v>1</v>
      </c>
      <c r="AE358">
        <v>5</v>
      </c>
      <c r="AF358">
        <v>1</v>
      </c>
      <c r="AG358">
        <v>2.88</v>
      </c>
      <c r="AH358">
        <v>0.65</v>
      </c>
      <c r="AI358">
        <v>3.3000000000000002E-2</v>
      </c>
    </row>
    <row r="359" spans="1:35" x14ac:dyDescent="0.25">
      <c r="A359">
        <v>259</v>
      </c>
      <c r="B359" t="s">
        <v>35</v>
      </c>
      <c r="C359">
        <v>3</v>
      </c>
      <c r="D359" t="s">
        <v>36</v>
      </c>
      <c r="E359">
        <v>2</v>
      </c>
      <c r="F359" t="s">
        <v>259</v>
      </c>
      <c r="G359">
        <v>2</v>
      </c>
      <c r="H359">
        <v>6</v>
      </c>
      <c r="I359">
        <v>2</v>
      </c>
      <c r="J359">
        <v>70</v>
      </c>
      <c r="K359">
        <v>56</v>
      </c>
      <c r="L359">
        <v>52</v>
      </c>
      <c r="M359">
        <v>2</v>
      </c>
      <c r="N359" t="s">
        <v>188</v>
      </c>
      <c r="O359" t="s">
        <v>151</v>
      </c>
      <c r="P359" t="s">
        <v>177</v>
      </c>
      <c r="Q359" t="s">
        <v>178</v>
      </c>
      <c r="R359" t="s">
        <v>160</v>
      </c>
      <c r="S359" t="s">
        <v>43</v>
      </c>
      <c r="T359" t="s">
        <v>108</v>
      </c>
      <c r="U359">
        <v>5</v>
      </c>
      <c r="V359" t="s">
        <v>55</v>
      </c>
      <c r="W359" t="s">
        <v>56</v>
      </c>
      <c r="X359" t="s">
        <v>138</v>
      </c>
      <c r="Y359">
        <v>2</v>
      </c>
      <c r="Z359">
        <v>1</v>
      </c>
      <c r="AA359">
        <v>44.1</v>
      </c>
      <c r="AB359">
        <v>1.4E-2</v>
      </c>
      <c r="AC359" t="s">
        <v>108</v>
      </c>
      <c r="AD359">
        <v>1</v>
      </c>
      <c r="AE359">
        <v>5</v>
      </c>
      <c r="AF359">
        <v>1</v>
      </c>
      <c r="AG359">
        <v>1.9950000000000001</v>
      </c>
      <c r="AH359">
        <v>0.3</v>
      </c>
      <c r="AI359">
        <v>0.01</v>
      </c>
    </row>
    <row r="360" spans="1:35" x14ac:dyDescent="0.25">
      <c r="A360">
        <v>259</v>
      </c>
      <c r="B360" t="s">
        <v>35</v>
      </c>
      <c r="C360">
        <v>3</v>
      </c>
      <c r="D360" t="s">
        <v>36</v>
      </c>
      <c r="E360">
        <v>2</v>
      </c>
      <c r="F360" t="s">
        <v>259</v>
      </c>
      <c r="G360">
        <v>2</v>
      </c>
      <c r="H360">
        <v>6</v>
      </c>
      <c r="I360">
        <v>2</v>
      </c>
      <c r="J360">
        <v>71</v>
      </c>
      <c r="K360">
        <v>59</v>
      </c>
      <c r="L360">
        <v>55</v>
      </c>
      <c r="M360">
        <v>2</v>
      </c>
      <c r="N360" t="s">
        <v>163</v>
      </c>
      <c r="O360" t="s">
        <v>151</v>
      </c>
      <c r="P360" t="s">
        <v>164</v>
      </c>
      <c r="Q360" t="s">
        <v>165</v>
      </c>
      <c r="R360" t="s">
        <v>154</v>
      </c>
      <c r="S360" t="s">
        <v>92</v>
      </c>
      <c r="T360" t="s">
        <v>86</v>
      </c>
      <c r="U360">
        <v>2</v>
      </c>
      <c r="V360" t="s">
        <v>166</v>
      </c>
      <c r="W360" t="s">
        <v>85</v>
      </c>
      <c r="X360" t="s">
        <v>95</v>
      </c>
      <c r="Y360">
        <v>1</v>
      </c>
      <c r="Z360">
        <v>1</v>
      </c>
      <c r="AA360">
        <v>44.1</v>
      </c>
      <c r="AB360">
        <v>0.86099999999999999</v>
      </c>
      <c r="AC360" t="s">
        <v>86</v>
      </c>
      <c r="AD360">
        <v>1</v>
      </c>
      <c r="AE360">
        <v>2</v>
      </c>
      <c r="AF360">
        <v>1</v>
      </c>
      <c r="AG360">
        <v>1.78</v>
      </c>
      <c r="AH360">
        <v>0.36699999999999999</v>
      </c>
      <c r="AI360">
        <v>0.86299999999999999</v>
      </c>
    </row>
    <row r="361" spans="1:35" x14ac:dyDescent="0.25">
      <c r="A361">
        <v>259</v>
      </c>
      <c r="B361" t="s">
        <v>35</v>
      </c>
      <c r="C361">
        <v>3</v>
      </c>
      <c r="D361" t="s">
        <v>36</v>
      </c>
      <c r="E361">
        <v>2</v>
      </c>
      <c r="F361" t="s">
        <v>259</v>
      </c>
      <c r="G361">
        <v>2</v>
      </c>
      <c r="H361">
        <v>6</v>
      </c>
      <c r="I361">
        <v>2</v>
      </c>
      <c r="J361">
        <v>72</v>
      </c>
      <c r="K361">
        <v>65</v>
      </c>
      <c r="L361">
        <v>53</v>
      </c>
      <c r="M361">
        <v>2</v>
      </c>
      <c r="N361" t="s">
        <v>257</v>
      </c>
      <c r="O361" t="s">
        <v>151</v>
      </c>
      <c r="P361" t="s">
        <v>249</v>
      </c>
      <c r="Q361" t="s">
        <v>250</v>
      </c>
      <c r="R361" t="s">
        <v>170</v>
      </c>
      <c r="S361" t="s">
        <v>59</v>
      </c>
      <c r="T361" t="s">
        <v>204</v>
      </c>
      <c r="U361">
        <v>4</v>
      </c>
      <c r="V361" t="s">
        <v>211</v>
      </c>
      <c r="W361" t="s">
        <v>53</v>
      </c>
      <c r="X361" t="s">
        <v>74</v>
      </c>
      <c r="Y361">
        <v>2</v>
      </c>
      <c r="Z361">
        <v>1</v>
      </c>
      <c r="AA361">
        <v>44.1</v>
      </c>
      <c r="AB361">
        <v>0.84</v>
      </c>
      <c r="AC361" t="s">
        <v>204</v>
      </c>
      <c r="AD361">
        <v>1</v>
      </c>
      <c r="AE361">
        <v>4</v>
      </c>
      <c r="AF361">
        <v>1</v>
      </c>
      <c r="AG361">
        <v>1.764</v>
      </c>
      <c r="AH361">
        <v>0.3</v>
      </c>
      <c r="AI361">
        <v>0.83799999999999997</v>
      </c>
    </row>
    <row r="362" spans="1:35" x14ac:dyDescent="0.25">
      <c r="A362">
        <v>259</v>
      </c>
      <c r="B362" t="s">
        <v>35</v>
      </c>
      <c r="C362">
        <v>3</v>
      </c>
      <c r="D362" t="s">
        <v>36</v>
      </c>
      <c r="E362">
        <v>2</v>
      </c>
      <c r="F362" t="s">
        <v>259</v>
      </c>
      <c r="G362">
        <v>2</v>
      </c>
      <c r="H362">
        <v>6</v>
      </c>
      <c r="I362">
        <v>3</v>
      </c>
      <c r="J362">
        <v>1</v>
      </c>
      <c r="K362">
        <v>18</v>
      </c>
      <c r="L362">
        <v>42</v>
      </c>
      <c r="M362">
        <v>2</v>
      </c>
      <c r="N362" t="s">
        <v>216</v>
      </c>
      <c r="O362" t="s">
        <v>39</v>
      </c>
      <c r="P362" t="s">
        <v>199</v>
      </c>
      <c r="Q362" t="s">
        <v>200</v>
      </c>
      <c r="R362" t="s">
        <v>91</v>
      </c>
      <c r="S362" t="s">
        <v>92</v>
      </c>
      <c r="T362" t="s">
        <v>98</v>
      </c>
      <c r="U362">
        <v>5</v>
      </c>
      <c r="V362" t="s">
        <v>80</v>
      </c>
      <c r="W362" t="s">
        <v>46</v>
      </c>
      <c r="X362" t="s">
        <v>139</v>
      </c>
      <c r="Y362">
        <v>2</v>
      </c>
      <c r="Z362">
        <v>3</v>
      </c>
      <c r="AA362">
        <v>44.1</v>
      </c>
      <c r="AB362">
        <v>0.04</v>
      </c>
      <c r="AC362" t="s">
        <v>46</v>
      </c>
      <c r="AD362">
        <v>4</v>
      </c>
      <c r="AE362">
        <v>2</v>
      </c>
      <c r="AF362">
        <v>0</v>
      </c>
      <c r="AG362">
        <v>1.5669999999999999</v>
      </c>
      <c r="AH362">
        <v>0.61699999999999999</v>
      </c>
      <c r="AI362">
        <v>3.3000000000000002E-2</v>
      </c>
    </row>
    <row r="363" spans="1:35" x14ac:dyDescent="0.25">
      <c r="A363">
        <v>259</v>
      </c>
      <c r="B363" t="s">
        <v>35</v>
      </c>
      <c r="C363">
        <v>3</v>
      </c>
      <c r="D363" t="s">
        <v>36</v>
      </c>
      <c r="E363">
        <v>2</v>
      </c>
      <c r="F363" t="s">
        <v>259</v>
      </c>
      <c r="G363">
        <v>2</v>
      </c>
      <c r="H363">
        <v>6</v>
      </c>
      <c r="I363">
        <v>3</v>
      </c>
      <c r="J363">
        <v>2</v>
      </c>
      <c r="K363">
        <v>12</v>
      </c>
      <c r="L363">
        <v>44</v>
      </c>
      <c r="M363">
        <v>2</v>
      </c>
      <c r="N363" t="s">
        <v>76</v>
      </c>
      <c r="O363" t="s">
        <v>39</v>
      </c>
      <c r="P363" t="s">
        <v>77</v>
      </c>
      <c r="Q363" t="s">
        <v>78</v>
      </c>
      <c r="R363" t="s">
        <v>51</v>
      </c>
      <c r="S363" t="s">
        <v>52</v>
      </c>
      <c r="T363" t="s">
        <v>79</v>
      </c>
      <c r="U363">
        <v>5</v>
      </c>
      <c r="V363" t="s">
        <v>149</v>
      </c>
      <c r="W363" t="s">
        <v>95</v>
      </c>
      <c r="X363" t="s">
        <v>103</v>
      </c>
      <c r="Y363">
        <v>2</v>
      </c>
      <c r="Z363">
        <v>3</v>
      </c>
      <c r="AA363">
        <v>44.1</v>
      </c>
      <c r="AB363">
        <v>3.1E-2</v>
      </c>
      <c r="AC363" t="s">
        <v>79</v>
      </c>
      <c r="AD363">
        <v>1</v>
      </c>
      <c r="AE363">
        <v>5</v>
      </c>
      <c r="AF363">
        <v>1</v>
      </c>
      <c r="AG363">
        <v>2.8090000000000002</v>
      </c>
      <c r="AH363">
        <v>1.2010000000000001</v>
      </c>
      <c r="AI363">
        <v>2.7E-2</v>
      </c>
    </row>
    <row r="364" spans="1:35" x14ac:dyDescent="0.25">
      <c r="A364">
        <v>259</v>
      </c>
      <c r="B364" t="s">
        <v>35</v>
      </c>
      <c r="C364">
        <v>3</v>
      </c>
      <c r="D364" t="s">
        <v>36</v>
      </c>
      <c r="E364">
        <v>2</v>
      </c>
      <c r="F364" t="s">
        <v>259</v>
      </c>
      <c r="G364">
        <v>2</v>
      </c>
      <c r="H364">
        <v>6</v>
      </c>
      <c r="I364">
        <v>3</v>
      </c>
      <c r="J364">
        <v>3</v>
      </c>
      <c r="K364">
        <v>14</v>
      </c>
      <c r="L364">
        <v>12</v>
      </c>
      <c r="M364">
        <v>1</v>
      </c>
      <c r="N364" t="s">
        <v>206</v>
      </c>
      <c r="O364" t="s">
        <v>39</v>
      </c>
      <c r="P364" t="s">
        <v>207</v>
      </c>
      <c r="Q364" t="s">
        <v>208</v>
      </c>
      <c r="R364" t="s">
        <v>42</v>
      </c>
      <c r="S364" t="s">
        <v>43</v>
      </c>
      <c r="T364" t="s">
        <v>131</v>
      </c>
      <c r="U364">
        <v>1</v>
      </c>
      <c r="V364" t="s">
        <v>106</v>
      </c>
      <c r="W364" t="s">
        <v>75</v>
      </c>
      <c r="X364" t="s">
        <v>128</v>
      </c>
      <c r="Y364">
        <v>1</v>
      </c>
      <c r="Z364">
        <v>3</v>
      </c>
      <c r="AA364">
        <v>44.1</v>
      </c>
      <c r="AB364">
        <v>0.62</v>
      </c>
      <c r="AC364" t="s">
        <v>131</v>
      </c>
      <c r="AD364">
        <v>1</v>
      </c>
      <c r="AE364">
        <v>1</v>
      </c>
      <c r="AF364">
        <v>1</v>
      </c>
      <c r="AG364">
        <v>0.89200000000000002</v>
      </c>
      <c r="AH364">
        <v>0.16700000000000001</v>
      </c>
      <c r="AI364">
        <v>0.627</v>
      </c>
    </row>
    <row r="365" spans="1:35" x14ac:dyDescent="0.25">
      <c r="A365">
        <v>259</v>
      </c>
      <c r="B365" t="s">
        <v>35</v>
      </c>
      <c r="C365">
        <v>3</v>
      </c>
      <c r="D365" t="s">
        <v>36</v>
      </c>
      <c r="E365">
        <v>2</v>
      </c>
      <c r="F365" t="s">
        <v>259</v>
      </c>
      <c r="G365">
        <v>2</v>
      </c>
      <c r="H365">
        <v>6</v>
      </c>
      <c r="I365">
        <v>3</v>
      </c>
      <c r="J365">
        <v>4</v>
      </c>
      <c r="K365">
        <v>17</v>
      </c>
      <c r="L365">
        <v>41</v>
      </c>
      <c r="M365">
        <v>2</v>
      </c>
      <c r="N365" t="s">
        <v>198</v>
      </c>
      <c r="O365" t="s">
        <v>39</v>
      </c>
      <c r="P365" t="s">
        <v>199</v>
      </c>
      <c r="Q365" t="s">
        <v>200</v>
      </c>
      <c r="R365" t="s">
        <v>58</v>
      </c>
      <c r="S365" t="s">
        <v>59</v>
      </c>
      <c r="T365" t="s">
        <v>138</v>
      </c>
      <c r="U365">
        <v>1</v>
      </c>
      <c r="V365" t="s">
        <v>98</v>
      </c>
      <c r="W365" t="s">
        <v>47</v>
      </c>
      <c r="X365" t="s">
        <v>214</v>
      </c>
      <c r="Y365">
        <v>1</v>
      </c>
      <c r="Z365">
        <v>3</v>
      </c>
      <c r="AA365">
        <v>44.1</v>
      </c>
      <c r="AB365">
        <v>0.45</v>
      </c>
      <c r="AC365" t="s">
        <v>138</v>
      </c>
      <c r="AD365">
        <v>1</v>
      </c>
      <c r="AE365">
        <v>1</v>
      </c>
      <c r="AF365">
        <v>1</v>
      </c>
      <c r="AG365">
        <v>2.641</v>
      </c>
      <c r="AH365">
        <v>0.26700000000000002</v>
      </c>
      <c r="AI365">
        <v>0.44900000000000001</v>
      </c>
    </row>
    <row r="366" spans="1:35" x14ac:dyDescent="0.25">
      <c r="A366">
        <v>259</v>
      </c>
      <c r="B366" t="s">
        <v>35</v>
      </c>
      <c r="C366">
        <v>3</v>
      </c>
      <c r="D366" t="s">
        <v>36</v>
      </c>
      <c r="E366">
        <v>2</v>
      </c>
      <c r="F366" t="s">
        <v>259</v>
      </c>
      <c r="G366">
        <v>2</v>
      </c>
      <c r="H366">
        <v>6</v>
      </c>
      <c r="I366">
        <v>3</v>
      </c>
      <c r="J366">
        <v>5</v>
      </c>
      <c r="K366">
        <v>16</v>
      </c>
      <c r="L366">
        <v>8</v>
      </c>
      <c r="M366">
        <v>1</v>
      </c>
      <c r="N366" t="s">
        <v>195</v>
      </c>
      <c r="O366" t="s">
        <v>39</v>
      </c>
      <c r="P366" t="s">
        <v>196</v>
      </c>
      <c r="Q366" t="s">
        <v>197</v>
      </c>
      <c r="R366" t="s">
        <v>42</v>
      </c>
      <c r="S366" t="s">
        <v>43</v>
      </c>
      <c r="T366" t="s">
        <v>85</v>
      </c>
      <c r="U366">
        <v>4</v>
      </c>
      <c r="V366" t="s">
        <v>44</v>
      </c>
      <c r="W366" t="s">
        <v>162</v>
      </c>
      <c r="X366" t="s">
        <v>211</v>
      </c>
      <c r="Y366">
        <v>2</v>
      </c>
      <c r="Z366">
        <v>3</v>
      </c>
      <c r="AA366">
        <v>44.1</v>
      </c>
      <c r="AB366">
        <v>4.1000000000000002E-2</v>
      </c>
      <c r="AC366" t="s">
        <v>162</v>
      </c>
      <c r="AD366">
        <v>4</v>
      </c>
      <c r="AE366">
        <v>2</v>
      </c>
      <c r="AF366">
        <v>0</v>
      </c>
      <c r="AG366">
        <v>2.5449999999999999</v>
      </c>
      <c r="AH366">
        <v>0.183</v>
      </c>
      <c r="AI366">
        <v>3.1E-2</v>
      </c>
    </row>
    <row r="367" spans="1:35" x14ac:dyDescent="0.25">
      <c r="A367">
        <v>259</v>
      </c>
      <c r="B367" t="s">
        <v>35</v>
      </c>
      <c r="C367">
        <v>3</v>
      </c>
      <c r="D367" t="s">
        <v>36</v>
      </c>
      <c r="E367">
        <v>2</v>
      </c>
      <c r="F367" t="s">
        <v>259</v>
      </c>
      <c r="G367">
        <v>2</v>
      </c>
      <c r="H367">
        <v>6</v>
      </c>
      <c r="I367">
        <v>3</v>
      </c>
      <c r="J367">
        <v>6</v>
      </c>
      <c r="K367">
        <v>4</v>
      </c>
      <c r="L367">
        <v>2</v>
      </c>
      <c r="M367">
        <v>1</v>
      </c>
      <c r="N367" t="s">
        <v>109</v>
      </c>
      <c r="O367" t="s">
        <v>39</v>
      </c>
      <c r="P367" t="s">
        <v>71</v>
      </c>
      <c r="Q367" t="s">
        <v>72</v>
      </c>
      <c r="R367" t="s">
        <v>91</v>
      </c>
      <c r="S367" t="s">
        <v>92</v>
      </c>
      <c r="T367" t="s">
        <v>94</v>
      </c>
      <c r="U367">
        <v>2</v>
      </c>
      <c r="V367" t="s">
        <v>54</v>
      </c>
      <c r="W367" t="s">
        <v>166</v>
      </c>
      <c r="X367" t="s">
        <v>111</v>
      </c>
      <c r="Y367">
        <v>2</v>
      </c>
      <c r="Z367">
        <v>3</v>
      </c>
      <c r="AA367">
        <v>44.1</v>
      </c>
      <c r="AB367">
        <v>1.0209999999999999</v>
      </c>
      <c r="AC367" t="s">
        <v>54</v>
      </c>
      <c r="AD367">
        <v>3</v>
      </c>
      <c r="AE367">
        <v>1</v>
      </c>
      <c r="AF367">
        <v>0</v>
      </c>
      <c r="AG367">
        <v>1.65</v>
      </c>
      <c r="AH367">
        <v>0.26700000000000002</v>
      </c>
      <c r="AI367">
        <v>1.0189999999999999</v>
      </c>
    </row>
    <row r="368" spans="1:35" x14ac:dyDescent="0.25">
      <c r="A368">
        <v>259</v>
      </c>
      <c r="B368" t="s">
        <v>35</v>
      </c>
      <c r="C368">
        <v>3</v>
      </c>
      <c r="D368" t="s">
        <v>36</v>
      </c>
      <c r="E368">
        <v>2</v>
      </c>
      <c r="F368" t="s">
        <v>259</v>
      </c>
      <c r="G368">
        <v>2</v>
      </c>
      <c r="H368">
        <v>6</v>
      </c>
      <c r="I368">
        <v>3</v>
      </c>
      <c r="J368">
        <v>7</v>
      </c>
      <c r="K368">
        <v>24</v>
      </c>
      <c r="L368">
        <v>10</v>
      </c>
      <c r="M368">
        <v>1</v>
      </c>
      <c r="N368" t="s">
        <v>201</v>
      </c>
      <c r="O368" t="s">
        <v>39</v>
      </c>
      <c r="P368" t="s">
        <v>202</v>
      </c>
      <c r="Q368" t="s">
        <v>203</v>
      </c>
      <c r="R368" t="s">
        <v>51</v>
      </c>
      <c r="S368" t="s">
        <v>52</v>
      </c>
      <c r="T368" t="s">
        <v>172</v>
      </c>
      <c r="U368">
        <v>5</v>
      </c>
      <c r="V368" t="s">
        <v>147</v>
      </c>
      <c r="W368" t="s">
        <v>155</v>
      </c>
      <c r="X368" t="s">
        <v>104</v>
      </c>
      <c r="Y368">
        <v>1</v>
      </c>
      <c r="Z368">
        <v>3</v>
      </c>
      <c r="AA368">
        <v>44.1</v>
      </c>
      <c r="AB368">
        <v>0.05</v>
      </c>
      <c r="AC368" t="s">
        <v>147</v>
      </c>
      <c r="AD368">
        <v>2</v>
      </c>
      <c r="AE368">
        <v>4</v>
      </c>
      <c r="AF368">
        <v>0</v>
      </c>
      <c r="AG368">
        <v>2.5859999999999999</v>
      </c>
      <c r="AH368">
        <v>0.60099999999999998</v>
      </c>
      <c r="AI368">
        <v>4.4999999999999998E-2</v>
      </c>
    </row>
    <row r="369" spans="1:35" x14ac:dyDescent="0.25">
      <c r="A369">
        <v>259</v>
      </c>
      <c r="B369" t="s">
        <v>35</v>
      </c>
      <c r="C369">
        <v>3</v>
      </c>
      <c r="D369" t="s">
        <v>36</v>
      </c>
      <c r="E369">
        <v>2</v>
      </c>
      <c r="F369" t="s">
        <v>259</v>
      </c>
      <c r="G369">
        <v>2</v>
      </c>
      <c r="H369">
        <v>6</v>
      </c>
      <c r="I369">
        <v>3</v>
      </c>
      <c r="J369">
        <v>8</v>
      </c>
      <c r="K369">
        <v>19</v>
      </c>
      <c r="L369">
        <v>5</v>
      </c>
      <c r="M369">
        <v>1</v>
      </c>
      <c r="N369" t="s">
        <v>192</v>
      </c>
      <c r="O369" t="s">
        <v>39</v>
      </c>
      <c r="P369" t="s">
        <v>193</v>
      </c>
      <c r="Q369" t="s">
        <v>194</v>
      </c>
      <c r="R369" t="s">
        <v>51</v>
      </c>
      <c r="S369" t="s">
        <v>52</v>
      </c>
      <c r="T369" t="s">
        <v>144</v>
      </c>
      <c r="U369">
        <v>5</v>
      </c>
      <c r="V369" t="s">
        <v>185</v>
      </c>
      <c r="W369" t="s">
        <v>62</v>
      </c>
      <c r="X369" t="s">
        <v>120</v>
      </c>
      <c r="Y369">
        <v>1</v>
      </c>
      <c r="Z369">
        <v>3</v>
      </c>
      <c r="AA369">
        <v>44.1</v>
      </c>
      <c r="AB369">
        <v>2.1000000000000001E-2</v>
      </c>
      <c r="AC369" t="s">
        <v>185</v>
      </c>
      <c r="AD369">
        <v>2</v>
      </c>
      <c r="AE369">
        <v>1</v>
      </c>
      <c r="AF369">
        <v>0</v>
      </c>
      <c r="AG369">
        <v>1.7769999999999999</v>
      </c>
      <c r="AH369">
        <v>0.28299999999999997</v>
      </c>
      <c r="AI369">
        <v>2.1000000000000001E-2</v>
      </c>
    </row>
    <row r="370" spans="1:35" x14ac:dyDescent="0.25">
      <c r="A370">
        <v>259</v>
      </c>
      <c r="B370" t="s">
        <v>35</v>
      </c>
      <c r="C370">
        <v>3</v>
      </c>
      <c r="D370" t="s">
        <v>36</v>
      </c>
      <c r="E370">
        <v>2</v>
      </c>
      <c r="F370" t="s">
        <v>259</v>
      </c>
      <c r="G370">
        <v>2</v>
      </c>
      <c r="H370">
        <v>6</v>
      </c>
      <c r="I370">
        <v>3</v>
      </c>
      <c r="J370">
        <v>9</v>
      </c>
      <c r="K370">
        <v>21</v>
      </c>
      <c r="L370">
        <v>45</v>
      </c>
      <c r="M370">
        <v>2</v>
      </c>
      <c r="N370" t="s">
        <v>210</v>
      </c>
      <c r="O370" t="s">
        <v>39</v>
      </c>
      <c r="P370" t="s">
        <v>190</v>
      </c>
      <c r="Q370" t="s">
        <v>191</v>
      </c>
      <c r="R370" t="s">
        <v>51</v>
      </c>
      <c r="S370" t="s">
        <v>52</v>
      </c>
      <c r="T370" t="s">
        <v>149</v>
      </c>
      <c r="U370">
        <v>1</v>
      </c>
      <c r="V370" t="s">
        <v>45</v>
      </c>
      <c r="W370" t="s">
        <v>204</v>
      </c>
      <c r="X370" t="s">
        <v>179</v>
      </c>
      <c r="Y370">
        <v>1</v>
      </c>
      <c r="Z370">
        <v>3</v>
      </c>
      <c r="AA370">
        <v>44.1</v>
      </c>
      <c r="AB370">
        <v>5.1999999999999998E-2</v>
      </c>
      <c r="AC370" t="s">
        <v>149</v>
      </c>
      <c r="AD370">
        <v>1</v>
      </c>
      <c r="AE370">
        <v>1</v>
      </c>
      <c r="AF370">
        <v>1</v>
      </c>
      <c r="AG370">
        <v>3.7229999999999999</v>
      </c>
      <c r="AH370">
        <v>0.23300000000000001</v>
      </c>
      <c r="AI370">
        <v>5.6000000000000001E-2</v>
      </c>
    </row>
    <row r="371" spans="1:35" x14ac:dyDescent="0.25">
      <c r="A371">
        <v>259</v>
      </c>
      <c r="B371" t="s">
        <v>35</v>
      </c>
      <c r="C371">
        <v>3</v>
      </c>
      <c r="D371" t="s">
        <v>36</v>
      </c>
      <c r="E371">
        <v>2</v>
      </c>
      <c r="F371" t="s">
        <v>259</v>
      </c>
      <c r="G371">
        <v>2</v>
      </c>
      <c r="H371">
        <v>6</v>
      </c>
      <c r="I371">
        <v>3</v>
      </c>
      <c r="J371">
        <v>10</v>
      </c>
      <c r="K371">
        <v>20</v>
      </c>
      <c r="L371">
        <v>6</v>
      </c>
      <c r="M371">
        <v>1</v>
      </c>
      <c r="N371" t="s">
        <v>215</v>
      </c>
      <c r="O371" t="s">
        <v>39</v>
      </c>
      <c r="P371" t="s">
        <v>193</v>
      </c>
      <c r="Q371" t="s">
        <v>194</v>
      </c>
      <c r="R371" t="s">
        <v>42</v>
      </c>
      <c r="S371" t="s">
        <v>43</v>
      </c>
      <c r="T371" t="s">
        <v>185</v>
      </c>
      <c r="U371">
        <v>4</v>
      </c>
      <c r="V371" t="s">
        <v>131</v>
      </c>
      <c r="W371" t="s">
        <v>209</v>
      </c>
      <c r="X371" t="s">
        <v>86</v>
      </c>
      <c r="Y371">
        <v>2</v>
      </c>
      <c r="Z371">
        <v>3</v>
      </c>
      <c r="AA371">
        <v>44.1</v>
      </c>
      <c r="AB371">
        <v>3.2000000000000001E-2</v>
      </c>
      <c r="AC371" t="s">
        <v>209</v>
      </c>
      <c r="AD371">
        <v>4</v>
      </c>
      <c r="AE371">
        <v>2</v>
      </c>
      <c r="AF371">
        <v>0</v>
      </c>
      <c r="AG371">
        <v>2.7290000000000001</v>
      </c>
      <c r="AH371">
        <v>1.7000000000000001E-2</v>
      </c>
      <c r="AI371">
        <v>3.1E-2</v>
      </c>
    </row>
    <row r="372" spans="1:35" x14ac:dyDescent="0.25">
      <c r="A372">
        <v>259</v>
      </c>
      <c r="B372" t="s">
        <v>35</v>
      </c>
      <c r="C372">
        <v>3</v>
      </c>
      <c r="D372" t="s">
        <v>36</v>
      </c>
      <c r="E372">
        <v>2</v>
      </c>
      <c r="F372" t="s">
        <v>259</v>
      </c>
      <c r="G372">
        <v>2</v>
      </c>
      <c r="H372">
        <v>6</v>
      </c>
      <c r="I372">
        <v>3</v>
      </c>
      <c r="J372">
        <v>11</v>
      </c>
      <c r="K372">
        <v>9</v>
      </c>
      <c r="L372">
        <v>3</v>
      </c>
      <c r="M372">
        <v>1</v>
      </c>
      <c r="N372" t="s">
        <v>88</v>
      </c>
      <c r="O372" t="s">
        <v>39</v>
      </c>
      <c r="P372" t="s">
        <v>89</v>
      </c>
      <c r="Q372" t="s">
        <v>90</v>
      </c>
      <c r="R372" t="s">
        <v>91</v>
      </c>
      <c r="S372" t="s">
        <v>92</v>
      </c>
      <c r="T372" t="s">
        <v>93</v>
      </c>
      <c r="U372">
        <v>5</v>
      </c>
      <c r="V372" t="s">
        <v>102</v>
      </c>
      <c r="W372" t="s">
        <v>108</v>
      </c>
      <c r="X372" t="s">
        <v>100</v>
      </c>
      <c r="Y372">
        <v>1</v>
      </c>
      <c r="Z372">
        <v>3</v>
      </c>
      <c r="AA372">
        <v>44.1</v>
      </c>
      <c r="AB372">
        <v>4.2999999999999997E-2</v>
      </c>
      <c r="AC372" t="s">
        <v>93</v>
      </c>
      <c r="AD372">
        <v>1</v>
      </c>
      <c r="AE372">
        <v>5</v>
      </c>
      <c r="AF372">
        <v>1</v>
      </c>
      <c r="AG372">
        <v>3.07</v>
      </c>
      <c r="AH372">
        <v>0.2</v>
      </c>
      <c r="AI372">
        <v>3.2000000000000001E-2</v>
      </c>
    </row>
    <row r="373" spans="1:35" x14ac:dyDescent="0.25">
      <c r="A373">
        <v>259</v>
      </c>
      <c r="B373" t="s">
        <v>35</v>
      </c>
      <c r="C373">
        <v>3</v>
      </c>
      <c r="D373" t="s">
        <v>36</v>
      </c>
      <c r="E373">
        <v>2</v>
      </c>
      <c r="F373" t="s">
        <v>259</v>
      </c>
      <c r="G373">
        <v>2</v>
      </c>
      <c r="H373">
        <v>6</v>
      </c>
      <c r="I373">
        <v>3</v>
      </c>
      <c r="J373">
        <v>12</v>
      </c>
      <c r="K373">
        <v>8</v>
      </c>
      <c r="L373">
        <v>40</v>
      </c>
      <c r="M373">
        <v>2</v>
      </c>
      <c r="N373" t="s">
        <v>84</v>
      </c>
      <c r="O373" t="s">
        <v>39</v>
      </c>
      <c r="P373" t="s">
        <v>64</v>
      </c>
      <c r="Q373" t="s">
        <v>65</v>
      </c>
      <c r="R373" t="s">
        <v>42</v>
      </c>
      <c r="S373" t="s">
        <v>43</v>
      </c>
      <c r="T373" t="s">
        <v>67</v>
      </c>
      <c r="U373">
        <v>5</v>
      </c>
      <c r="V373" t="s">
        <v>66</v>
      </c>
      <c r="W373" t="s">
        <v>74</v>
      </c>
      <c r="X373" t="s">
        <v>141</v>
      </c>
      <c r="Y373">
        <v>1</v>
      </c>
      <c r="Z373">
        <v>3</v>
      </c>
      <c r="AA373">
        <v>44.1</v>
      </c>
      <c r="AB373">
        <v>1.169</v>
      </c>
      <c r="AC373" t="s">
        <v>74</v>
      </c>
      <c r="AD373">
        <v>4</v>
      </c>
      <c r="AE373">
        <v>2</v>
      </c>
      <c r="AF373">
        <v>0</v>
      </c>
      <c r="AG373">
        <v>2.0419999999999998</v>
      </c>
      <c r="AH373">
        <v>3.3000000000000002E-2</v>
      </c>
      <c r="AI373">
        <v>1.1619999999999999</v>
      </c>
    </row>
    <row r="374" spans="1:35" x14ac:dyDescent="0.25">
      <c r="A374">
        <v>259</v>
      </c>
      <c r="B374" t="s">
        <v>35</v>
      </c>
      <c r="C374">
        <v>3</v>
      </c>
      <c r="D374" t="s">
        <v>36</v>
      </c>
      <c r="E374">
        <v>2</v>
      </c>
      <c r="F374" t="s">
        <v>259</v>
      </c>
      <c r="G374">
        <v>2</v>
      </c>
      <c r="H374">
        <v>6</v>
      </c>
      <c r="I374">
        <v>3</v>
      </c>
      <c r="J374">
        <v>13</v>
      </c>
      <c r="K374">
        <v>22</v>
      </c>
      <c r="L374">
        <v>46</v>
      </c>
      <c r="M374">
        <v>2</v>
      </c>
      <c r="N374" t="s">
        <v>189</v>
      </c>
      <c r="O374" t="s">
        <v>39</v>
      </c>
      <c r="P374" t="s">
        <v>190</v>
      </c>
      <c r="Q374" t="s">
        <v>191</v>
      </c>
      <c r="R374" t="s">
        <v>42</v>
      </c>
      <c r="S374" t="s">
        <v>43</v>
      </c>
      <c r="T374" t="s">
        <v>45</v>
      </c>
      <c r="U374">
        <v>4</v>
      </c>
      <c r="V374" t="s">
        <v>67</v>
      </c>
      <c r="W374" t="s">
        <v>127</v>
      </c>
      <c r="X374" t="s">
        <v>187</v>
      </c>
      <c r="Y374">
        <v>2</v>
      </c>
      <c r="Z374">
        <v>3</v>
      </c>
      <c r="AA374">
        <v>44.1</v>
      </c>
      <c r="AB374">
        <v>2.3E-2</v>
      </c>
      <c r="AC374" t="s">
        <v>187</v>
      </c>
      <c r="AD374">
        <v>4</v>
      </c>
      <c r="AE374">
        <v>1</v>
      </c>
      <c r="AF374">
        <v>0</v>
      </c>
      <c r="AG374">
        <v>2.4590000000000001</v>
      </c>
      <c r="AH374">
        <v>0.16700000000000001</v>
      </c>
      <c r="AI374">
        <v>2.1999999999999999E-2</v>
      </c>
    </row>
    <row r="375" spans="1:35" x14ac:dyDescent="0.25">
      <c r="A375">
        <v>259</v>
      </c>
      <c r="B375" t="s">
        <v>35</v>
      </c>
      <c r="C375">
        <v>3</v>
      </c>
      <c r="D375" t="s">
        <v>36</v>
      </c>
      <c r="E375">
        <v>2</v>
      </c>
      <c r="F375" t="s">
        <v>259</v>
      </c>
      <c r="G375">
        <v>2</v>
      </c>
      <c r="H375">
        <v>6</v>
      </c>
      <c r="I375">
        <v>3</v>
      </c>
      <c r="J375">
        <v>14</v>
      </c>
      <c r="K375">
        <v>15</v>
      </c>
      <c r="L375">
        <v>7</v>
      </c>
      <c r="M375">
        <v>1</v>
      </c>
      <c r="N375" t="s">
        <v>205</v>
      </c>
      <c r="O375" t="s">
        <v>39</v>
      </c>
      <c r="P375" t="s">
        <v>196</v>
      </c>
      <c r="Q375" t="s">
        <v>197</v>
      </c>
      <c r="R375" t="s">
        <v>58</v>
      </c>
      <c r="S375" t="s">
        <v>59</v>
      </c>
      <c r="T375" t="s">
        <v>156</v>
      </c>
      <c r="U375">
        <v>5</v>
      </c>
      <c r="V375" t="s">
        <v>85</v>
      </c>
      <c r="W375" t="s">
        <v>61</v>
      </c>
      <c r="X375" t="s">
        <v>99</v>
      </c>
      <c r="Y375">
        <v>1</v>
      </c>
      <c r="Z375">
        <v>3</v>
      </c>
      <c r="AA375">
        <v>44.1</v>
      </c>
      <c r="AB375">
        <v>2.1000000000000001E-2</v>
      </c>
      <c r="AC375" t="s">
        <v>61</v>
      </c>
      <c r="AD375">
        <v>4</v>
      </c>
      <c r="AE375">
        <v>2</v>
      </c>
      <c r="AF375">
        <v>0</v>
      </c>
      <c r="AG375">
        <v>1.73</v>
      </c>
      <c r="AH375">
        <v>0.23300000000000001</v>
      </c>
      <c r="AI375">
        <v>1.0999999999999999E-2</v>
      </c>
    </row>
    <row r="376" spans="1:35" x14ac:dyDescent="0.25">
      <c r="A376">
        <v>259</v>
      </c>
      <c r="B376" t="s">
        <v>35</v>
      </c>
      <c r="C376">
        <v>3</v>
      </c>
      <c r="D376" t="s">
        <v>36</v>
      </c>
      <c r="E376">
        <v>2</v>
      </c>
      <c r="F376" t="s">
        <v>259</v>
      </c>
      <c r="G376">
        <v>2</v>
      </c>
      <c r="H376">
        <v>6</v>
      </c>
      <c r="I376">
        <v>3</v>
      </c>
      <c r="J376">
        <v>15</v>
      </c>
      <c r="K376">
        <v>1</v>
      </c>
      <c r="L376">
        <v>47</v>
      </c>
      <c r="M376">
        <v>2</v>
      </c>
      <c r="N376" t="s">
        <v>57</v>
      </c>
      <c r="O376" t="s">
        <v>39</v>
      </c>
      <c r="P376" t="s">
        <v>40</v>
      </c>
      <c r="Q376" t="s">
        <v>41</v>
      </c>
      <c r="R376" t="s">
        <v>58</v>
      </c>
      <c r="S376" t="s">
        <v>59</v>
      </c>
      <c r="T376" t="s">
        <v>60</v>
      </c>
      <c r="U376">
        <v>1</v>
      </c>
      <c r="V376" t="s">
        <v>138</v>
      </c>
      <c r="W376" t="s">
        <v>81</v>
      </c>
      <c r="X376" t="s">
        <v>68</v>
      </c>
      <c r="Y376">
        <v>2</v>
      </c>
      <c r="Z376">
        <v>3</v>
      </c>
      <c r="AA376">
        <v>44.1</v>
      </c>
      <c r="AB376">
        <v>4.9000000000000002E-2</v>
      </c>
      <c r="AC376" t="s">
        <v>68</v>
      </c>
      <c r="AD376">
        <v>4</v>
      </c>
      <c r="AE376">
        <v>4</v>
      </c>
      <c r="AF376">
        <v>0</v>
      </c>
      <c r="AG376">
        <v>2.4860000000000002</v>
      </c>
      <c r="AH376">
        <v>0.434</v>
      </c>
      <c r="AI376">
        <v>5.1999999999999998E-2</v>
      </c>
    </row>
    <row r="377" spans="1:35" x14ac:dyDescent="0.25">
      <c r="A377">
        <v>259</v>
      </c>
      <c r="B377" t="s">
        <v>35</v>
      </c>
      <c r="C377">
        <v>3</v>
      </c>
      <c r="D377" t="s">
        <v>36</v>
      </c>
      <c r="E377">
        <v>2</v>
      </c>
      <c r="F377" t="s">
        <v>259</v>
      </c>
      <c r="G377">
        <v>2</v>
      </c>
      <c r="H377">
        <v>6</v>
      </c>
      <c r="I377">
        <v>3</v>
      </c>
      <c r="J377">
        <v>16</v>
      </c>
      <c r="K377">
        <v>5</v>
      </c>
      <c r="L377">
        <v>37</v>
      </c>
      <c r="M377">
        <v>2</v>
      </c>
      <c r="N377" t="s">
        <v>97</v>
      </c>
      <c r="O377" t="s">
        <v>39</v>
      </c>
      <c r="P377" t="s">
        <v>49</v>
      </c>
      <c r="Q377" t="s">
        <v>50</v>
      </c>
      <c r="R377" t="s">
        <v>91</v>
      </c>
      <c r="S377" t="s">
        <v>92</v>
      </c>
      <c r="T377" t="s">
        <v>54</v>
      </c>
      <c r="U377">
        <v>4</v>
      </c>
      <c r="V377" t="s">
        <v>53</v>
      </c>
      <c r="W377" t="s">
        <v>82</v>
      </c>
      <c r="X377" t="s">
        <v>124</v>
      </c>
      <c r="Y377">
        <v>1</v>
      </c>
      <c r="Z377">
        <v>3</v>
      </c>
      <c r="AA377">
        <v>44.1</v>
      </c>
      <c r="AB377">
        <v>6.2E-2</v>
      </c>
      <c r="AC377" t="s">
        <v>53</v>
      </c>
      <c r="AD377">
        <v>2</v>
      </c>
      <c r="AE377">
        <v>5</v>
      </c>
      <c r="AF377">
        <v>0</v>
      </c>
      <c r="AG377">
        <v>2.6389999999999998</v>
      </c>
      <c r="AH377">
        <v>0.5</v>
      </c>
      <c r="AI377">
        <v>5.3999999999999999E-2</v>
      </c>
    </row>
    <row r="378" spans="1:35" x14ac:dyDescent="0.25">
      <c r="A378">
        <v>259</v>
      </c>
      <c r="B378" t="s">
        <v>35</v>
      </c>
      <c r="C378">
        <v>3</v>
      </c>
      <c r="D378" t="s">
        <v>36</v>
      </c>
      <c r="E378">
        <v>2</v>
      </c>
      <c r="F378" t="s">
        <v>259</v>
      </c>
      <c r="G378">
        <v>2</v>
      </c>
      <c r="H378">
        <v>6</v>
      </c>
      <c r="I378">
        <v>3</v>
      </c>
      <c r="J378">
        <v>17</v>
      </c>
      <c r="K378">
        <v>23</v>
      </c>
      <c r="L378">
        <v>9</v>
      </c>
      <c r="M378">
        <v>1</v>
      </c>
      <c r="N378" t="s">
        <v>212</v>
      </c>
      <c r="O378" t="s">
        <v>39</v>
      </c>
      <c r="P378" t="s">
        <v>202</v>
      </c>
      <c r="Q378" t="s">
        <v>203</v>
      </c>
      <c r="R378" t="s">
        <v>58</v>
      </c>
      <c r="S378" t="s">
        <v>59</v>
      </c>
      <c r="T378" t="s">
        <v>147</v>
      </c>
      <c r="U378">
        <v>1</v>
      </c>
      <c r="V378" t="s">
        <v>156</v>
      </c>
      <c r="W378" t="s">
        <v>116</v>
      </c>
      <c r="X378" t="s">
        <v>121</v>
      </c>
      <c r="Y378">
        <v>2</v>
      </c>
      <c r="Z378">
        <v>3</v>
      </c>
      <c r="AA378">
        <v>44.1</v>
      </c>
      <c r="AB378">
        <v>0.33100000000000002</v>
      </c>
      <c r="AC378" t="s">
        <v>147</v>
      </c>
      <c r="AD378">
        <v>1</v>
      </c>
      <c r="AE378">
        <v>1</v>
      </c>
      <c r="AF378">
        <v>1</v>
      </c>
      <c r="AG378">
        <v>2.5009999999999999</v>
      </c>
      <c r="AH378">
        <v>0.25</v>
      </c>
      <c r="AI378">
        <v>0.33600000000000002</v>
      </c>
    </row>
    <row r="379" spans="1:35" x14ac:dyDescent="0.25">
      <c r="A379">
        <v>259</v>
      </c>
      <c r="B379" t="s">
        <v>35</v>
      </c>
      <c r="C379">
        <v>3</v>
      </c>
      <c r="D379" t="s">
        <v>36</v>
      </c>
      <c r="E379">
        <v>2</v>
      </c>
      <c r="F379" t="s">
        <v>259</v>
      </c>
      <c r="G379">
        <v>2</v>
      </c>
      <c r="H379">
        <v>6</v>
      </c>
      <c r="I379">
        <v>3</v>
      </c>
      <c r="J379">
        <v>18</v>
      </c>
      <c r="K379">
        <v>7</v>
      </c>
      <c r="L379">
        <v>39</v>
      </c>
      <c r="M379">
        <v>2</v>
      </c>
      <c r="N379" t="s">
        <v>63</v>
      </c>
      <c r="O379" t="s">
        <v>39</v>
      </c>
      <c r="P379" t="s">
        <v>64</v>
      </c>
      <c r="Q379" t="s">
        <v>65</v>
      </c>
      <c r="R379" t="s">
        <v>58</v>
      </c>
      <c r="S379" t="s">
        <v>59</v>
      </c>
      <c r="T379" t="s">
        <v>66</v>
      </c>
      <c r="U379">
        <v>2</v>
      </c>
      <c r="V379" t="s">
        <v>73</v>
      </c>
      <c r="W379" t="s">
        <v>161</v>
      </c>
      <c r="X379" t="s">
        <v>69</v>
      </c>
      <c r="Y379">
        <v>2</v>
      </c>
      <c r="Z379">
        <v>3</v>
      </c>
      <c r="AA379">
        <v>44.1</v>
      </c>
      <c r="AB379">
        <v>6.0999999999999999E-2</v>
      </c>
      <c r="AC379" t="s">
        <v>66</v>
      </c>
      <c r="AD379">
        <v>1</v>
      </c>
      <c r="AE379">
        <v>2</v>
      </c>
      <c r="AF379">
        <v>1</v>
      </c>
      <c r="AG379">
        <v>2.0089999999999999</v>
      </c>
      <c r="AH379">
        <v>0.26700000000000002</v>
      </c>
      <c r="AI379">
        <v>6.2E-2</v>
      </c>
    </row>
    <row r="380" spans="1:35" x14ac:dyDescent="0.25">
      <c r="A380">
        <v>259</v>
      </c>
      <c r="B380" t="s">
        <v>35</v>
      </c>
      <c r="C380">
        <v>3</v>
      </c>
      <c r="D380" t="s">
        <v>36</v>
      </c>
      <c r="E380">
        <v>2</v>
      </c>
      <c r="F380" t="s">
        <v>259</v>
      </c>
      <c r="G380">
        <v>2</v>
      </c>
      <c r="H380">
        <v>6</v>
      </c>
      <c r="I380">
        <v>3</v>
      </c>
      <c r="J380">
        <v>19</v>
      </c>
      <c r="K380">
        <v>6</v>
      </c>
      <c r="L380">
        <v>38</v>
      </c>
      <c r="M380">
        <v>2</v>
      </c>
      <c r="N380" t="s">
        <v>48</v>
      </c>
      <c r="O380" t="s">
        <v>39</v>
      </c>
      <c r="P380" t="s">
        <v>49</v>
      </c>
      <c r="Q380" t="s">
        <v>50</v>
      </c>
      <c r="R380" t="s">
        <v>51</v>
      </c>
      <c r="S380" t="s">
        <v>52</v>
      </c>
      <c r="T380" t="s">
        <v>53</v>
      </c>
      <c r="U380">
        <v>2</v>
      </c>
      <c r="V380" t="s">
        <v>172</v>
      </c>
      <c r="W380" t="s">
        <v>96</v>
      </c>
      <c r="X380" t="s">
        <v>137</v>
      </c>
      <c r="Y380">
        <v>2</v>
      </c>
      <c r="Z380">
        <v>3</v>
      </c>
      <c r="AA380">
        <v>44.1</v>
      </c>
      <c r="AB380">
        <v>1.0999999999999999E-2</v>
      </c>
      <c r="AC380" t="s">
        <v>53</v>
      </c>
      <c r="AD380">
        <v>1</v>
      </c>
      <c r="AE380">
        <v>2</v>
      </c>
      <c r="AF380">
        <v>1</v>
      </c>
      <c r="AG380">
        <v>2.5579999999999998</v>
      </c>
      <c r="AH380">
        <v>0.28299999999999997</v>
      </c>
      <c r="AI380">
        <v>0</v>
      </c>
    </row>
    <row r="381" spans="1:35" x14ac:dyDescent="0.25">
      <c r="A381">
        <v>259</v>
      </c>
      <c r="B381" t="s">
        <v>35</v>
      </c>
      <c r="C381">
        <v>3</v>
      </c>
      <c r="D381" t="s">
        <v>36</v>
      </c>
      <c r="E381">
        <v>2</v>
      </c>
      <c r="F381" t="s">
        <v>259</v>
      </c>
      <c r="G381">
        <v>2</v>
      </c>
      <c r="H381">
        <v>6</v>
      </c>
      <c r="I381">
        <v>3</v>
      </c>
      <c r="J381">
        <v>20</v>
      </c>
      <c r="K381">
        <v>11</v>
      </c>
      <c r="L381">
        <v>43</v>
      </c>
      <c r="M381">
        <v>2</v>
      </c>
      <c r="N381" t="s">
        <v>105</v>
      </c>
      <c r="O381" t="s">
        <v>39</v>
      </c>
      <c r="P381" t="s">
        <v>77</v>
      </c>
      <c r="Q381" t="s">
        <v>78</v>
      </c>
      <c r="R381" t="s">
        <v>91</v>
      </c>
      <c r="S381" t="s">
        <v>92</v>
      </c>
      <c r="T381" t="s">
        <v>80</v>
      </c>
      <c r="U381">
        <v>5</v>
      </c>
      <c r="V381" t="s">
        <v>79</v>
      </c>
      <c r="W381" t="s">
        <v>146</v>
      </c>
      <c r="X381" t="s">
        <v>87</v>
      </c>
      <c r="Y381">
        <v>1</v>
      </c>
      <c r="Z381">
        <v>3</v>
      </c>
      <c r="AA381">
        <v>44.1</v>
      </c>
      <c r="AB381">
        <v>1.0309999999999999</v>
      </c>
      <c r="AC381" t="s">
        <v>79</v>
      </c>
      <c r="AD381">
        <v>2</v>
      </c>
      <c r="AE381">
        <v>1</v>
      </c>
      <c r="AF381">
        <v>0</v>
      </c>
      <c r="AG381">
        <v>1.7549999999999999</v>
      </c>
      <c r="AH381">
        <v>0.53400000000000003</v>
      </c>
      <c r="AI381">
        <v>1.034</v>
      </c>
    </row>
    <row r="382" spans="1:35" x14ac:dyDescent="0.25">
      <c r="A382">
        <v>259</v>
      </c>
      <c r="B382" t="s">
        <v>35</v>
      </c>
      <c r="C382">
        <v>3</v>
      </c>
      <c r="D382" t="s">
        <v>36</v>
      </c>
      <c r="E382">
        <v>2</v>
      </c>
      <c r="F382" t="s">
        <v>259</v>
      </c>
      <c r="G382">
        <v>2</v>
      </c>
      <c r="H382">
        <v>6</v>
      </c>
      <c r="I382">
        <v>3</v>
      </c>
      <c r="J382">
        <v>21</v>
      </c>
      <c r="K382">
        <v>13</v>
      </c>
      <c r="L382">
        <v>11</v>
      </c>
      <c r="M382">
        <v>1</v>
      </c>
      <c r="N382" t="s">
        <v>213</v>
      </c>
      <c r="O382" t="s">
        <v>39</v>
      </c>
      <c r="P382" t="s">
        <v>207</v>
      </c>
      <c r="Q382" t="s">
        <v>208</v>
      </c>
      <c r="R382" t="s">
        <v>91</v>
      </c>
      <c r="S382" t="s">
        <v>92</v>
      </c>
      <c r="T382" t="s">
        <v>106</v>
      </c>
      <c r="U382">
        <v>1</v>
      </c>
      <c r="V382" t="s">
        <v>93</v>
      </c>
      <c r="W382" t="s">
        <v>107</v>
      </c>
      <c r="X382" t="s">
        <v>110</v>
      </c>
      <c r="Y382">
        <v>2</v>
      </c>
      <c r="Z382">
        <v>3</v>
      </c>
      <c r="AA382">
        <v>44.1</v>
      </c>
      <c r="AB382">
        <v>6.0999999999999999E-2</v>
      </c>
      <c r="AC382" t="s">
        <v>106</v>
      </c>
      <c r="AD382">
        <v>1</v>
      </c>
      <c r="AE382">
        <v>1</v>
      </c>
      <c r="AF382">
        <v>1</v>
      </c>
      <c r="AG382">
        <v>1.667</v>
      </c>
      <c r="AH382">
        <v>8.3000000000000004E-2</v>
      </c>
      <c r="AI382">
        <v>6.5000000000000002E-2</v>
      </c>
    </row>
    <row r="383" spans="1:35" x14ac:dyDescent="0.25">
      <c r="A383">
        <v>259</v>
      </c>
      <c r="B383" t="s">
        <v>35</v>
      </c>
      <c r="C383">
        <v>3</v>
      </c>
      <c r="D383" t="s">
        <v>36</v>
      </c>
      <c r="E383">
        <v>2</v>
      </c>
      <c r="F383" t="s">
        <v>259</v>
      </c>
      <c r="G383">
        <v>2</v>
      </c>
      <c r="H383">
        <v>6</v>
      </c>
      <c r="I383">
        <v>3</v>
      </c>
      <c r="J383">
        <v>22</v>
      </c>
      <c r="K383">
        <v>10</v>
      </c>
      <c r="L383">
        <v>4</v>
      </c>
      <c r="M383">
        <v>1</v>
      </c>
      <c r="N383" t="s">
        <v>101</v>
      </c>
      <c r="O383" t="s">
        <v>39</v>
      </c>
      <c r="P383" t="s">
        <v>89</v>
      </c>
      <c r="Q383" t="s">
        <v>90</v>
      </c>
      <c r="R383" t="s">
        <v>51</v>
      </c>
      <c r="S383" t="s">
        <v>52</v>
      </c>
      <c r="T383" t="s">
        <v>102</v>
      </c>
      <c r="U383">
        <v>1</v>
      </c>
      <c r="V383" t="s">
        <v>144</v>
      </c>
      <c r="W383" t="s">
        <v>183</v>
      </c>
      <c r="X383" t="s">
        <v>56</v>
      </c>
      <c r="Y383">
        <v>2</v>
      </c>
      <c r="Z383">
        <v>3</v>
      </c>
      <c r="AA383">
        <v>44.1</v>
      </c>
      <c r="AB383">
        <v>0.92900000000000005</v>
      </c>
      <c r="AC383" t="s">
        <v>102</v>
      </c>
      <c r="AD383">
        <v>1</v>
      </c>
      <c r="AE383">
        <v>1</v>
      </c>
      <c r="AF383">
        <v>1</v>
      </c>
      <c r="AG383">
        <v>2.927</v>
      </c>
      <c r="AH383">
        <v>0.28399999999999997</v>
      </c>
      <c r="AI383">
        <v>0.92100000000000004</v>
      </c>
    </row>
    <row r="384" spans="1:35" x14ac:dyDescent="0.25">
      <c r="A384">
        <v>259</v>
      </c>
      <c r="B384" t="s">
        <v>35</v>
      </c>
      <c r="C384">
        <v>3</v>
      </c>
      <c r="D384" t="s">
        <v>36</v>
      </c>
      <c r="E384">
        <v>2</v>
      </c>
      <c r="F384" t="s">
        <v>259</v>
      </c>
      <c r="G384">
        <v>2</v>
      </c>
      <c r="H384">
        <v>6</v>
      </c>
      <c r="I384">
        <v>3</v>
      </c>
      <c r="J384">
        <v>23</v>
      </c>
      <c r="K384">
        <v>2</v>
      </c>
      <c r="L384">
        <v>48</v>
      </c>
      <c r="M384">
        <v>2</v>
      </c>
      <c r="N384" t="s">
        <v>38</v>
      </c>
      <c r="O384" t="s">
        <v>39</v>
      </c>
      <c r="P384" t="s">
        <v>40</v>
      </c>
      <c r="Q384" t="s">
        <v>41</v>
      </c>
      <c r="R384" t="s">
        <v>42</v>
      </c>
      <c r="S384" t="s">
        <v>43</v>
      </c>
      <c r="T384" t="s">
        <v>44</v>
      </c>
      <c r="U384">
        <v>2</v>
      </c>
      <c r="V384" t="s">
        <v>60</v>
      </c>
      <c r="W384" t="s">
        <v>130</v>
      </c>
      <c r="X384" t="s">
        <v>132</v>
      </c>
      <c r="Y384">
        <v>1</v>
      </c>
      <c r="Z384">
        <v>3</v>
      </c>
      <c r="AA384">
        <v>44.1</v>
      </c>
      <c r="AB384">
        <v>0.01</v>
      </c>
      <c r="AC384" t="s">
        <v>132</v>
      </c>
      <c r="AD384">
        <v>4</v>
      </c>
      <c r="AE384">
        <v>4</v>
      </c>
      <c r="AF384">
        <v>0</v>
      </c>
      <c r="AG384">
        <v>2.2029999999999998</v>
      </c>
      <c r="AH384">
        <v>0.23300000000000001</v>
      </c>
      <c r="AI384">
        <v>1.0999999999999999E-2</v>
      </c>
    </row>
    <row r="385" spans="1:35" x14ac:dyDescent="0.25">
      <c r="A385">
        <v>259</v>
      </c>
      <c r="B385" t="s">
        <v>35</v>
      </c>
      <c r="C385">
        <v>3</v>
      </c>
      <c r="D385" t="s">
        <v>36</v>
      </c>
      <c r="E385">
        <v>2</v>
      </c>
      <c r="F385" t="s">
        <v>259</v>
      </c>
      <c r="G385">
        <v>2</v>
      </c>
      <c r="H385">
        <v>6</v>
      </c>
      <c r="I385">
        <v>3</v>
      </c>
      <c r="J385">
        <v>24</v>
      </c>
      <c r="K385">
        <v>3</v>
      </c>
      <c r="L385">
        <v>1</v>
      </c>
      <c r="M385">
        <v>1</v>
      </c>
      <c r="N385" t="s">
        <v>70</v>
      </c>
      <c r="O385" t="s">
        <v>39</v>
      </c>
      <c r="P385" t="s">
        <v>71</v>
      </c>
      <c r="Q385" t="s">
        <v>72</v>
      </c>
      <c r="R385" t="s">
        <v>58</v>
      </c>
      <c r="S385" t="s">
        <v>59</v>
      </c>
      <c r="T385" t="s">
        <v>73</v>
      </c>
      <c r="U385">
        <v>2</v>
      </c>
      <c r="V385" t="s">
        <v>94</v>
      </c>
      <c r="W385" t="s">
        <v>119</v>
      </c>
      <c r="X385" t="s">
        <v>55</v>
      </c>
      <c r="Y385">
        <v>1</v>
      </c>
      <c r="Z385">
        <v>3</v>
      </c>
      <c r="AA385">
        <v>44.1</v>
      </c>
      <c r="AB385">
        <v>7.9000000000000001E-2</v>
      </c>
      <c r="AC385" t="s">
        <v>55</v>
      </c>
      <c r="AD385">
        <v>4</v>
      </c>
      <c r="AE385">
        <v>5</v>
      </c>
      <c r="AF385">
        <v>0</v>
      </c>
      <c r="AG385">
        <v>2.0129999999999999</v>
      </c>
      <c r="AH385">
        <v>0.4</v>
      </c>
      <c r="AI385">
        <v>8.3000000000000004E-2</v>
      </c>
    </row>
    <row r="386" spans="1:35" x14ac:dyDescent="0.25">
      <c r="A386">
        <v>259</v>
      </c>
      <c r="B386" t="s">
        <v>35</v>
      </c>
      <c r="C386">
        <v>3</v>
      </c>
      <c r="D386" t="s">
        <v>36</v>
      </c>
      <c r="E386">
        <v>2</v>
      </c>
      <c r="F386" t="s">
        <v>259</v>
      </c>
      <c r="G386">
        <v>2</v>
      </c>
      <c r="H386">
        <v>6</v>
      </c>
      <c r="I386">
        <v>3</v>
      </c>
      <c r="J386">
        <v>25</v>
      </c>
      <c r="K386">
        <v>34</v>
      </c>
      <c r="L386">
        <v>28</v>
      </c>
      <c r="M386">
        <v>1</v>
      </c>
      <c r="N386" t="s">
        <v>117</v>
      </c>
      <c r="O386" t="s">
        <v>113</v>
      </c>
      <c r="P386" t="s">
        <v>114</v>
      </c>
      <c r="Q386" t="s">
        <v>118</v>
      </c>
      <c r="R386" t="s">
        <v>114</v>
      </c>
      <c r="S386" t="s">
        <v>52</v>
      </c>
      <c r="T386" t="s">
        <v>119</v>
      </c>
      <c r="U386">
        <v>1</v>
      </c>
      <c r="V386" t="s">
        <v>214</v>
      </c>
      <c r="W386" t="s">
        <v>98</v>
      </c>
      <c r="X386" t="s">
        <v>86</v>
      </c>
      <c r="Y386">
        <v>2</v>
      </c>
      <c r="Z386">
        <v>3</v>
      </c>
      <c r="AA386">
        <v>44.1</v>
      </c>
      <c r="AB386">
        <v>1.1299999999999999</v>
      </c>
      <c r="AC386" t="s">
        <v>86</v>
      </c>
      <c r="AD386">
        <v>4</v>
      </c>
      <c r="AE386">
        <v>4</v>
      </c>
      <c r="AF386">
        <v>0</v>
      </c>
      <c r="AG386">
        <v>2.2149999999999999</v>
      </c>
      <c r="AH386">
        <v>0.41699999999999998</v>
      </c>
      <c r="AI386">
        <v>1.129</v>
      </c>
    </row>
    <row r="387" spans="1:35" x14ac:dyDescent="0.25">
      <c r="A387">
        <v>259</v>
      </c>
      <c r="B387" t="s">
        <v>35</v>
      </c>
      <c r="C387">
        <v>3</v>
      </c>
      <c r="D387" t="s">
        <v>36</v>
      </c>
      <c r="E387">
        <v>2</v>
      </c>
      <c r="F387" t="s">
        <v>259</v>
      </c>
      <c r="G387">
        <v>2</v>
      </c>
      <c r="H387">
        <v>6</v>
      </c>
      <c r="I387">
        <v>3</v>
      </c>
      <c r="J387">
        <v>26</v>
      </c>
      <c r="K387">
        <v>45</v>
      </c>
      <c r="L387">
        <v>69</v>
      </c>
      <c r="M387">
        <v>2</v>
      </c>
      <c r="N387" t="s">
        <v>221</v>
      </c>
      <c r="O387" t="s">
        <v>113</v>
      </c>
      <c r="P387" t="s">
        <v>114</v>
      </c>
      <c r="Q387" t="s">
        <v>222</v>
      </c>
      <c r="R387" t="s">
        <v>114</v>
      </c>
      <c r="S387" t="s">
        <v>52</v>
      </c>
      <c r="T387" t="s">
        <v>69</v>
      </c>
      <c r="U387">
        <v>4</v>
      </c>
      <c r="V387" t="s">
        <v>81</v>
      </c>
      <c r="W387" t="s">
        <v>66</v>
      </c>
      <c r="X387" t="s">
        <v>139</v>
      </c>
      <c r="Y387">
        <v>1</v>
      </c>
      <c r="Z387">
        <v>3</v>
      </c>
      <c r="AA387">
        <v>44.1</v>
      </c>
      <c r="AB387">
        <v>0.10299999999999999</v>
      </c>
      <c r="AC387" t="s">
        <v>69</v>
      </c>
      <c r="AD387">
        <v>1</v>
      </c>
      <c r="AE387">
        <v>4</v>
      </c>
      <c r="AF387">
        <v>1</v>
      </c>
      <c r="AG387">
        <v>0.45400000000000001</v>
      </c>
      <c r="AH387">
        <v>3.3000000000000002E-2</v>
      </c>
      <c r="AI387">
        <v>0.10299999999999999</v>
      </c>
    </row>
    <row r="388" spans="1:35" x14ac:dyDescent="0.25">
      <c r="A388">
        <v>259</v>
      </c>
      <c r="B388" t="s">
        <v>35</v>
      </c>
      <c r="C388">
        <v>3</v>
      </c>
      <c r="D388" t="s">
        <v>36</v>
      </c>
      <c r="E388">
        <v>2</v>
      </c>
      <c r="F388" t="s">
        <v>259</v>
      </c>
      <c r="G388">
        <v>2</v>
      </c>
      <c r="H388">
        <v>6</v>
      </c>
      <c r="I388">
        <v>3</v>
      </c>
      <c r="J388">
        <v>27</v>
      </c>
      <c r="K388">
        <v>27</v>
      </c>
      <c r="L388">
        <v>25</v>
      </c>
      <c r="M388">
        <v>1</v>
      </c>
      <c r="N388" t="s">
        <v>122</v>
      </c>
      <c r="O388" t="s">
        <v>113</v>
      </c>
      <c r="P388" t="s">
        <v>114</v>
      </c>
      <c r="Q388" t="s">
        <v>123</v>
      </c>
      <c r="R388" t="s">
        <v>114</v>
      </c>
      <c r="S388" t="s">
        <v>59</v>
      </c>
      <c r="T388" t="s">
        <v>124</v>
      </c>
      <c r="U388">
        <v>5</v>
      </c>
      <c r="V388" t="s">
        <v>130</v>
      </c>
      <c r="W388" t="s">
        <v>166</v>
      </c>
      <c r="X388" t="s">
        <v>144</v>
      </c>
      <c r="Y388">
        <v>1</v>
      </c>
      <c r="Z388">
        <v>3</v>
      </c>
      <c r="AA388">
        <v>44.1</v>
      </c>
      <c r="AB388">
        <v>1.0209999999999999</v>
      </c>
      <c r="AC388" t="s">
        <v>124</v>
      </c>
      <c r="AD388">
        <v>1</v>
      </c>
      <c r="AE388">
        <v>5</v>
      </c>
      <c r="AF388">
        <v>1</v>
      </c>
      <c r="AG388">
        <v>2.8069999999999999</v>
      </c>
      <c r="AH388">
        <v>0.16700000000000001</v>
      </c>
      <c r="AI388">
        <v>1.0209999999999999</v>
      </c>
    </row>
    <row r="389" spans="1:35" x14ac:dyDescent="0.25">
      <c r="A389">
        <v>259</v>
      </c>
      <c r="B389" t="s">
        <v>35</v>
      </c>
      <c r="C389">
        <v>3</v>
      </c>
      <c r="D389" t="s">
        <v>36</v>
      </c>
      <c r="E389">
        <v>2</v>
      </c>
      <c r="F389" t="s">
        <v>259</v>
      </c>
      <c r="G389">
        <v>2</v>
      </c>
      <c r="H389">
        <v>6</v>
      </c>
      <c r="I389">
        <v>3</v>
      </c>
      <c r="J389">
        <v>28</v>
      </c>
      <c r="K389">
        <v>30</v>
      </c>
      <c r="L389">
        <v>62</v>
      </c>
      <c r="M389">
        <v>2</v>
      </c>
      <c r="N389" t="s">
        <v>142</v>
      </c>
      <c r="O389" t="s">
        <v>113</v>
      </c>
      <c r="P389" t="s">
        <v>114</v>
      </c>
      <c r="Q389" t="s">
        <v>126</v>
      </c>
      <c r="R389" t="s">
        <v>114</v>
      </c>
      <c r="S389" t="s">
        <v>52</v>
      </c>
      <c r="T389" t="s">
        <v>128</v>
      </c>
      <c r="U389">
        <v>1</v>
      </c>
      <c r="V389" t="s">
        <v>127</v>
      </c>
      <c r="W389" t="s">
        <v>146</v>
      </c>
      <c r="X389" t="s">
        <v>67</v>
      </c>
      <c r="Y389">
        <v>1</v>
      </c>
      <c r="Z389">
        <v>3</v>
      </c>
      <c r="AA389">
        <v>44.1</v>
      </c>
      <c r="AB389">
        <v>2.1000000000000001E-2</v>
      </c>
      <c r="AC389" t="s">
        <v>127</v>
      </c>
      <c r="AD389">
        <v>2</v>
      </c>
      <c r="AE389">
        <v>2</v>
      </c>
      <c r="AF389">
        <v>0</v>
      </c>
      <c r="AG389">
        <v>2.1150000000000002</v>
      </c>
      <c r="AH389">
        <v>0.53400000000000003</v>
      </c>
      <c r="AI389">
        <v>1.4999999999999999E-2</v>
      </c>
    </row>
    <row r="390" spans="1:35" x14ac:dyDescent="0.25">
      <c r="A390">
        <v>259</v>
      </c>
      <c r="B390" t="s">
        <v>35</v>
      </c>
      <c r="C390">
        <v>3</v>
      </c>
      <c r="D390" t="s">
        <v>36</v>
      </c>
      <c r="E390">
        <v>2</v>
      </c>
      <c r="F390" t="s">
        <v>259</v>
      </c>
      <c r="G390">
        <v>2</v>
      </c>
      <c r="H390">
        <v>6</v>
      </c>
      <c r="I390">
        <v>3</v>
      </c>
      <c r="J390">
        <v>29</v>
      </c>
      <c r="K390">
        <v>39</v>
      </c>
      <c r="L390">
        <v>31</v>
      </c>
      <c r="M390">
        <v>1</v>
      </c>
      <c r="N390" t="s">
        <v>230</v>
      </c>
      <c r="O390" t="s">
        <v>113</v>
      </c>
      <c r="P390" t="s">
        <v>114</v>
      </c>
      <c r="Q390" t="s">
        <v>231</v>
      </c>
      <c r="R390" t="s">
        <v>114</v>
      </c>
      <c r="S390" t="s">
        <v>59</v>
      </c>
      <c r="T390" t="s">
        <v>162</v>
      </c>
      <c r="U390">
        <v>5</v>
      </c>
      <c r="V390" t="s">
        <v>56</v>
      </c>
      <c r="W390" t="s">
        <v>106</v>
      </c>
      <c r="X390" t="s">
        <v>141</v>
      </c>
      <c r="Y390">
        <v>2</v>
      </c>
      <c r="Z390">
        <v>3</v>
      </c>
      <c r="AA390">
        <v>44.1</v>
      </c>
      <c r="AB390">
        <v>9.0999999999999998E-2</v>
      </c>
      <c r="AC390" t="s">
        <v>106</v>
      </c>
      <c r="AD390">
        <v>4</v>
      </c>
      <c r="AE390">
        <v>2</v>
      </c>
      <c r="AF390">
        <v>0</v>
      </c>
      <c r="AG390">
        <v>1.8029999999999999</v>
      </c>
      <c r="AH390">
        <v>0.3</v>
      </c>
      <c r="AI390">
        <v>8.4000000000000005E-2</v>
      </c>
    </row>
    <row r="391" spans="1:35" x14ac:dyDescent="0.25">
      <c r="A391">
        <v>259</v>
      </c>
      <c r="B391" t="s">
        <v>35</v>
      </c>
      <c r="C391">
        <v>3</v>
      </c>
      <c r="D391" t="s">
        <v>36</v>
      </c>
      <c r="E391">
        <v>2</v>
      </c>
      <c r="F391" t="s">
        <v>259</v>
      </c>
      <c r="G391">
        <v>2</v>
      </c>
      <c r="H391">
        <v>6</v>
      </c>
      <c r="I391">
        <v>3</v>
      </c>
      <c r="J391">
        <v>30</v>
      </c>
      <c r="K391">
        <v>35</v>
      </c>
      <c r="L391">
        <v>67</v>
      </c>
      <c r="M391">
        <v>2</v>
      </c>
      <c r="N391" t="s">
        <v>145</v>
      </c>
      <c r="O391" t="s">
        <v>113</v>
      </c>
      <c r="P391" t="s">
        <v>114</v>
      </c>
      <c r="Q391" t="s">
        <v>136</v>
      </c>
      <c r="R391" t="s">
        <v>114</v>
      </c>
      <c r="S391" t="s">
        <v>92</v>
      </c>
      <c r="T391" t="s">
        <v>137</v>
      </c>
      <c r="U391">
        <v>5</v>
      </c>
      <c r="V391" t="s">
        <v>74</v>
      </c>
      <c r="W391" t="s">
        <v>147</v>
      </c>
      <c r="X391" t="s">
        <v>55</v>
      </c>
      <c r="Y391">
        <v>1</v>
      </c>
      <c r="Z391">
        <v>3</v>
      </c>
      <c r="AA391">
        <v>44.1</v>
      </c>
      <c r="AB391">
        <v>7.0999999999999994E-2</v>
      </c>
      <c r="AC391" t="s">
        <v>74</v>
      </c>
      <c r="AD391">
        <v>2</v>
      </c>
      <c r="AE391">
        <v>2</v>
      </c>
      <c r="AF391">
        <v>0</v>
      </c>
      <c r="AG391">
        <v>2.2730000000000001</v>
      </c>
      <c r="AH391">
        <v>0.33400000000000002</v>
      </c>
      <c r="AI391">
        <v>7.6999999999999999E-2</v>
      </c>
    </row>
    <row r="392" spans="1:35" x14ac:dyDescent="0.25">
      <c r="A392">
        <v>259</v>
      </c>
      <c r="B392" t="s">
        <v>35</v>
      </c>
      <c r="C392">
        <v>3</v>
      </c>
      <c r="D392" t="s">
        <v>36</v>
      </c>
      <c r="E392">
        <v>2</v>
      </c>
      <c r="F392" t="s">
        <v>259</v>
      </c>
      <c r="G392">
        <v>2</v>
      </c>
      <c r="H392">
        <v>6</v>
      </c>
      <c r="I392">
        <v>3</v>
      </c>
      <c r="J392">
        <v>31</v>
      </c>
      <c r="K392">
        <v>44</v>
      </c>
      <c r="L392">
        <v>30</v>
      </c>
      <c r="M392">
        <v>1</v>
      </c>
      <c r="N392" t="s">
        <v>233</v>
      </c>
      <c r="O392" t="s">
        <v>113</v>
      </c>
      <c r="P392" t="s">
        <v>114</v>
      </c>
      <c r="Q392" t="s">
        <v>218</v>
      </c>
      <c r="R392" t="s">
        <v>114</v>
      </c>
      <c r="S392" t="s">
        <v>43</v>
      </c>
      <c r="T392" t="s">
        <v>107</v>
      </c>
      <c r="U392">
        <v>2</v>
      </c>
      <c r="V392" t="s">
        <v>111</v>
      </c>
      <c r="W392" t="s">
        <v>102</v>
      </c>
      <c r="X392" t="s">
        <v>187</v>
      </c>
      <c r="Y392">
        <v>2</v>
      </c>
      <c r="Z392">
        <v>3</v>
      </c>
      <c r="AA392">
        <v>44.1</v>
      </c>
      <c r="AB392">
        <v>5.0999999999999997E-2</v>
      </c>
      <c r="AC392" t="s">
        <v>111</v>
      </c>
      <c r="AD392">
        <v>3</v>
      </c>
      <c r="AE392">
        <v>4</v>
      </c>
      <c r="AF392">
        <v>0</v>
      </c>
      <c r="AG392">
        <v>1.6719999999999999</v>
      </c>
      <c r="AH392">
        <v>0.36699999999999999</v>
      </c>
      <c r="AI392">
        <v>5.3999999999999999E-2</v>
      </c>
    </row>
    <row r="393" spans="1:35" x14ac:dyDescent="0.25">
      <c r="A393">
        <v>259</v>
      </c>
      <c r="B393" t="s">
        <v>35</v>
      </c>
      <c r="C393">
        <v>3</v>
      </c>
      <c r="D393" t="s">
        <v>36</v>
      </c>
      <c r="E393">
        <v>2</v>
      </c>
      <c r="F393" t="s">
        <v>259</v>
      </c>
      <c r="G393">
        <v>2</v>
      </c>
      <c r="H393">
        <v>6</v>
      </c>
      <c r="I393">
        <v>3</v>
      </c>
      <c r="J393">
        <v>32</v>
      </c>
      <c r="K393">
        <v>26</v>
      </c>
      <c r="L393">
        <v>72</v>
      </c>
      <c r="M393">
        <v>2</v>
      </c>
      <c r="N393" t="s">
        <v>112</v>
      </c>
      <c r="O393" t="s">
        <v>113</v>
      </c>
      <c r="P393" t="s">
        <v>114</v>
      </c>
      <c r="Q393" t="s">
        <v>115</v>
      </c>
      <c r="R393" t="s">
        <v>114</v>
      </c>
      <c r="S393" t="s">
        <v>43</v>
      </c>
      <c r="T393" t="s">
        <v>104</v>
      </c>
      <c r="U393">
        <v>1</v>
      </c>
      <c r="V393" t="s">
        <v>46</v>
      </c>
      <c r="W393" t="s">
        <v>53</v>
      </c>
      <c r="X393" t="s">
        <v>99</v>
      </c>
      <c r="Y393">
        <v>1</v>
      </c>
      <c r="Z393">
        <v>3</v>
      </c>
      <c r="AA393">
        <v>44.1</v>
      </c>
      <c r="AB393">
        <v>0.31</v>
      </c>
      <c r="AC393" t="s">
        <v>104</v>
      </c>
      <c r="AD393">
        <v>1</v>
      </c>
      <c r="AE393">
        <v>1</v>
      </c>
      <c r="AF393">
        <v>1</v>
      </c>
      <c r="AG393">
        <v>2.137</v>
      </c>
      <c r="AH393">
        <v>0.217</v>
      </c>
      <c r="AI393">
        <v>0.30499999999999999</v>
      </c>
    </row>
    <row r="394" spans="1:35" x14ac:dyDescent="0.25">
      <c r="A394">
        <v>259</v>
      </c>
      <c r="B394" t="s">
        <v>35</v>
      </c>
      <c r="C394">
        <v>3</v>
      </c>
      <c r="D394" t="s">
        <v>36</v>
      </c>
      <c r="E394">
        <v>2</v>
      </c>
      <c r="F394" t="s">
        <v>259</v>
      </c>
      <c r="G394">
        <v>2</v>
      </c>
      <c r="H394">
        <v>6</v>
      </c>
      <c r="I394">
        <v>3</v>
      </c>
      <c r="J394">
        <v>33</v>
      </c>
      <c r="K394">
        <v>42</v>
      </c>
      <c r="L394">
        <v>66</v>
      </c>
      <c r="M394">
        <v>2</v>
      </c>
      <c r="N394" t="s">
        <v>229</v>
      </c>
      <c r="O394" t="s">
        <v>113</v>
      </c>
      <c r="P394" t="s">
        <v>114</v>
      </c>
      <c r="Q394" t="s">
        <v>226</v>
      </c>
      <c r="R394" t="s">
        <v>114</v>
      </c>
      <c r="S394" t="s">
        <v>92</v>
      </c>
      <c r="T394" t="s">
        <v>209</v>
      </c>
      <c r="U394">
        <v>2</v>
      </c>
      <c r="V394" t="s">
        <v>120</v>
      </c>
      <c r="W394" t="s">
        <v>185</v>
      </c>
      <c r="X394" t="s">
        <v>103</v>
      </c>
      <c r="Y394">
        <v>2</v>
      </c>
      <c r="Z394">
        <v>3</v>
      </c>
      <c r="AA394">
        <v>44.1</v>
      </c>
      <c r="AB394">
        <v>7.2999999999999995E-2</v>
      </c>
      <c r="AC394" t="s">
        <v>185</v>
      </c>
      <c r="AD394">
        <v>4</v>
      </c>
      <c r="AE394">
        <v>1</v>
      </c>
      <c r="AF394">
        <v>0</v>
      </c>
      <c r="AG394">
        <v>1.62</v>
      </c>
      <c r="AH394">
        <v>1.6E-2</v>
      </c>
      <c r="AI394">
        <v>6.6000000000000003E-2</v>
      </c>
    </row>
    <row r="395" spans="1:35" x14ac:dyDescent="0.25">
      <c r="A395">
        <v>259</v>
      </c>
      <c r="B395" t="s">
        <v>35</v>
      </c>
      <c r="C395">
        <v>3</v>
      </c>
      <c r="D395" t="s">
        <v>36</v>
      </c>
      <c r="E395">
        <v>2</v>
      </c>
      <c r="F395" t="s">
        <v>259</v>
      </c>
      <c r="G395">
        <v>2</v>
      </c>
      <c r="H395">
        <v>6</v>
      </c>
      <c r="I395">
        <v>3</v>
      </c>
      <c r="J395">
        <v>34</v>
      </c>
      <c r="K395">
        <v>28</v>
      </c>
      <c r="L395">
        <v>26</v>
      </c>
      <c r="M395">
        <v>1</v>
      </c>
      <c r="N395" t="s">
        <v>148</v>
      </c>
      <c r="O395" t="s">
        <v>113</v>
      </c>
      <c r="P395" t="s">
        <v>114</v>
      </c>
      <c r="Q395" t="s">
        <v>123</v>
      </c>
      <c r="R395" t="s">
        <v>114</v>
      </c>
      <c r="S395" t="s">
        <v>92</v>
      </c>
      <c r="T395" t="s">
        <v>130</v>
      </c>
      <c r="U395">
        <v>1</v>
      </c>
      <c r="V395" t="s">
        <v>137</v>
      </c>
      <c r="W395" t="s">
        <v>60</v>
      </c>
      <c r="X395" t="s">
        <v>132</v>
      </c>
      <c r="Y395">
        <v>2</v>
      </c>
      <c r="Z395">
        <v>3</v>
      </c>
      <c r="AA395">
        <v>44.1</v>
      </c>
      <c r="AB395">
        <v>0.82199999999999995</v>
      </c>
      <c r="AC395" t="s">
        <v>130</v>
      </c>
      <c r="AD395">
        <v>1</v>
      </c>
      <c r="AE395">
        <v>1</v>
      </c>
      <c r="AF395">
        <v>1</v>
      </c>
      <c r="AG395">
        <v>1.9159999999999999</v>
      </c>
      <c r="AH395">
        <v>0.433</v>
      </c>
      <c r="AI395">
        <v>0.82599999999999996</v>
      </c>
    </row>
    <row r="396" spans="1:35" x14ac:dyDescent="0.25">
      <c r="A396">
        <v>259</v>
      </c>
      <c r="B396" t="s">
        <v>35</v>
      </c>
      <c r="C396">
        <v>3</v>
      </c>
      <c r="D396" t="s">
        <v>36</v>
      </c>
      <c r="E396">
        <v>2</v>
      </c>
      <c r="F396" t="s">
        <v>259</v>
      </c>
      <c r="G396">
        <v>2</v>
      </c>
      <c r="H396">
        <v>6</v>
      </c>
      <c r="I396">
        <v>3</v>
      </c>
      <c r="J396">
        <v>35</v>
      </c>
      <c r="K396">
        <v>47</v>
      </c>
      <c r="L396">
        <v>33</v>
      </c>
      <c r="M396">
        <v>1</v>
      </c>
      <c r="N396" t="s">
        <v>223</v>
      </c>
      <c r="O396" t="s">
        <v>113</v>
      </c>
      <c r="P396" t="s">
        <v>114</v>
      </c>
      <c r="Q396" t="s">
        <v>224</v>
      </c>
      <c r="R396" t="s">
        <v>114</v>
      </c>
      <c r="S396" t="s">
        <v>59</v>
      </c>
      <c r="T396" t="s">
        <v>56</v>
      </c>
      <c r="U396">
        <v>5</v>
      </c>
      <c r="V396" t="s">
        <v>61</v>
      </c>
      <c r="W396" t="s">
        <v>183</v>
      </c>
      <c r="X396" t="s">
        <v>44</v>
      </c>
      <c r="Y396">
        <v>1</v>
      </c>
      <c r="Z396">
        <v>3</v>
      </c>
      <c r="AA396">
        <v>44.1</v>
      </c>
      <c r="AB396">
        <v>5.0999999999999997E-2</v>
      </c>
      <c r="AC396" t="s">
        <v>44</v>
      </c>
      <c r="AD396">
        <v>4</v>
      </c>
      <c r="AE396">
        <v>4</v>
      </c>
      <c r="AF396">
        <v>0</v>
      </c>
      <c r="AG396">
        <v>2.8130000000000002</v>
      </c>
      <c r="AH396">
        <v>0.317</v>
      </c>
      <c r="AI396">
        <v>4.2999999999999997E-2</v>
      </c>
    </row>
    <row r="397" spans="1:35" x14ac:dyDescent="0.25">
      <c r="A397">
        <v>259</v>
      </c>
      <c r="B397" t="s">
        <v>35</v>
      </c>
      <c r="C397">
        <v>3</v>
      </c>
      <c r="D397" t="s">
        <v>36</v>
      </c>
      <c r="E397">
        <v>2</v>
      </c>
      <c r="F397" t="s">
        <v>259</v>
      </c>
      <c r="G397">
        <v>2</v>
      </c>
      <c r="H397">
        <v>6</v>
      </c>
      <c r="I397">
        <v>3</v>
      </c>
      <c r="J397">
        <v>36</v>
      </c>
      <c r="K397">
        <v>29</v>
      </c>
      <c r="L397">
        <v>61</v>
      </c>
      <c r="M397">
        <v>2</v>
      </c>
      <c r="N397" t="s">
        <v>125</v>
      </c>
      <c r="O397" t="s">
        <v>113</v>
      </c>
      <c r="P397" t="s">
        <v>114</v>
      </c>
      <c r="Q397" t="s">
        <v>126</v>
      </c>
      <c r="R397" t="s">
        <v>114</v>
      </c>
      <c r="S397" t="s">
        <v>92</v>
      </c>
      <c r="T397" t="s">
        <v>127</v>
      </c>
      <c r="U397">
        <v>2</v>
      </c>
      <c r="V397" t="s">
        <v>179</v>
      </c>
      <c r="W397" t="s">
        <v>96</v>
      </c>
      <c r="X397" t="s">
        <v>131</v>
      </c>
      <c r="Y397">
        <v>2</v>
      </c>
      <c r="Z397">
        <v>3</v>
      </c>
      <c r="AA397">
        <v>44.1</v>
      </c>
      <c r="AB397">
        <v>3.9E-2</v>
      </c>
      <c r="AC397" t="s">
        <v>127</v>
      </c>
      <c r="AD397">
        <v>1</v>
      </c>
      <c r="AE397">
        <v>2</v>
      </c>
      <c r="AF397">
        <v>1</v>
      </c>
      <c r="AG397">
        <v>1.8129999999999999</v>
      </c>
      <c r="AH397">
        <v>1.7000000000000001E-2</v>
      </c>
      <c r="AI397">
        <v>3.6999999999999998E-2</v>
      </c>
    </row>
    <row r="398" spans="1:35" x14ac:dyDescent="0.25">
      <c r="A398">
        <v>259</v>
      </c>
      <c r="B398" t="s">
        <v>35</v>
      </c>
      <c r="C398">
        <v>3</v>
      </c>
      <c r="D398" t="s">
        <v>36</v>
      </c>
      <c r="E398">
        <v>2</v>
      </c>
      <c r="F398" t="s">
        <v>259</v>
      </c>
      <c r="G398">
        <v>2</v>
      </c>
      <c r="H398">
        <v>6</v>
      </c>
      <c r="I398">
        <v>3</v>
      </c>
      <c r="J398">
        <v>37</v>
      </c>
      <c r="K398">
        <v>38</v>
      </c>
      <c r="L398">
        <v>36</v>
      </c>
      <c r="M398">
        <v>1</v>
      </c>
      <c r="N398" t="s">
        <v>227</v>
      </c>
      <c r="O398" t="s">
        <v>113</v>
      </c>
      <c r="P398" t="s">
        <v>114</v>
      </c>
      <c r="Q398" t="s">
        <v>220</v>
      </c>
      <c r="R398" t="s">
        <v>114</v>
      </c>
      <c r="S398" t="s">
        <v>43</v>
      </c>
      <c r="T398" t="s">
        <v>116</v>
      </c>
      <c r="U398">
        <v>2</v>
      </c>
      <c r="V398" t="s">
        <v>100</v>
      </c>
      <c r="W398" t="s">
        <v>155</v>
      </c>
      <c r="X398" t="s">
        <v>80</v>
      </c>
      <c r="Y398">
        <v>2</v>
      </c>
      <c r="Z398">
        <v>3</v>
      </c>
      <c r="AA398">
        <v>44.1</v>
      </c>
      <c r="AB398">
        <v>3.1E-2</v>
      </c>
      <c r="AC398" t="s">
        <v>155</v>
      </c>
      <c r="AD398">
        <v>4</v>
      </c>
      <c r="AE398">
        <v>1</v>
      </c>
      <c r="AF398">
        <v>0</v>
      </c>
      <c r="AG398">
        <v>3.5089999999999999</v>
      </c>
      <c r="AH398">
        <v>0.26700000000000002</v>
      </c>
      <c r="AI398">
        <v>2.7E-2</v>
      </c>
    </row>
    <row r="399" spans="1:35" x14ac:dyDescent="0.25">
      <c r="A399">
        <v>259</v>
      </c>
      <c r="B399" t="s">
        <v>35</v>
      </c>
      <c r="C399">
        <v>3</v>
      </c>
      <c r="D399" t="s">
        <v>36</v>
      </c>
      <c r="E399">
        <v>2</v>
      </c>
      <c r="F399" t="s">
        <v>259</v>
      </c>
      <c r="G399">
        <v>2</v>
      </c>
      <c r="H399">
        <v>6</v>
      </c>
      <c r="I399">
        <v>3</v>
      </c>
      <c r="J399">
        <v>38</v>
      </c>
      <c r="K399">
        <v>48</v>
      </c>
      <c r="L399">
        <v>34</v>
      </c>
      <c r="M399">
        <v>1</v>
      </c>
      <c r="N399" t="s">
        <v>228</v>
      </c>
      <c r="O399" t="s">
        <v>113</v>
      </c>
      <c r="P399" t="s">
        <v>114</v>
      </c>
      <c r="Q399" t="s">
        <v>224</v>
      </c>
      <c r="R399" t="s">
        <v>114</v>
      </c>
      <c r="S399" t="s">
        <v>52</v>
      </c>
      <c r="T399" t="s">
        <v>61</v>
      </c>
      <c r="U399">
        <v>2</v>
      </c>
      <c r="V399" t="s">
        <v>69</v>
      </c>
      <c r="W399" t="s">
        <v>108</v>
      </c>
      <c r="X399" t="s">
        <v>138</v>
      </c>
      <c r="Y399">
        <v>2</v>
      </c>
      <c r="Z399">
        <v>3</v>
      </c>
      <c r="AA399">
        <v>44.1</v>
      </c>
      <c r="AB399">
        <v>1.202</v>
      </c>
      <c r="AC399" t="s">
        <v>61</v>
      </c>
      <c r="AD399">
        <v>1</v>
      </c>
      <c r="AE399">
        <v>2</v>
      </c>
      <c r="AF399">
        <v>1</v>
      </c>
      <c r="AG399">
        <v>0.88600000000000001</v>
      </c>
      <c r="AH399">
        <v>0.5</v>
      </c>
      <c r="AI399">
        <v>1.206</v>
      </c>
    </row>
    <row r="400" spans="1:35" x14ac:dyDescent="0.25">
      <c r="A400">
        <v>259</v>
      </c>
      <c r="B400" t="s">
        <v>35</v>
      </c>
      <c r="C400">
        <v>3</v>
      </c>
      <c r="D400" t="s">
        <v>36</v>
      </c>
      <c r="E400">
        <v>2</v>
      </c>
      <c r="F400" t="s">
        <v>259</v>
      </c>
      <c r="G400">
        <v>2</v>
      </c>
      <c r="H400">
        <v>6</v>
      </c>
      <c r="I400">
        <v>3</v>
      </c>
      <c r="J400">
        <v>39</v>
      </c>
      <c r="K400">
        <v>36</v>
      </c>
      <c r="L400">
        <v>68</v>
      </c>
      <c r="M400">
        <v>2</v>
      </c>
      <c r="N400" t="s">
        <v>135</v>
      </c>
      <c r="O400" t="s">
        <v>113</v>
      </c>
      <c r="P400" t="s">
        <v>114</v>
      </c>
      <c r="Q400" t="s">
        <v>136</v>
      </c>
      <c r="R400" t="s">
        <v>114</v>
      </c>
      <c r="S400" t="s">
        <v>52</v>
      </c>
      <c r="T400" t="s">
        <v>74</v>
      </c>
      <c r="U400">
        <v>5</v>
      </c>
      <c r="V400" t="s">
        <v>128</v>
      </c>
      <c r="W400" t="s">
        <v>85</v>
      </c>
      <c r="X400" t="s">
        <v>121</v>
      </c>
      <c r="Y400">
        <v>2</v>
      </c>
      <c r="Z400">
        <v>3</v>
      </c>
      <c r="AA400">
        <v>44.1</v>
      </c>
      <c r="AB400">
        <v>1.25</v>
      </c>
      <c r="AC400" t="s">
        <v>74</v>
      </c>
      <c r="AD400">
        <v>1</v>
      </c>
      <c r="AE400">
        <v>5</v>
      </c>
      <c r="AF400">
        <v>1</v>
      </c>
      <c r="AG400">
        <v>2.6709999999999998</v>
      </c>
      <c r="AH400">
        <v>0.35</v>
      </c>
      <c r="AI400">
        <v>1.2490000000000001</v>
      </c>
    </row>
    <row r="401" spans="1:35" x14ac:dyDescent="0.25">
      <c r="A401">
        <v>259</v>
      </c>
      <c r="B401" t="s">
        <v>35</v>
      </c>
      <c r="C401">
        <v>3</v>
      </c>
      <c r="D401" t="s">
        <v>36</v>
      </c>
      <c r="E401">
        <v>2</v>
      </c>
      <c r="F401" t="s">
        <v>259</v>
      </c>
      <c r="G401">
        <v>2</v>
      </c>
      <c r="H401">
        <v>6</v>
      </c>
      <c r="I401">
        <v>3</v>
      </c>
      <c r="J401">
        <v>40</v>
      </c>
      <c r="K401">
        <v>37</v>
      </c>
      <c r="L401">
        <v>35</v>
      </c>
      <c r="M401">
        <v>1</v>
      </c>
      <c r="N401" t="s">
        <v>219</v>
      </c>
      <c r="O401" t="s">
        <v>113</v>
      </c>
      <c r="P401" t="s">
        <v>114</v>
      </c>
      <c r="Q401" t="s">
        <v>220</v>
      </c>
      <c r="R401" t="s">
        <v>114</v>
      </c>
      <c r="S401" t="s">
        <v>92</v>
      </c>
      <c r="T401" t="s">
        <v>179</v>
      </c>
      <c r="U401">
        <v>2</v>
      </c>
      <c r="V401" t="s">
        <v>116</v>
      </c>
      <c r="W401" t="s">
        <v>204</v>
      </c>
      <c r="X401" t="s">
        <v>73</v>
      </c>
      <c r="Y401">
        <v>1</v>
      </c>
      <c r="Z401">
        <v>3</v>
      </c>
      <c r="AA401">
        <v>44.1</v>
      </c>
      <c r="AB401">
        <v>0.78300000000000003</v>
      </c>
      <c r="AC401" t="s">
        <v>179</v>
      </c>
      <c r="AD401">
        <v>1</v>
      </c>
      <c r="AE401">
        <v>2</v>
      </c>
      <c r="AF401">
        <v>1</v>
      </c>
      <c r="AG401">
        <v>1.4119999999999999</v>
      </c>
      <c r="AH401">
        <v>0.28299999999999997</v>
      </c>
      <c r="AI401">
        <v>0.78600000000000003</v>
      </c>
    </row>
    <row r="402" spans="1:35" x14ac:dyDescent="0.25">
      <c r="A402">
        <v>259</v>
      </c>
      <c r="B402" t="s">
        <v>35</v>
      </c>
      <c r="C402">
        <v>3</v>
      </c>
      <c r="D402" t="s">
        <v>36</v>
      </c>
      <c r="E402">
        <v>2</v>
      </c>
      <c r="F402" t="s">
        <v>259</v>
      </c>
      <c r="G402">
        <v>2</v>
      </c>
      <c r="H402">
        <v>6</v>
      </c>
      <c r="I402">
        <v>3</v>
      </c>
      <c r="J402">
        <v>41</v>
      </c>
      <c r="K402">
        <v>43</v>
      </c>
      <c r="L402">
        <v>29</v>
      </c>
      <c r="M402">
        <v>1</v>
      </c>
      <c r="N402" t="s">
        <v>217</v>
      </c>
      <c r="O402" t="s">
        <v>113</v>
      </c>
      <c r="P402" t="s">
        <v>114</v>
      </c>
      <c r="Q402" t="s">
        <v>218</v>
      </c>
      <c r="R402" t="s">
        <v>114</v>
      </c>
      <c r="S402" t="s">
        <v>52</v>
      </c>
      <c r="T402" t="s">
        <v>214</v>
      </c>
      <c r="U402">
        <v>1</v>
      </c>
      <c r="V402" t="s">
        <v>107</v>
      </c>
      <c r="W402" t="s">
        <v>94</v>
      </c>
      <c r="X402" t="s">
        <v>211</v>
      </c>
      <c r="Y402">
        <v>1</v>
      </c>
      <c r="Z402">
        <v>3</v>
      </c>
      <c r="AA402">
        <v>44.1</v>
      </c>
      <c r="AB402">
        <v>3.9E-2</v>
      </c>
      <c r="AC402" t="s">
        <v>214</v>
      </c>
      <c r="AD402">
        <v>1</v>
      </c>
      <c r="AE402">
        <v>1</v>
      </c>
      <c r="AF402">
        <v>1</v>
      </c>
      <c r="AG402">
        <v>1.97</v>
      </c>
      <c r="AH402">
        <v>0.46700000000000003</v>
      </c>
      <c r="AI402">
        <v>3.6999999999999998E-2</v>
      </c>
    </row>
    <row r="403" spans="1:35" x14ac:dyDescent="0.25">
      <c r="A403">
        <v>259</v>
      </c>
      <c r="B403" t="s">
        <v>35</v>
      </c>
      <c r="C403">
        <v>3</v>
      </c>
      <c r="D403" t="s">
        <v>36</v>
      </c>
      <c r="E403">
        <v>2</v>
      </c>
      <c r="F403" t="s">
        <v>259</v>
      </c>
      <c r="G403">
        <v>2</v>
      </c>
      <c r="H403">
        <v>6</v>
      </c>
      <c r="I403">
        <v>3</v>
      </c>
      <c r="J403">
        <v>42</v>
      </c>
      <c r="K403">
        <v>25</v>
      </c>
      <c r="L403">
        <v>71</v>
      </c>
      <c r="M403">
        <v>2</v>
      </c>
      <c r="N403" t="s">
        <v>143</v>
      </c>
      <c r="O403" t="s">
        <v>113</v>
      </c>
      <c r="P403" t="s">
        <v>114</v>
      </c>
      <c r="Q403" t="s">
        <v>115</v>
      </c>
      <c r="R403" t="s">
        <v>114</v>
      </c>
      <c r="S403" t="s">
        <v>59</v>
      </c>
      <c r="T403" t="s">
        <v>46</v>
      </c>
      <c r="U403">
        <v>4</v>
      </c>
      <c r="V403" t="s">
        <v>87</v>
      </c>
      <c r="W403" t="s">
        <v>45</v>
      </c>
      <c r="X403" t="s">
        <v>110</v>
      </c>
      <c r="Y403">
        <v>2</v>
      </c>
      <c r="Z403">
        <v>3</v>
      </c>
      <c r="AA403">
        <v>44.1</v>
      </c>
      <c r="AB403">
        <v>0.72</v>
      </c>
      <c r="AC403" t="s">
        <v>45</v>
      </c>
      <c r="AD403">
        <v>4</v>
      </c>
      <c r="AE403">
        <v>1</v>
      </c>
      <c r="AF403">
        <v>0</v>
      </c>
      <c r="AG403">
        <v>1.863</v>
      </c>
      <c r="AH403">
        <v>0.16700000000000001</v>
      </c>
      <c r="AI403">
        <v>0.71899999999999997</v>
      </c>
    </row>
    <row r="404" spans="1:35" x14ac:dyDescent="0.25">
      <c r="A404">
        <v>259</v>
      </c>
      <c r="B404" t="s">
        <v>35</v>
      </c>
      <c r="C404">
        <v>3</v>
      </c>
      <c r="D404" t="s">
        <v>36</v>
      </c>
      <c r="E404">
        <v>2</v>
      </c>
      <c r="F404" t="s">
        <v>259</v>
      </c>
      <c r="G404">
        <v>2</v>
      </c>
      <c r="H404">
        <v>6</v>
      </c>
      <c r="I404">
        <v>3</v>
      </c>
      <c r="J404">
        <v>43</v>
      </c>
      <c r="K404">
        <v>46</v>
      </c>
      <c r="L404">
        <v>70</v>
      </c>
      <c r="M404">
        <v>2</v>
      </c>
      <c r="N404" t="s">
        <v>232</v>
      </c>
      <c r="O404" t="s">
        <v>113</v>
      </c>
      <c r="P404" t="s">
        <v>114</v>
      </c>
      <c r="Q404" t="s">
        <v>222</v>
      </c>
      <c r="R404" t="s">
        <v>114</v>
      </c>
      <c r="S404" t="s">
        <v>43</v>
      </c>
      <c r="T404" t="s">
        <v>81</v>
      </c>
      <c r="U404">
        <v>1</v>
      </c>
      <c r="V404" t="s">
        <v>104</v>
      </c>
      <c r="W404" t="s">
        <v>47</v>
      </c>
      <c r="X404" t="s">
        <v>54</v>
      </c>
      <c r="Y404">
        <v>2</v>
      </c>
      <c r="Z404">
        <v>3</v>
      </c>
      <c r="AA404">
        <v>44.1</v>
      </c>
      <c r="AB404">
        <v>2.9000000000000001E-2</v>
      </c>
      <c r="AC404" t="s">
        <v>81</v>
      </c>
      <c r="AD404">
        <v>1</v>
      </c>
      <c r="AE404">
        <v>1</v>
      </c>
      <c r="AF404">
        <v>1</v>
      </c>
      <c r="AG404">
        <v>2.1749999999999998</v>
      </c>
      <c r="AH404">
        <v>0.217</v>
      </c>
      <c r="AI404">
        <v>2.3E-2</v>
      </c>
    </row>
    <row r="405" spans="1:35" x14ac:dyDescent="0.25">
      <c r="A405">
        <v>259</v>
      </c>
      <c r="B405" t="s">
        <v>35</v>
      </c>
      <c r="C405">
        <v>3</v>
      </c>
      <c r="D405" t="s">
        <v>36</v>
      </c>
      <c r="E405">
        <v>2</v>
      </c>
      <c r="F405" t="s">
        <v>259</v>
      </c>
      <c r="G405">
        <v>2</v>
      </c>
      <c r="H405">
        <v>6</v>
      </c>
      <c r="I405">
        <v>3</v>
      </c>
      <c r="J405">
        <v>44</v>
      </c>
      <c r="K405">
        <v>40</v>
      </c>
      <c r="L405">
        <v>32</v>
      </c>
      <c r="M405">
        <v>1</v>
      </c>
      <c r="N405" t="s">
        <v>234</v>
      </c>
      <c r="O405" t="s">
        <v>113</v>
      </c>
      <c r="P405" t="s">
        <v>114</v>
      </c>
      <c r="Q405" t="s">
        <v>231</v>
      </c>
      <c r="R405" t="s">
        <v>114</v>
      </c>
      <c r="S405" t="s">
        <v>43</v>
      </c>
      <c r="T405" t="s">
        <v>111</v>
      </c>
      <c r="U405">
        <v>1</v>
      </c>
      <c r="V405" t="s">
        <v>162</v>
      </c>
      <c r="W405" t="s">
        <v>79</v>
      </c>
      <c r="X405" t="s">
        <v>68</v>
      </c>
      <c r="Y405">
        <v>1</v>
      </c>
      <c r="Z405">
        <v>3</v>
      </c>
      <c r="AA405">
        <v>44.1</v>
      </c>
      <c r="AB405">
        <v>0.01</v>
      </c>
      <c r="AC405" t="s">
        <v>68</v>
      </c>
      <c r="AD405">
        <v>4</v>
      </c>
      <c r="AE405">
        <v>2</v>
      </c>
      <c r="AF405">
        <v>0</v>
      </c>
      <c r="AG405">
        <v>2.1749999999999998</v>
      </c>
      <c r="AH405">
        <v>0.11700000000000001</v>
      </c>
      <c r="AI405">
        <v>0</v>
      </c>
    </row>
    <row r="406" spans="1:35" x14ac:dyDescent="0.25">
      <c r="A406">
        <v>259</v>
      </c>
      <c r="B406" t="s">
        <v>35</v>
      </c>
      <c r="C406">
        <v>3</v>
      </c>
      <c r="D406" t="s">
        <v>36</v>
      </c>
      <c r="E406">
        <v>2</v>
      </c>
      <c r="F406" t="s">
        <v>259</v>
      </c>
      <c r="G406">
        <v>2</v>
      </c>
      <c r="H406">
        <v>6</v>
      </c>
      <c r="I406">
        <v>3</v>
      </c>
      <c r="J406">
        <v>45</v>
      </c>
      <c r="K406">
        <v>31</v>
      </c>
      <c r="L406">
        <v>63</v>
      </c>
      <c r="M406">
        <v>2</v>
      </c>
      <c r="N406" t="s">
        <v>140</v>
      </c>
      <c r="O406" t="s">
        <v>113</v>
      </c>
      <c r="P406" t="s">
        <v>114</v>
      </c>
      <c r="Q406" t="s">
        <v>134</v>
      </c>
      <c r="R406" t="s">
        <v>114</v>
      </c>
      <c r="S406" t="s">
        <v>59</v>
      </c>
      <c r="T406" t="s">
        <v>95</v>
      </c>
      <c r="U406">
        <v>1</v>
      </c>
      <c r="V406" t="s">
        <v>124</v>
      </c>
      <c r="W406" t="s">
        <v>82</v>
      </c>
      <c r="X406" t="s">
        <v>149</v>
      </c>
      <c r="Y406">
        <v>2</v>
      </c>
      <c r="Z406">
        <v>3</v>
      </c>
      <c r="AA406">
        <v>44.1</v>
      </c>
      <c r="AB406">
        <v>0.161</v>
      </c>
      <c r="AC406" t="s">
        <v>124</v>
      </c>
      <c r="AD406">
        <v>3</v>
      </c>
      <c r="AE406">
        <v>4</v>
      </c>
      <c r="AF406">
        <v>0</v>
      </c>
      <c r="AG406">
        <v>1.6539999999999999</v>
      </c>
      <c r="AH406">
        <v>0.1</v>
      </c>
      <c r="AI406">
        <v>0.152</v>
      </c>
    </row>
    <row r="407" spans="1:35" x14ac:dyDescent="0.25">
      <c r="A407">
        <v>259</v>
      </c>
      <c r="B407" t="s">
        <v>35</v>
      </c>
      <c r="C407">
        <v>3</v>
      </c>
      <c r="D407" t="s">
        <v>36</v>
      </c>
      <c r="E407">
        <v>2</v>
      </c>
      <c r="F407" t="s">
        <v>259</v>
      </c>
      <c r="G407">
        <v>2</v>
      </c>
      <c r="H407">
        <v>6</v>
      </c>
      <c r="I407">
        <v>3</v>
      </c>
      <c r="J407">
        <v>46</v>
      </c>
      <c r="K407">
        <v>33</v>
      </c>
      <c r="L407">
        <v>27</v>
      </c>
      <c r="M407">
        <v>1</v>
      </c>
      <c r="N407" t="s">
        <v>129</v>
      </c>
      <c r="O407" t="s">
        <v>113</v>
      </c>
      <c r="P407" t="s">
        <v>114</v>
      </c>
      <c r="Q407" t="s">
        <v>118</v>
      </c>
      <c r="R407" t="s">
        <v>114</v>
      </c>
      <c r="S407" t="s">
        <v>92</v>
      </c>
      <c r="T407" t="s">
        <v>120</v>
      </c>
      <c r="U407">
        <v>2</v>
      </c>
      <c r="V407" t="s">
        <v>119</v>
      </c>
      <c r="W407" t="s">
        <v>161</v>
      </c>
      <c r="X407" t="s">
        <v>156</v>
      </c>
      <c r="Y407">
        <v>1</v>
      </c>
      <c r="Z407">
        <v>3</v>
      </c>
      <c r="AA407">
        <v>44.1</v>
      </c>
      <c r="AB407">
        <v>3.3000000000000002E-2</v>
      </c>
      <c r="AC407" t="s">
        <v>120</v>
      </c>
      <c r="AD407">
        <v>1</v>
      </c>
      <c r="AE407">
        <v>2</v>
      </c>
      <c r="AF407">
        <v>1</v>
      </c>
      <c r="AG407">
        <v>1.1850000000000001</v>
      </c>
      <c r="AH407">
        <v>0.33300000000000002</v>
      </c>
      <c r="AI407">
        <v>3.6999999999999998E-2</v>
      </c>
    </row>
    <row r="408" spans="1:35" x14ac:dyDescent="0.25">
      <c r="A408">
        <v>259</v>
      </c>
      <c r="B408" t="s">
        <v>35</v>
      </c>
      <c r="C408">
        <v>3</v>
      </c>
      <c r="D408" t="s">
        <v>36</v>
      </c>
      <c r="E408">
        <v>2</v>
      </c>
      <c r="F408" t="s">
        <v>259</v>
      </c>
      <c r="G408">
        <v>2</v>
      </c>
      <c r="H408">
        <v>6</v>
      </c>
      <c r="I408">
        <v>3</v>
      </c>
      <c r="J408">
        <v>47</v>
      </c>
      <c r="K408">
        <v>32</v>
      </c>
      <c r="L408">
        <v>64</v>
      </c>
      <c r="M408">
        <v>2</v>
      </c>
      <c r="N408" t="s">
        <v>133</v>
      </c>
      <c r="O408" t="s">
        <v>113</v>
      </c>
      <c r="P408" t="s">
        <v>114</v>
      </c>
      <c r="Q408" t="s">
        <v>134</v>
      </c>
      <c r="R408" t="s">
        <v>114</v>
      </c>
      <c r="S408" t="s">
        <v>43</v>
      </c>
      <c r="T408" t="s">
        <v>100</v>
      </c>
      <c r="U408">
        <v>1</v>
      </c>
      <c r="V408" t="s">
        <v>95</v>
      </c>
      <c r="W408" t="s">
        <v>62</v>
      </c>
      <c r="X408" t="s">
        <v>93</v>
      </c>
      <c r="Y408">
        <v>1</v>
      </c>
      <c r="Z408">
        <v>3</v>
      </c>
      <c r="AA408">
        <v>44.1</v>
      </c>
      <c r="AB408">
        <v>4.2999999999999997E-2</v>
      </c>
      <c r="AC408" t="s">
        <v>100</v>
      </c>
      <c r="AD408">
        <v>1</v>
      </c>
      <c r="AE408">
        <v>1</v>
      </c>
      <c r="AF408">
        <v>1</v>
      </c>
      <c r="AG408">
        <v>2.81</v>
      </c>
      <c r="AH408">
        <v>0.217</v>
      </c>
      <c r="AI408">
        <v>4.5999999999999999E-2</v>
      </c>
    </row>
    <row r="409" spans="1:35" x14ac:dyDescent="0.25">
      <c r="A409">
        <v>259</v>
      </c>
      <c r="B409" t="s">
        <v>35</v>
      </c>
      <c r="C409">
        <v>3</v>
      </c>
      <c r="D409" t="s">
        <v>36</v>
      </c>
      <c r="E409">
        <v>2</v>
      </c>
      <c r="F409" t="s">
        <v>259</v>
      </c>
      <c r="G409">
        <v>2</v>
      </c>
      <c r="H409">
        <v>6</v>
      </c>
      <c r="I409">
        <v>3</v>
      </c>
      <c r="J409">
        <v>48</v>
      </c>
      <c r="K409">
        <v>41</v>
      </c>
      <c r="L409">
        <v>65</v>
      </c>
      <c r="M409">
        <v>2</v>
      </c>
      <c r="N409" t="s">
        <v>225</v>
      </c>
      <c r="O409" t="s">
        <v>113</v>
      </c>
      <c r="P409" t="s">
        <v>114</v>
      </c>
      <c r="Q409" t="s">
        <v>226</v>
      </c>
      <c r="R409" t="s">
        <v>114</v>
      </c>
      <c r="S409" t="s">
        <v>59</v>
      </c>
      <c r="T409" t="s">
        <v>87</v>
      </c>
      <c r="U409">
        <v>4</v>
      </c>
      <c r="V409" t="s">
        <v>209</v>
      </c>
      <c r="W409" t="s">
        <v>75</v>
      </c>
      <c r="X409" t="s">
        <v>172</v>
      </c>
      <c r="Y409">
        <v>1</v>
      </c>
      <c r="Z409">
        <v>3</v>
      </c>
      <c r="AA409">
        <v>44.1</v>
      </c>
      <c r="AB409">
        <v>4.2000000000000003E-2</v>
      </c>
      <c r="AC409" t="s">
        <v>75</v>
      </c>
      <c r="AD409">
        <v>4</v>
      </c>
      <c r="AE409">
        <v>2</v>
      </c>
      <c r="AF409">
        <v>0</v>
      </c>
      <c r="AG409">
        <v>2.5110000000000001</v>
      </c>
      <c r="AH409">
        <v>0.5</v>
      </c>
      <c r="AI409">
        <v>3.4000000000000002E-2</v>
      </c>
    </row>
    <row r="410" spans="1:35" x14ac:dyDescent="0.25">
      <c r="A410">
        <v>259</v>
      </c>
      <c r="B410" t="s">
        <v>35</v>
      </c>
      <c r="C410">
        <v>3</v>
      </c>
      <c r="D410" t="s">
        <v>36</v>
      </c>
      <c r="E410">
        <v>2</v>
      </c>
      <c r="F410" t="s">
        <v>259</v>
      </c>
      <c r="G410">
        <v>2</v>
      </c>
      <c r="H410">
        <v>6</v>
      </c>
      <c r="I410">
        <v>3</v>
      </c>
      <c r="J410">
        <v>49</v>
      </c>
      <c r="K410">
        <v>52</v>
      </c>
      <c r="L410">
        <v>14</v>
      </c>
      <c r="M410">
        <v>1</v>
      </c>
      <c r="N410" t="s">
        <v>184</v>
      </c>
      <c r="O410" t="s">
        <v>151</v>
      </c>
      <c r="P410" t="s">
        <v>168</v>
      </c>
      <c r="Q410" t="s">
        <v>169</v>
      </c>
      <c r="R410" t="s">
        <v>154</v>
      </c>
      <c r="S410" t="s">
        <v>92</v>
      </c>
      <c r="T410" t="s">
        <v>141</v>
      </c>
      <c r="U410">
        <v>4</v>
      </c>
      <c r="V410" t="s">
        <v>62</v>
      </c>
      <c r="W410" t="s">
        <v>149</v>
      </c>
      <c r="X410" t="s">
        <v>61</v>
      </c>
      <c r="Y410">
        <v>2</v>
      </c>
      <c r="Z410">
        <v>3</v>
      </c>
      <c r="AA410">
        <v>44.1</v>
      </c>
      <c r="AB410">
        <v>1.089</v>
      </c>
      <c r="AC410" t="s">
        <v>141</v>
      </c>
      <c r="AD410">
        <v>1</v>
      </c>
      <c r="AE410">
        <v>4</v>
      </c>
      <c r="AF410">
        <v>1</v>
      </c>
      <c r="AG410">
        <v>2.3980000000000001</v>
      </c>
      <c r="AH410">
        <v>0.56699999999999995</v>
      </c>
      <c r="AI410">
        <v>1.0960000000000001</v>
      </c>
    </row>
    <row r="411" spans="1:35" x14ac:dyDescent="0.25">
      <c r="A411">
        <v>259</v>
      </c>
      <c r="B411" t="s">
        <v>35</v>
      </c>
      <c r="C411">
        <v>3</v>
      </c>
      <c r="D411" t="s">
        <v>36</v>
      </c>
      <c r="E411">
        <v>2</v>
      </c>
      <c r="F411" t="s">
        <v>259</v>
      </c>
      <c r="G411">
        <v>2</v>
      </c>
      <c r="H411">
        <v>6</v>
      </c>
      <c r="I411">
        <v>3</v>
      </c>
      <c r="J411">
        <v>50</v>
      </c>
      <c r="K411">
        <v>62</v>
      </c>
      <c r="L411">
        <v>24</v>
      </c>
      <c r="M411">
        <v>1</v>
      </c>
      <c r="N411" t="s">
        <v>251</v>
      </c>
      <c r="O411" t="s">
        <v>151</v>
      </c>
      <c r="P411" t="s">
        <v>245</v>
      </c>
      <c r="Q411" t="s">
        <v>246</v>
      </c>
      <c r="R411" t="s">
        <v>160</v>
      </c>
      <c r="S411" t="s">
        <v>43</v>
      </c>
      <c r="T411" t="s">
        <v>121</v>
      </c>
      <c r="U411">
        <v>1</v>
      </c>
      <c r="V411" t="s">
        <v>161</v>
      </c>
      <c r="W411" t="s">
        <v>144</v>
      </c>
      <c r="X411" t="s">
        <v>119</v>
      </c>
      <c r="Y411">
        <v>2</v>
      </c>
      <c r="Z411">
        <v>3</v>
      </c>
      <c r="AA411">
        <v>44.1</v>
      </c>
      <c r="AB411">
        <v>4.2000000000000003E-2</v>
      </c>
      <c r="AC411" t="s">
        <v>144</v>
      </c>
      <c r="AD411">
        <v>4</v>
      </c>
      <c r="AE411">
        <v>4</v>
      </c>
      <c r="AF411">
        <v>0</v>
      </c>
      <c r="AG411">
        <v>3.1739999999999999</v>
      </c>
      <c r="AH411">
        <v>0.26700000000000002</v>
      </c>
      <c r="AI411">
        <v>3.3000000000000002E-2</v>
      </c>
    </row>
    <row r="412" spans="1:35" x14ac:dyDescent="0.25">
      <c r="A412">
        <v>259</v>
      </c>
      <c r="B412" t="s">
        <v>35</v>
      </c>
      <c r="C412">
        <v>3</v>
      </c>
      <c r="D412" t="s">
        <v>36</v>
      </c>
      <c r="E412">
        <v>2</v>
      </c>
      <c r="F412" t="s">
        <v>259</v>
      </c>
      <c r="G412">
        <v>2</v>
      </c>
      <c r="H412">
        <v>6</v>
      </c>
      <c r="I412">
        <v>3</v>
      </c>
      <c r="J412">
        <v>51</v>
      </c>
      <c r="K412">
        <v>58</v>
      </c>
      <c r="L412">
        <v>16</v>
      </c>
      <c r="M412">
        <v>1</v>
      </c>
      <c r="N412" t="s">
        <v>173</v>
      </c>
      <c r="O412" t="s">
        <v>151</v>
      </c>
      <c r="P412" t="s">
        <v>152</v>
      </c>
      <c r="Q412" t="s">
        <v>153</v>
      </c>
      <c r="R412" t="s">
        <v>174</v>
      </c>
      <c r="S412" t="s">
        <v>52</v>
      </c>
      <c r="T412" t="s">
        <v>99</v>
      </c>
      <c r="U412">
        <v>1</v>
      </c>
      <c r="V412" t="s">
        <v>75</v>
      </c>
      <c r="W412" t="s">
        <v>124</v>
      </c>
      <c r="X412" t="s">
        <v>106</v>
      </c>
      <c r="Y412">
        <v>2</v>
      </c>
      <c r="Z412">
        <v>3</v>
      </c>
      <c r="AA412">
        <v>44.1</v>
      </c>
      <c r="AB412">
        <v>4.2000000000000003E-2</v>
      </c>
      <c r="AC412" t="s">
        <v>75</v>
      </c>
      <c r="AD412">
        <v>3</v>
      </c>
      <c r="AE412">
        <v>2</v>
      </c>
      <c r="AF412">
        <v>0</v>
      </c>
      <c r="AG412">
        <v>2.2549999999999999</v>
      </c>
      <c r="AH412">
        <v>1.6E-2</v>
      </c>
      <c r="AI412">
        <v>3.4000000000000002E-2</v>
      </c>
    </row>
    <row r="413" spans="1:35" x14ac:dyDescent="0.25">
      <c r="A413">
        <v>259</v>
      </c>
      <c r="B413" t="s">
        <v>35</v>
      </c>
      <c r="C413">
        <v>3</v>
      </c>
      <c r="D413" t="s">
        <v>36</v>
      </c>
      <c r="E413">
        <v>2</v>
      </c>
      <c r="F413" t="s">
        <v>259</v>
      </c>
      <c r="G413">
        <v>2</v>
      </c>
      <c r="H413">
        <v>6</v>
      </c>
      <c r="I413">
        <v>3</v>
      </c>
      <c r="J413">
        <v>52</v>
      </c>
      <c r="K413">
        <v>54</v>
      </c>
      <c r="L413">
        <v>50</v>
      </c>
      <c r="M413">
        <v>2</v>
      </c>
      <c r="N413" t="s">
        <v>186</v>
      </c>
      <c r="O413" t="s">
        <v>151</v>
      </c>
      <c r="P413" t="s">
        <v>181</v>
      </c>
      <c r="Q413" t="s">
        <v>182</v>
      </c>
      <c r="R413" t="s">
        <v>174</v>
      </c>
      <c r="S413" t="s">
        <v>52</v>
      </c>
      <c r="T413" t="s">
        <v>187</v>
      </c>
      <c r="U413">
        <v>4</v>
      </c>
      <c r="V413" t="s">
        <v>47</v>
      </c>
      <c r="W413" t="s">
        <v>100</v>
      </c>
      <c r="X413" t="s">
        <v>85</v>
      </c>
      <c r="Y413">
        <v>2</v>
      </c>
      <c r="Z413">
        <v>3</v>
      </c>
      <c r="AA413">
        <v>44.1</v>
      </c>
      <c r="AB413">
        <v>0.872</v>
      </c>
      <c r="AC413" t="s">
        <v>47</v>
      </c>
      <c r="AD413">
        <v>3</v>
      </c>
      <c r="AE413">
        <v>5</v>
      </c>
      <c r="AF413">
        <v>0</v>
      </c>
      <c r="AG413">
        <v>1.7010000000000001</v>
      </c>
      <c r="AH413">
        <v>0.23400000000000001</v>
      </c>
      <c r="AI413">
        <v>0.875</v>
      </c>
    </row>
    <row r="414" spans="1:35" x14ac:dyDescent="0.25">
      <c r="A414">
        <v>259</v>
      </c>
      <c r="B414" t="s">
        <v>35</v>
      </c>
      <c r="C414">
        <v>3</v>
      </c>
      <c r="D414" t="s">
        <v>36</v>
      </c>
      <c r="E414">
        <v>2</v>
      </c>
      <c r="F414" t="s">
        <v>259</v>
      </c>
      <c r="G414">
        <v>2</v>
      </c>
      <c r="H414">
        <v>6</v>
      </c>
      <c r="I414">
        <v>3</v>
      </c>
      <c r="J414">
        <v>53</v>
      </c>
      <c r="K414">
        <v>60</v>
      </c>
      <c r="L414">
        <v>56</v>
      </c>
      <c r="M414">
        <v>2</v>
      </c>
      <c r="N414" t="s">
        <v>175</v>
      </c>
      <c r="O414" t="s">
        <v>151</v>
      </c>
      <c r="P414" t="s">
        <v>164</v>
      </c>
      <c r="Q414" t="s">
        <v>165</v>
      </c>
      <c r="R414" t="s">
        <v>174</v>
      </c>
      <c r="S414" t="s">
        <v>52</v>
      </c>
      <c r="T414" t="s">
        <v>166</v>
      </c>
      <c r="U414">
        <v>4</v>
      </c>
      <c r="V414" t="s">
        <v>86</v>
      </c>
      <c r="W414" t="s">
        <v>67</v>
      </c>
      <c r="X414" t="s">
        <v>107</v>
      </c>
      <c r="Y414">
        <v>1</v>
      </c>
      <c r="Z414">
        <v>3</v>
      </c>
      <c r="AA414">
        <v>44.1</v>
      </c>
      <c r="AB414">
        <v>0.01</v>
      </c>
      <c r="AC414" t="s">
        <v>86</v>
      </c>
      <c r="AD414">
        <v>2</v>
      </c>
      <c r="AE414">
        <v>5</v>
      </c>
      <c r="AF414">
        <v>0</v>
      </c>
      <c r="AG414">
        <v>1.5129999999999999</v>
      </c>
      <c r="AH414">
        <v>1.0509999999999999</v>
      </c>
      <c r="AI414">
        <v>0.02</v>
      </c>
    </row>
    <row r="415" spans="1:35" x14ac:dyDescent="0.25">
      <c r="A415">
        <v>259</v>
      </c>
      <c r="B415" t="s">
        <v>35</v>
      </c>
      <c r="C415">
        <v>3</v>
      </c>
      <c r="D415" t="s">
        <v>36</v>
      </c>
      <c r="E415">
        <v>2</v>
      </c>
      <c r="F415" t="s">
        <v>259</v>
      </c>
      <c r="G415">
        <v>2</v>
      </c>
      <c r="H415">
        <v>6</v>
      </c>
      <c r="I415">
        <v>3</v>
      </c>
      <c r="J415">
        <v>54</v>
      </c>
      <c r="K415">
        <v>49</v>
      </c>
      <c r="L415">
        <v>59</v>
      </c>
      <c r="M415">
        <v>2</v>
      </c>
      <c r="N415" t="s">
        <v>171</v>
      </c>
      <c r="O415" t="s">
        <v>151</v>
      </c>
      <c r="P415" t="s">
        <v>158</v>
      </c>
      <c r="Q415" t="s">
        <v>159</v>
      </c>
      <c r="R415" t="s">
        <v>170</v>
      </c>
      <c r="S415" t="s">
        <v>59</v>
      </c>
      <c r="T415" t="s">
        <v>103</v>
      </c>
      <c r="U415">
        <v>1</v>
      </c>
      <c r="V415" t="s">
        <v>146</v>
      </c>
      <c r="W415" t="s">
        <v>179</v>
      </c>
      <c r="X415" t="s">
        <v>185</v>
      </c>
      <c r="Y415">
        <v>2</v>
      </c>
      <c r="Z415">
        <v>3</v>
      </c>
      <c r="AA415">
        <v>44.1</v>
      </c>
      <c r="AB415">
        <v>0.25900000000000001</v>
      </c>
      <c r="AC415" t="s">
        <v>103</v>
      </c>
      <c r="AD415">
        <v>1</v>
      </c>
      <c r="AE415">
        <v>1</v>
      </c>
      <c r="AF415">
        <v>1</v>
      </c>
      <c r="AG415">
        <v>1.1200000000000001</v>
      </c>
      <c r="AH415">
        <v>0.36699999999999999</v>
      </c>
      <c r="AI415">
        <v>0.25800000000000001</v>
      </c>
    </row>
    <row r="416" spans="1:35" x14ac:dyDescent="0.25">
      <c r="A416">
        <v>259</v>
      </c>
      <c r="B416" t="s">
        <v>35</v>
      </c>
      <c r="C416">
        <v>3</v>
      </c>
      <c r="D416" t="s">
        <v>36</v>
      </c>
      <c r="E416">
        <v>2</v>
      </c>
      <c r="F416" t="s">
        <v>259</v>
      </c>
      <c r="G416">
        <v>2</v>
      </c>
      <c r="H416">
        <v>6</v>
      </c>
      <c r="I416">
        <v>3</v>
      </c>
      <c r="J416">
        <v>55</v>
      </c>
      <c r="K416">
        <v>55</v>
      </c>
      <c r="L416">
        <v>51</v>
      </c>
      <c r="M416">
        <v>2</v>
      </c>
      <c r="N416" t="s">
        <v>176</v>
      </c>
      <c r="O416" t="s">
        <v>151</v>
      </c>
      <c r="P416" t="s">
        <v>177</v>
      </c>
      <c r="Q416" t="s">
        <v>178</v>
      </c>
      <c r="R416" t="s">
        <v>170</v>
      </c>
      <c r="S416" t="s">
        <v>59</v>
      </c>
      <c r="T416" t="s">
        <v>139</v>
      </c>
      <c r="U416">
        <v>4</v>
      </c>
      <c r="V416" t="s">
        <v>204</v>
      </c>
      <c r="W416" t="s">
        <v>69</v>
      </c>
      <c r="X416" t="s">
        <v>102</v>
      </c>
      <c r="Y416">
        <v>2</v>
      </c>
      <c r="Z416">
        <v>3</v>
      </c>
      <c r="AA416">
        <v>44.1</v>
      </c>
      <c r="AB416">
        <v>6.3E-2</v>
      </c>
      <c r="AC416" t="s">
        <v>139</v>
      </c>
      <c r="AD416">
        <v>1</v>
      </c>
      <c r="AE416">
        <v>4</v>
      </c>
      <c r="AF416">
        <v>1</v>
      </c>
      <c r="AG416">
        <v>0.99299999999999999</v>
      </c>
      <c r="AH416">
        <v>0.15</v>
      </c>
      <c r="AI416">
        <v>6.6000000000000003E-2</v>
      </c>
    </row>
    <row r="417" spans="1:35" x14ac:dyDescent="0.25">
      <c r="A417">
        <v>259</v>
      </c>
      <c r="B417" t="s">
        <v>35</v>
      </c>
      <c r="C417">
        <v>3</v>
      </c>
      <c r="D417" t="s">
        <v>36</v>
      </c>
      <c r="E417">
        <v>2</v>
      </c>
      <c r="F417" t="s">
        <v>259</v>
      </c>
      <c r="G417">
        <v>2</v>
      </c>
      <c r="H417">
        <v>6</v>
      </c>
      <c r="I417">
        <v>3</v>
      </c>
      <c r="J417">
        <v>56</v>
      </c>
      <c r="K417">
        <v>68</v>
      </c>
      <c r="L417">
        <v>18</v>
      </c>
      <c r="M417">
        <v>1</v>
      </c>
      <c r="N417" t="s">
        <v>258</v>
      </c>
      <c r="O417" t="s">
        <v>151</v>
      </c>
      <c r="P417" t="s">
        <v>255</v>
      </c>
      <c r="Q417" t="s">
        <v>256</v>
      </c>
      <c r="R417" t="s">
        <v>160</v>
      </c>
      <c r="S417" t="s">
        <v>43</v>
      </c>
      <c r="T417" t="s">
        <v>110</v>
      </c>
      <c r="U417">
        <v>2</v>
      </c>
      <c r="V417" t="s">
        <v>82</v>
      </c>
      <c r="W417" t="s">
        <v>214</v>
      </c>
      <c r="X417" t="s">
        <v>147</v>
      </c>
      <c r="Y417">
        <v>2</v>
      </c>
      <c r="Z417">
        <v>3</v>
      </c>
      <c r="AA417">
        <v>44.1</v>
      </c>
      <c r="AB417">
        <v>0.06</v>
      </c>
      <c r="AC417" t="s">
        <v>110</v>
      </c>
      <c r="AD417">
        <v>1</v>
      </c>
      <c r="AE417">
        <v>2</v>
      </c>
      <c r="AF417">
        <v>1</v>
      </c>
      <c r="AG417">
        <v>1.286</v>
      </c>
      <c r="AH417">
        <v>0.38400000000000001</v>
      </c>
      <c r="AI417">
        <v>6.0999999999999999E-2</v>
      </c>
    </row>
    <row r="418" spans="1:35" x14ac:dyDescent="0.25">
      <c r="A418">
        <v>259</v>
      </c>
      <c r="B418" t="s">
        <v>35</v>
      </c>
      <c r="C418">
        <v>3</v>
      </c>
      <c r="D418" t="s">
        <v>36</v>
      </c>
      <c r="E418">
        <v>2</v>
      </c>
      <c r="F418" t="s">
        <v>259</v>
      </c>
      <c r="G418">
        <v>2</v>
      </c>
      <c r="H418">
        <v>6</v>
      </c>
      <c r="I418">
        <v>3</v>
      </c>
      <c r="J418">
        <v>57</v>
      </c>
      <c r="K418">
        <v>59</v>
      </c>
      <c r="L418">
        <v>55</v>
      </c>
      <c r="M418">
        <v>2</v>
      </c>
      <c r="N418" t="s">
        <v>163</v>
      </c>
      <c r="O418" t="s">
        <v>151</v>
      </c>
      <c r="P418" t="s">
        <v>164</v>
      </c>
      <c r="Q418" t="s">
        <v>165</v>
      </c>
      <c r="R418" t="s">
        <v>154</v>
      </c>
      <c r="S418" t="s">
        <v>92</v>
      </c>
      <c r="T418" t="s">
        <v>86</v>
      </c>
      <c r="U418">
        <v>1</v>
      </c>
      <c r="V418" t="s">
        <v>155</v>
      </c>
      <c r="W418" t="s">
        <v>56</v>
      </c>
      <c r="X418" t="s">
        <v>45</v>
      </c>
      <c r="Y418">
        <v>2</v>
      </c>
      <c r="Z418">
        <v>3</v>
      </c>
      <c r="AA418">
        <v>44.1</v>
      </c>
      <c r="AB418">
        <v>9.2999999999999999E-2</v>
      </c>
      <c r="AC418" t="s">
        <v>86</v>
      </c>
      <c r="AD418">
        <v>1</v>
      </c>
      <c r="AE418">
        <v>1</v>
      </c>
      <c r="AF418">
        <v>1</v>
      </c>
      <c r="AG418">
        <v>1.21</v>
      </c>
      <c r="AH418">
        <v>0.25</v>
      </c>
      <c r="AI418">
        <v>9.6000000000000002E-2</v>
      </c>
    </row>
    <row r="419" spans="1:35" x14ac:dyDescent="0.25">
      <c r="A419">
        <v>259</v>
      </c>
      <c r="B419" t="s">
        <v>35</v>
      </c>
      <c r="C419">
        <v>3</v>
      </c>
      <c r="D419" t="s">
        <v>36</v>
      </c>
      <c r="E419">
        <v>2</v>
      </c>
      <c r="F419" t="s">
        <v>259</v>
      </c>
      <c r="G419">
        <v>2</v>
      </c>
      <c r="H419">
        <v>6</v>
      </c>
      <c r="I419">
        <v>3</v>
      </c>
      <c r="J419">
        <v>58</v>
      </c>
      <c r="K419">
        <v>65</v>
      </c>
      <c r="L419">
        <v>53</v>
      </c>
      <c r="M419">
        <v>2</v>
      </c>
      <c r="N419" t="s">
        <v>257</v>
      </c>
      <c r="O419" t="s">
        <v>151</v>
      </c>
      <c r="P419" t="s">
        <v>249</v>
      </c>
      <c r="Q419" t="s">
        <v>250</v>
      </c>
      <c r="R419" t="s">
        <v>170</v>
      </c>
      <c r="S419" t="s">
        <v>59</v>
      </c>
      <c r="T419" t="s">
        <v>204</v>
      </c>
      <c r="U419">
        <v>2</v>
      </c>
      <c r="V419" t="s">
        <v>68</v>
      </c>
      <c r="W419" t="s">
        <v>131</v>
      </c>
      <c r="X419" t="s">
        <v>74</v>
      </c>
      <c r="Y419">
        <v>1</v>
      </c>
      <c r="Z419">
        <v>3</v>
      </c>
      <c r="AA419">
        <v>44.1</v>
      </c>
      <c r="AB419">
        <v>0.46300000000000002</v>
      </c>
      <c r="AC419" t="s">
        <v>68</v>
      </c>
      <c r="AD419">
        <v>2</v>
      </c>
      <c r="AE419">
        <v>5</v>
      </c>
      <c r="AF419">
        <v>0</v>
      </c>
      <c r="AG419">
        <v>1.0349999999999999</v>
      </c>
      <c r="AH419">
        <v>6.6000000000000003E-2</v>
      </c>
      <c r="AI419">
        <v>0.46200000000000002</v>
      </c>
    </row>
    <row r="420" spans="1:35" x14ac:dyDescent="0.25">
      <c r="A420">
        <v>259</v>
      </c>
      <c r="B420" t="s">
        <v>35</v>
      </c>
      <c r="C420">
        <v>3</v>
      </c>
      <c r="D420" t="s">
        <v>36</v>
      </c>
      <c r="E420">
        <v>2</v>
      </c>
      <c r="F420" t="s">
        <v>259</v>
      </c>
      <c r="G420">
        <v>2</v>
      </c>
      <c r="H420">
        <v>6</v>
      </c>
      <c r="I420">
        <v>3</v>
      </c>
      <c r="J420">
        <v>59</v>
      </c>
      <c r="K420">
        <v>67</v>
      </c>
      <c r="L420">
        <v>17</v>
      </c>
      <c r="M420">
        <v>1</v>
      </c>
      <c r="N420" t="s">
        <v>254</v>
      </c>
      <c r="O420" t="s">
        <v>151</v>
      </c>
      <c r="P420" t="s">
        <v>255</v>
      </c>
      <c r="Q420" t="s">
        <v>256</v>
      </c>
      <c r="R420" t="s">
        <v>174</v>
      </c>
      <c r="S420" t="s">
        <v>52</v>
      </c>
      <c r="T420" t="s">
        <v>47</v>
      </c>
      <c r="U420">
        <v>2</v>
      </c>
      <c r="V420" t="s">
        <v>110</v>
      </c>
      <c r="W420" t="s">
        <v>87</v>
      </c>
      <c r="X420" t="s">
        <v>98</v>
      </c>
      <c r="Y420">
        <v>1</v>
      </c>
      <c r="Z420">
        <v>3</v>
      </c>
      <c r="AA420">
        <v>44.1</v>
      </c>
      <c r="AB420">
        <v>0.93300000000000005</v>
      </c>
      <c r="AC420" t="s">
        <v>47</v>
      </c>
      <c r="AD420">
        <v>1</v>
      </c>
      <c r="AE420">
        <v>2</v>
      </c>
      <c r="AF420">
        <v>1</v>
      </c>
      <c r="AG420">
        <v>2.214</v>
      </c>
      <c r="AH420">
        <v>0.36699999999999999</v>
      </c>
      <c r="AI420">
        <v>0.93300000000000005</v>
      </c>
    </row>
    <row r="421" spans="1:35" x14ac:dyDescent="0.25">
      <c r="A421">
        <v>259</v>
      </c>
      <c r="B421" t="s">
        <v>35</v>
      </c>
      <c r="C421">
        <v>3</v>
      </c>
      <c r="D421" t="s">
        <v>36</v>
      </c>
      <c r="E421">
        <v>2</v>
      </c>
      <c r="F421" t="s">
        <v>259</v>
      </c>
      <c r="G421">
        <v>2</v>
      </c>
      <c r="H421">
        <v>6</v>
      </c>
      <c r="I421">
        <v>3</v>
      </c>
      <c r="J421">
        <v>60</v>
      </c>
      <c r="K421">
        <v>56</v>
      </c>
      <c r="L421">
        <v>52</v>
      </c>
      <c r="M421">
        <v>2</v>
      </c>
      <c r="N421" t="s">
        <v>188</v>
      </c>
      <c r="O421" t="s">
        <v>151</v>
      </c>
      <c r="P421" t="s">
        <v>177</v>
      </c>
      <c r="Q421" t="s">
        <v>178</v>
      </c>
      <c r="R421" t="s">
        <v>160</v>
      </c>
      <c r="S421" t="s">
        <v>43</v>
      </c>
      <c r="T421" t="s">
        <v>108</v>
      </c>
      <c r="U421">
        <v>5</v>
      </c>
      <c r="V421" t="s">
        <v>139</v>
      </c>
      <c r="W421" t="s">
        <v>128</v>
      </c>
      <c r="X421" t="s">
        <v>79</v>
      </c>
      <c r="Y421">
        <v>1</v>
      </c>
      <c r="Z421">
        <v>3</v>
      </c>
      <c r="AA421">
        <v>44.1</v>
      </c>
      <c r="AB421">
        <v>2.4E-2</v>
      </c>
      <c r="AC421" t="s">
        <v>108</v>
      </c>
      <c r="AD421">
        <v>1</v>
      </c>
      <c r="AE421">
        <v>5</v>
      </c>
      <c r="AF421">
        <v>1</v>
      </c>
      <c r="AG421">
        <v>1.2849999999999999</v>
      </c>
      <c r="AH421">
        <v>0.5</v>
      </c>
      <c r="AI421">
        <v>2.4E-2</v>
      </c>
    </row>
    <row r="422" spans="1:35" x14ac:dyDescent="0.25">
      <c r="A422">
        <v>259</v>
      </c>
      <c r="B422" t="s">
        <v>35</v>
      </c>
      <c r="C422">
        <v>3</v>
      </c>
      <c r="D422" t="s">
        <v>36</v>
      </c>
      <c r="E422">
        <v>2</v>
      </c>
      <c r="F422" t="s">
        <v>259</v>
      </c>
      <c r="G422">
        <v>2</v>
      </c>
      <c r="H422">
        <v>6</v>
      </c>
      <c r="I422">
        <v>3</v>
      </c>
      <c r="J422">
        <v>61</v>
      </c>
      <c r="K422">
        <v>66</v>
      </c>
      <c r="L422">
        <v>54</v>
      </c>
      <c r="M422">
        <v>2</v>
      </c>
      <c r="N422" t="s">
        <v>248</v>
      </c>
      <c r="O422" t="s">
        <v>151</v>
      </c>
      <c r="P422" t="s">
        <v>249</v>
      </c>
      <c r="Q422" t="s">
        <v>250</v>
      </c>
      <c r="R422" t="s">
        <v>154</v>
      </c>
      <c r="S422" t="s">
        <v>92</v>
      </c>
      <c r="T422" t="s">
        <v>68</v>
      </c>
      <c r="U422">
        <v>4</v>
      </c>
      <c r="V422" t="s">
        <v>183</v>
      </c>
      <c r="W422" t="s">
        <v>156</v>
      </c>
      <c r="X422" t="s">
        <v>46</v>
      </c>
      <c r="Y422">
        <v>2</v>
      </c>
      <c r="Z422">
        <v>3</v>
      </c>
      <c r="AA422">
        <v>44.1</v>
      </c>
      <c r="AB422">
        <v>0.96199999999999997</v>
      </c>
      <c r="AC422" t="s">
        <v>183</v>
      </c>
      <c r="AD422">
        <v>3</v>
      </c>
      <c r="AE422">
        <v>2</v>
      </c>
      <c r="AF422">
        <v>0</v>
      </c>
      <c r="AG422">
        <v>1.9850000000000001</v>
      </c>
      <c r="AH422">
        <v>0.434</v>
      </c>
      <c r="AI422">
        <v>0.95599999999999996</v>
      </c>
    </row>
    <row r="423" spans="1:35" x14ac:dyDescent="0.25">
      <c r="A423">
        <v>259</v>
      </c>
      <c r="B423" t="s">
        <v>35</v>
      </c>
      <c r="C423">
        <v>3</v>
      </c>
      <c r="D423" t="s">
        <v>36</v>
      </c>
      <c r="E423">
        <v>2</v>
      </c>
      <c r="F423" t="s">
        <v>259</v>
      </c>
      <c r="G423">
        <v>2</v>
      </c>
      <c r="H423">
        <v>6</v>
      </c>
      <c r="I423">
        <v>3</v>
      </c>
      <c r="J423">
        <v>62</v>
      </c>
      <c r="K423">
        <v>70</v>
      </c>
      <c r="L423">
        <v>58</v>
      </c>
      <c r="M423">
        <v>2</v>
      </c>
      <c r="N423" t="s">
        <v>235</v>
      </c>
      <c r="O423" t="s">
        <v>151</v>
      </c>
      <c r="P423" t="s">
        <v>236</v>
      </c>
      <c r="Q423" t="s">
        <v>237</v>
      </c>
      <c r="R423" t="s">
        <v>160</v>
      </c>
      <c r="S423" t="s">
        <v>43</v>
      </c>
      <c r="T423" t="s">
        <v>55</v>
      </c>
      <c r="U423">
        <v>2</v>
      </c>
      <c r="V423" t="s">
        <v>108</v>
      </c>
      <c r="W423" t="s">
        <v>54</v>
      </c>
      <c r="X423" t="s">
        <v>130</v>
      </c>
      <c r="Y423">
        <v>2</v>
      </c>
      <c r="Z423">
        <v>3</v>
      </c>
      <c r="AA423">
        <v>44.1</v>
      </c>
      <c r="AB423">
        <v>2.1000000000000001E-2</v>
      </c>
      <c r="AC423" t="s">
        <v>54</v>
      </c>
      <c r="AD423">
        <v>4</v>
      </c>
      <c r="AE423">
        <v>1</v>
      </c>
      <c r="AF423">
        <v>0</v>
      </c>
      <c r="AG423">
        <v>1.7150000000000001</v>
      </c>
      <c r="AH423">
        <v>0.2</v>
      </c>
      <c r="AI423">
        <v>0.02</v>
      </c>
    </row>
    <row r="424" spans="1:35" x14ac:dyDescent="0.25">
      <c r="A424">
        <v>259</v>
      </c>
      <c r="B424" t="s">
        <v>35</v>
      </c>
      <c r="C424">
        <v>3</v>
      </c>
      <c r="D424" t="s">
        <v>36</v>
      </c>
      <c r="E424">
        <v>2</v>
      </c>
      <c r="F424" t="s">
        <v>259</v>
      </c>
      <c r="G424">
        <v>2</v>
      </c>
      <c r="H424">
        <v>6</v>
      </c>
      <c r="I424">
        <v>3</v>
      </c>
      <c r="J424">
        <v>63</v>
      </c>
      <c r="K424">
        <v>72</v>
      </c>
      <c r="L424">
        <v>22</v>
      </c>
      <c r="M424">
        <v>1</v>
      </c>
      <c r="N424" t="s">
        <v>241</v>
      </c>
      <c r="O424" t="s">
        <v>151</v>
      </c>
      <c r="P424" t="s">
        <v>242</v>
      </c>
      <c r="Q424" t="s">
        <v>243</v>
      </c>
      <c r="R424" t="s">
        <v>174</v>
      </c>
      <c r="S424" t="s">
        <v>52</v>
      </c>
      <c r="T424" t="s">
        <v>132</v>
      </c>
      <c r="U424">
        <v>2</v>
      </c>
      <c r="V424" t="s">
        <v>166</v>
      </c>
      <c r="W424" t="s">
        <v>111</v>
      </c>
      <c r="X424" t="s">
        <v>66</v>
      </c>
      <c r="Y424">
        <v>2</v>
      </c>
      <c r="Z424">
        <v>3</v>
      </c>
      <c r="AA424">
        <v>44.1</v>
      </c>
      <c r="AB424">
        <v>0.04</v>
      </c>
      <c r="AC424" t="s">
        <v>111</v>
      </c>
      <c r="AD424">
        <v>4</v>
      </c>
      <c r="AE424">
        <v>4</v>
      </c>
      <c r="AF424">
        <v>0</v>
      </c>
      <c r="AG424">
        <v>1.2789999999999999</v>
      </c>
      <c r="AH424">
        <v>3.3000000000000002E-2</v>
      </c>
      <c r="AI424">
        <v>4.8000000000000001E-2</v>
      </c>
    </row>
    <row r="425" spans="1:35" x14ac:dyDescent="0.25">
      <c r="A425">
        <v>259</v>
      </c>
      <c r="B425" t="s">
        <v>35</v>
      </c>
      <c r="C425">
        <v>3</v>
      </c>
      <c r="D425" t="s">
        <v>36</v>
      </c>
      <c r="E425">
        <v>2</v>
      </c>
      <c r="F425" t="s">
        <v>259</v>
      </c>
      <c r="G425">
        <v>2</v>
      </c>
      <c r="H425">
        <v>6</v>
      </c>
      <c r="I425">
        <v>3</v>
      </c>
      <c r="J425">
        <v>64</v>
      </c>
      <c r="K425">
        <v>61</v>
      </c>
      <c r="L425">
        <v>23</v>
      </c>
      <c r="M425">
        <v>1</v>
      </c>
      <c r="N425" t="s">
        <v>244</v>
      </c>
      <c r="O425" t="s">
        <v>151</v>
      </c>
      <c r="P425" t="s">
        <v>245</v>
      </c>
      <c r="Q425" t="s">
        <v>246</v>
      </c>
      <c r="R425" t="s">
        <v>154</v>
      </c>
      <c r="S425" t="s">
        <v>92</v>
      </c>
      <c r="T425" t="s">
        <v>62</v>
      </c>
      <c r="U425">
        <v>1</v>
      </c>
      <c r="V425" t="s">
        <v>121</v>
      </c>
      <c r="W425" t="s">
        <v>73</v>
      </c>
      <c r="X425" t="s">
        <v>162</v>
      </c>
      <c r="Y425">
        <v>1</v>
      </c>
      <c r="Z425">
        <v>3</v>
      </c>
      <c r="AA425">
        <v>44.1</v>
      </c>
      <c r="AB425">
        <v>2.1999999999999999E-2</v>
      </c>
      <c r="AC425" t="s">
        <v>73</v>
      </c>
      <c r="AD425">
        <v>4</v>
      </c>
      <c r="AE425">
        <v>2</v>
      </c>
      <c r="AF425">
        <v>0</v>
      </c>
      <c r="AG425">
        <v>1.3049999999999999</v>
      </c>
      <c r="AH425">
        <v>0.183</v>
      </c>
      <c r="AI425">
        <v>2.9000000000000001E-2</v>
      </c>
    </row>
    <row r="426" spans="1:35" x14ac:dyDescent="0.25">
      <c r="A426">
        <v>259</v>
      </c>
      <c r="B426" t="s">
        <v>35</v>
      </c>
      <c r="C426">
        <v>3</v>
      </c>
      <c r="D426" t="s">
        <v>36</v>
      </c>
      <c r="E426">
        <v>2</v>
      </c>
      <c r="F426" t="s">
        <v>259</v>
      </c>
      <c r="G426">
        <v>2</v>
      </c>
      <c r="H426">
        <v>6</v>
      </c>
      <c r="I426">
        <v>3</v>
      </c>
      <c r="J426">
        <v>65</v>
      </c>
      <c r="K426">
        <v>53</v>
      </c>
      <c r="L426">
        <v>49</v>
      </c>
      <c r="M426">
        <v>2</v>
      </c>
      <c r="N426" t="s">
        <v>180</v>
      </c>
      <c r="O426" t="s">
        <v>151</v>
      </c>
      <c r="P426" t="s">
        <v>181</v>
      </c>
      <c r="Q426" t="s">
        <v>182</v>
      </c>
      <c r="R426" t="s">
        <v>154</v>
      </c>
      <c r="S426" t="s">
        <v>92</v>
      </c>
      <c r="T426" t="s">
        <v>183</v>
      </c>
      <c r="U426">
        <v>1</v>
      </c>
      <c r="V426" t="s">
        <v>187</v>
      </c>
      <c r="W426" t="s">
        <v>138</v>
      </c>
      <c r="X426" t="s">
        <v>116</v>
      </c>
      <c r="Y426">
        <v>1</v>
      </c>
      <c r="Z426">
        <v>3</v>
      </c>
      <c r="AA426">
        <v>44.1</v>
      </c>
      <c r="AB426">
        <v>0.16</v>
      </c>
      <c r="AC426" t="s">
        <v>183</v>
      </c>
      <c r="AD426">
        <v>1</v>
      </c>
      <c r="AE426">
        <v>1</v>
      </c>
      <c r="AF426">
        <v>1</v>
      </c>
      <c r="AG426">
        <v>2.113</v>
      </c>
      <c r="AH426">
        <v>0.53400000000000003</v>
      </c>
      <c r="AI426">
        <v>0.16</v>
      </c>
    </row>
    <row r="427" spans="1:35" x14ac:dyDescent="0.25">
      <c r="A427">
        <v>259</v>
      </c>
      <c r="B427" t="s">
        <v>35</v>
      </c>
      <c r="C427">
        <v>3</v>
      </c>
      <c r="D427" t="s">
        <v>36</v>
      </c>
      <c r="E427">
        <v>2</v>
      </c>
      <c r="F427" t="s">
        <v>259</v>
      </c>
      <c r="G427">
        <v>2</v>
      </c>
      <c r="H427">
        <v>6</v>
      </c>
      <c r="I427">
        <v>3</v>
      </c>
      <c r="J427">
        <v>66</v>
      </c>
      <c r="K427">
        <v>64</v>
      </c>
      <c r="L427">
        <v>20</v>
      </c>
      <c r="M427">
        <v>1</v>
      </c>
      <c r="N427" t="s">
        <v>238</v>
      </c>
      <c r="O427" t="s">
        <v>151</v>
      </c>
      <c r="P427" t="s">
        <v>239</v>
      </c>
      <c r="Q427" t="s">
        <v>240</v>
      </c>
      <c r="R427" t="s">
        <v>160</v>
      </c>
      <c r="S427" t="s">
        <v>43</v>
      </c>
      <c r="T427" t="s">
        <v>82</v>
      </c>
      <c r="U427">
        <v>4</v>
      </c>
      <c r="V427" t="s">
        <v>211</v>
      </c>
      <c r="W427" t="s">
        <v>120</v>
      </c>
      <c r="X427" t="s">
        <v>94</v>
      </c>
      <c r="Y427">
        <v>1</v>
      </c>
      <c r="Z427">
        <v>3</v>
      </c>
      <c r="AA427">
        <v>44.1</v>
      </c>
      <c r="AB427">
        <v>6.0999999999999999E-2</v>
      </c>
      <c r="AC427" t="s">
        <v>82</v>
      </c>
      <c r="AD427">
        <v>1</v>
      </c>
      <c r="AE427">
        <v>4</v>
      </c>
      <c r="AF427">
        <v>1</v>
      </c>
      <c r="AG427">
        <v>1.5649999999999999</v>
      </c>
      <c r="AH427">
        <v>8.3000000000000004E-2</v>
      </c>
      <c r="AI427">
        <v>5.0999999999999997E-2</v>
      </c>
    </row>
    <row r="428" spans="1:35" x14ac:dyDescent="0.25">
      <c r="A428">
        <v>259</v>
      </c>
      <c r="B428" t="s">
        <v>35</v>
      </c>
      <c r="C428">
        <v>3</v>
      </c>
      <c r="D428" t="s">
        <v>36</v>
      </c>
      <c r="E428">
        <v>2</v>
      </c>
      <c r="F428" t="s">
        <v>259</v>
      </c>
      <c r="G428">
        <v>2</v>
      </c>
      <c r="H428">
        <v>6</v>
      </c>
      <c r="I428">
        <v>3</v>
      </c>
      <c r="J428">
        <v>67</v>
      </c>
      <c r="K428">
        <v>71</v>
      </c>
      <c r="L428">
        <v>21</v>
      </c>
      <c r="M428">
        <v>1</v>
      </c>
      <c r="N428" t="s">
        <v>252</v>
      </c>
      <c r="O428" t="s">
        <v>151</v>
      </c>
      <c r="P428" t="s">
        <v>242</v>
      </c>
      <c r="Q428" t="s">
        <v>243</v>
      </c>
      <c r="R428" t="s">
        <v>170</v>
      </c>
      <c r="S428" t="s">
        <v>59</v>
      </c>
      <c r="T428" t="s">
        <v>146</v>
      </c>
      <c r="U428">
        <v>5</v>
      </c>
      <c r="V428" t="s">
        <v>132</v>
      </c>
      <c r="W428" t="s">
        <v>80</v>
      </c>
      <c r="X428" t="s">
        <v>209</v>
      </c>
      <c r="Y428">
        <v>1</v>
      </c>
      <c r="Z428">
        <v>3</v>
      </c>
      <c r="AA428">
        <v>44.1</v>
      </c>
      <c r="AB428">
        <v>6.2E-2</v>
      </c>
      <c r="AC428" t="s">
        <v>146</v>
      </c>
      <c r="AD428">
        <v>1</v>
      </c>
      <c r="AE428">
        <v>5</v>
      </c>
      <c r="AF428">
        <v>1</v>
      </c>
      <c r="AG428">
        <v>1.6379999999999999</v>
      </c>
      <c r="AH428">
        <v>0.26700000000000002</v>
      </c>
      <c r="AI428">
        <v>5.6000000000000001E-2</v>
      </c>
    </row>
    <row r="429" spans="1:35" x14ac:dyDescent="0.25">
      <c r="A429">
        <v>259</v>
      </c>
      <c r="B429" t="s">
        <v>35</v>
      </c>
      <c r="C429">
        <v>3</v>
      </c>
      <c r="D429" t="s">
        <v>36</v>
      </c>
      <c r="E429">
        <v>2</v>
      </c>
      <c r="F429" t="s">
        <v>259</v>
      </c>
      <c r="G429">
        <v>2</v>
      </c>
      <c r="H429">
        <v>6</v>
      </c>
      <c r="I429">
        <v>3</v>
      </c>
      <c r="J429">
        <v>68</v>
      </c>
      <c r="K429">
        <v>50</v>
      </c>
      <c r="L429">
        <v>60</v>
      </c>
      <c r="M429">
        <v>2</v>
      </c>
      <c r="N429" t="s">
        <v>157</v>
      </c>
      <c r="O429" t="s">
        <v>151</v>
      </c>
      <c r="P429" t="s">
        <v>158</v>
      </c>
      <c r="Q429" t="s">
        <v>159</v>
      </c>
      <c r="R429" t="s">
        <v>160</v>
      </c>
      <c r="S429" t="s">
        <v>43</v>
      </c>
      <c r="T429" t="s">
        <v>161</v>
      </c>
      <c r="U429">
        <v>2</v>
      </c>
      <c r="V429" t="s">
        <v>103</v>
      </c>
      <c r="W429" t="s">
        <v>172</v>
      </c>
      <c r="X429" t="s">
        <v>127</v>
      </c>
      <c r="Y429">
        <v>1</v>
      </c>
      <c r="Z429">
        <v>3</v>
      </c>
      <c r="AA429">
        <v>44.1</v>
      </c>
      <c r="AB429">
        <v>7.0999999999999994E-2</v>
      </c>
      <c r="AC429" t="s">
        <v>161</v>
      </c>
      <c r="AD429">
        <v>1</v>
      </c>
      <c r="AE429">
        <v>2</v>
      </c>
      <c r="AF429">
        <v>1</v>
      </c>
      <c r="AG429">
        <v>0.68500000000000005</v>
      </c>
      <c r="AH429">
        <v>0.28299999999999997</v>
      </c>
      <c r="AI429">
        <v>7.4999999999999997E-2</v>
      </c>
    </row>
    <row r="430" spans="1:35" x14ac:dyDescent="0.25">
      <c r="A430">
        <v>259</v>
      </c>
      <c r="B430" t="s">
        <v>35</v>
      </c>
      <c r="C430">
        <v>3</v>
      </c>
      <c r="D430" t="s">
        <v>36</v>
      </c>
      <c r="E430">
        <v>2</v>
      </c>
      <c r="F430" t="s">
        <v>259</v>
      </c>
      <c r="G430">
        <v>2</v>
      </c>
      <c r="H430">
        <v>6</v>
      </c>
      <c r="I430">
        <v>3</v>
      </c>
      <c r="J430">
        <v>69</v>
      </c>
      <c r="K430">
        <v>69</v>
      </c>
      <c r="L430">
        <v>57</v>
      </c>
      <c r="M430">
        <v>2</v>
      </c>
      <c r="N430" t="s">
        <v>247</v>
      </c>
      <c r="O430" t="s">
        <v>151</v>
      </c>
      <c r="P430" t="s">
        <v>236</v>
      </c>
      <c r="Q430" t="s">
        <v>237</v>
      </c>
      <c r="R430" t="s">
        <v>174</v>
      </c>
      <c r="S430" t="s">
        <v>52</v>
      </c>
      <c r="T430" t="s">
        <v>75</v>
      </c>
      <c r="U430">
        <v>2</v>
      </c>
      <c r="V430" t="s">
        <v>55</v>
      </c>
      <c r="W430" t="s">
        <v>93</v>
      </c>
      <c r="X430" t="s">
        <v>95</v>
      </c>
      <c r="Y430">
        <v>1</v>
      </c>
      <c r="Z430">
        <v>3</v>
      </c>
      <c r="AA430">
        <v>44.1</v>
      </c>
      <c r="AB430">
        <v>1.2010000000000001</v>
      </c>
      <c r="AC430" t="s">
        <v>95</v>
      </c>
      <c r="AD430">
        <v>4</v>
      </c>
      <c r="AE430">
        <v>4</v>
      </c>
      <c r="AF430">
        <v>0</v>
      </c>
      <c r="AG430">
        <v>1.8220000000000001</v>
      </c>
      <c r="AH430">
        <v>0.317</v>
      </c>
      <c r="AI430">
        <v>1.204</v>
      </c>
    </row>
    <row r="431" spans="1:35" x14ac:dyDescent="0.25">
      <c r="A431">
        <v>259</v>
      </c>
      <c r="B431" t="s">
        <v>35</v>
      </c>
      <c r="C431">
        <v>3</v>
      </c>
      <c r="D431" t="s">
        <v>36</v>
      </c>
      <c r="E431">
        <v>2</v>
      </c>
      <c r="F431" t="s">
        <v>259</v>
      </c>
      <c r="G431">
        <v>2</v>
      </c>
      <c r="H431">
        <v>6</v>
      </c>
      <c r="I431">
        <v>3</v>
      </c>
      <c r="J431">
        <v>70</v>
      </c>
      <c r="K431">
        <v>51</v>
      </c>
      <c r="L431">
        <v>13</v>
      </c>
      <c r="M431">
        <v>1</v>
      </c>
      <c r="N431" t="s">
        <v>167</v>
      </c>
      <c r="O431" t="s">
        <v>151</v>
      </c>
      <c r="P431" t="s">
        <v>168</v>
      </c>
      <c r="Q431" t="s">
        <v>169</v>
      </c>
      <c r="R431" t="s">
        <v>170</v>
      </c>
      <c r="S431" t="s">
        <v>59</v>
      </c>
      <c r="T431" t="s">
        <v>96</v>
      </c>
      <c r="U431">
        <v>2</v>
      </c>
      <c r="V431" t="s">
        <v>141</v>
      </c>
      <c r="W431" t="s">
        <v>44</v>
      </c>
      <c r="X431" t="s">
        <v>81</v>
      </c>
      <c r="Y431">
        <v>1</v>
      </c>
      <c r="Z431">
        <v>3</v>
      </c>
      <c r="AA431">
        <v>44.1</v>
      </c>
      <c r="AB431">
        <v>4.2999999999999997E-2</v>
      </c>
      <c r="AC431" t="s">
        <v>141</v>
      </c>
      <c r="AD431">
        <v>2</v>
      </c>
      <c r="AE431">
        <v>1</v>
      </c>
      <c r="AF431">
        <v>0</v>
      </c>
      <c r="AG431">
        <v>2.3090000000000002</v>
      </c>
      <c r="AH431">
        <v>8.3000000000000004E-2</v>
      </c>
      <c r="AI431">
        <v>3.5999999999999997E-2</v>
      </c>
    </row>
    <row r="432" spans="1:35" x14ac:dyDescent="0.25">
      <c r="A432">
        <v>259</v>
      </c>
      <c r="B432" t="s">
        <v>35</v>
      </c>
      <c r="C432">
        <v>3</v>
      </c>
      <c r="D432" t="s">
        <v>36</v>
      </c>
      <c r="E432">
        <v>2</v>
      </c>
      <c r="F432" t="s">
        <v>259</v>
      </c>
      <c r="G432">
        <v>2</v>
      </c>
      <c r="H432">
        <v>6</v>
      </c>
      <c r="I432">
        <v>3</v>
      </c>
      <c r="J432">
        <v>71</v>
      </c>
      <c r="K432">
        <v>57</v>
      </c>
      <c r="L432">
        <v>15</v>
      </c>
      <c r="M432">
        <v>1</v>
      </c>
      <c r="N432" t="s">
        <v>150</v>
      </c>
      <c r="O432" t="s">
        <v>151</v>
      </c>
      <c r="P432" t="s">
        <v>152</v>
      </c>
      <c r="Q432" t="s">
        <v>153</v>
      </c>
      <c r="R432" t="s">
        <v>154</v>
      </c>
      <c r="S432" t="s">
        <v>92</v>
      </c>
      <c r="T432" t="s">
        <v>155</v>
      </c>
      <c r="U432">
        <v>1</v>
      </c>
      <c r="V432" t="s">
        <v>99</v>
      </c>
      <c r="W432" t="s">
        <v>104</v>
      </c>
      <c r="X432" t="s">
        <v>60</v>
      </c>
      <c r="Y432">
        <v>1</v>
      </c>
      <c r="Z432">
        <v>3</v>
      </c>
      <c r="AA432">
        <v>44.1</v>
      </c>
      <c r="AB432">
        <v>1.0329999999999999</v>
      </c>
      <c r="AC432" t="s">
        <v>155</v>
      </c>
      <c r="AD432">
        <v>1</v>
      </c>
      <c r="AE432">
        <v>1</v>
      </c>
      <c r="AF432">
        <v>1</v>
      </c>
      <c r="AG432">
        <v>3.1880000000000002</v>
      </c>
      <c r="AH432">
        <v>0.16700000000000001</v>
      </c>
      <c r="AI432">
        <v>1.0209999999999999</v>
      </c>
    </row>
    <row r="433" spans="1:35" x14ac:dyDescent="0.25">
      <c r="A433">
        <v>259</v>
      </c>
      <c r="B433" t="s">
        <v>35</v>
      </c>
      <c r="C433">
        <v>3</v>
      </c>
      <c r="D433" t="s">
        <v>36</v>
      </c>
      <c r="E433">
        <v>2</v>
      </c>
      <c r="F433" t="s">
        <v>259</v>
      </c>
      <c r="G433">
        <v>2</v>
      </c>
      <c r="H433">
        <v>6</v>
      </c>
      <c r="I433">
        <v>3</v>
      </c>
      <c r="J433">
        <v>72</v>
      </c>
      <c r="K433">
        <v>63</v>
      </c>
      <c r="L433">
        <v>19</v>
      </c>
      <c r="M433">
        <v>1</v>
      </c>
      <c r="N433" t="s">
        <v>253</v>
      </c>
      <c r="O433" t="s">
        <v>151</v>
      </c>
      <c r="P433" t="s">
        <v>239</v>
      </c>
      <c r="Q433" t="s">
        <v>240</v>
      </c>
      <c r="R433" t="s">
        <v>170</v>
      </c>
      <c r="S433" t="s">
        <v>59</v>
      </c>
      <c r="T433" t="s">
        <v>211</v>
      </c>
      <c r="U433">
        <v>5</v>
      </c>
      <c r="V433" t="s">
        <v>96</v>
      </c>
      <c r="W433" t="s">
        <v>137</v>
      </c>
      <c r="X433" t="s">
        <v>53</v>
      </c>
      <c r="Y433">
        <v>2</v>
      </c>
      <c r="Z433">
        <v>3</v>
      </c>
      <c r="AA433">
        <v>44.1</v>
      </c>
      <c r="AB433">
        <v>3.1E-2</v>
      </c>
      <c r="AC433" t="s">
        <v>211</v>
      </c>
      <c r="AD433">
        <v>1</v>
      </c>
      <c r="AE433">
        <v>5</v>
      </c>
      <c r="AF433">
        <v>1</v>
      </c>
      <c r="AG433">
        <v>1.234</v>
      </c>
      <c r="AH433">
        <v>0.3</v>
      </c>
      <c r="AI433">
        <v>2.5000000000000001E-2</v>
      </c>
    </row>
    <row r="434" spans="1:35" x14ac:dyDescent="0.25">
      <c r="A434">
        <v>259</v>
      </c>
      <c r="B434" t="s">
        <v>35</v>
      </c>
      <c r="C434">
        <v>3</v>
      </c>
      <c r="D434" t="s">
        <v>36</v>
      </c>
      <c r="E434">
        <v>3</v>
      </c>
      <c r="F434" t="s">
        <v>259</v>
      </c>
      <c r="G434">
        <v>3</v>
      </c>
      <c r="H434">
        <v>9</v>
      </c>
      <c r="I434">
        <v>1</v>
      </c>
      <c r="J434">
        <v>1</v>
      </c>
      <c r="K434">
        <v>21</v>
      </c>
      <c r="L434">
        <v>45</v>
      </c>
      <c r="M434">
        <v>2</v>
      </c>
      <c r="N434" t="s">
        <v>210</v>
      </c>
      <c r="O434" t="s">
        <v>39</v>
      </c>
      <c r="P434" t="s">
        <v>190</v>
      </c>
      <c r="Q434" t="s">
        <v>191</v>
      </c>
      <c r="R434" t="s">
        <v>51</v>
      </c>
      <c r="S434" t="s">
        <v>52</v>
      </c>
      <c r="T434" t="s">
        <v>149</v>
      </c>
      <c r="U434">
        <v>5</v>
      </c>
      <c r="V434" t="s">
        <v>79</v>
      </c>
      <c r="W434" t="s">
        <v>62</v>
      </c>
      <c r="X434" t="s">
        <v>120</v>
      </c>
      <c r="Y434">
        <v>2</v>
      </c>
      <c r="Z434">
        <v>2</v>
      </c>
      <c r="AA434">
        <v>44.1</v>
      </c>
      <c r="AB434">
        <v>-1</v>
      </c>
      <c r="AC434" t="s">
        <v>149</v>
      </c>
      <c r="AD434">
        <v>1</v>
      </c>
      <c r="AE434">
        <v>5</v>
      </c>
      <c r="AF434">
        <v>1</v>
      </c>
      <c r="AG434">
        <v>2.7749999999999999</v>
      </c>
      <c r="AH434">
        <v>1.9670000000000001</v>
      </c>
      <c r="AI434">
        <v>-1</v>
      </c>
    </row>
    <row r="435" spans="1:35" x14ac:dyDescent="0.25">
      <c r="A435">
        <v>259</v>
      </c>
      <c r="B435" t="s">
        <v>35</v>
      </c>
      <c r="C435">
        <v>3</v>
      </c>
      <c r="D435" t="s">
        <v>36</v>
      </c>
      <c r="E435">
        <v>3</v>
      </c>
      <c r="F435" t="s">
        <v>259</v>
      </c>
      <c r="G435">
        <v>3</v>
      </c>
      <c r="H435">
        <v>9</v>
      </c>
      <c r="I435">
        <v>1</v>
      </c>
      <c r="J435">
        <v>2</v>
      </c>
      <c r="K435">
        <v>4</v>
      </c>
      <c r="L435">
        <v>2</v>
      </c>
      <c r="M435">
        <v>1</v>
      </c>
      <c r="N435" t="s">
        <v>109</v>
      </c>
      <c r="O435" t="s">
        <v>39</v>
      </c>
      <c r="P435" t="s">
        <v>71</v>
      </c>
      <c r="Q435" t="s">
        <v>72</v>
      </c>
      <c r="R435" t="s">
        <v>91</v>
      </c>
      <c r="S435" t="s">
        <v>92</v>
      </c>
      <c r="T435" t="s">
        <v>94</v>
      </c>
      <c r="U435">
        <v>4</v>
      </c>
      <c r="V435" t="s">
        <v>73</v>
      </c>
      <c r="W435" t="s">
        <v>81</v>
      </c>
      <c r="X435" t="s">
        <v>110</v>
      </c>
      <c r="Y435">
        <v>1</v>
      </c>
      <c r="Z435">
        <v>2</v>
      </c>
      <c r="AA435">
        <v>44.1</v>
      </c>
      <c r="AB435">
        <v>-1</v>
      </c>
      <c r="AC435" t="s">
        <v>73</v>
      </c>
      <c r="AD435">
        <v>2</v>
      </c>
      <c r="AE435">
        <v>1</v>
      </c>
      <c r="AF435">
        <v>0</v>
      </c>
      <c r="AG435">
        <v>2.7280000000000002</v>
      </c>
      <c r="AH435">
        <v>0.71599999999999997</v>
      </c>
      <c r="AI435">
        <v>-1</v>
      </c>
    </row>
    <row r="436" spans="1:35" x14ac:dyDescent="0.25">
      <c r="A436">
        <v>259</v>
      </c>
      <c r="B436" t="s">
        <v>35</v>
      </c>
      <c r="C436">
        <v>3</v>
      </c>
      <c r="D436" t="s">
        <v>36</v>
      </c>
      <c r="E436">
        <v>3</v>
      </c>
      <c r="F436" t="s">
        <v>259</v>
      </c>
      <c r="G436">
        <v>3</v>
      </c>
      <c r="H436">
        <v>9</v>
      </c>
      <c r="I436">
        <v>1</v>
      </c>
      <c r="J436">
        <v>3</v>
      </c>
      <c r="K436">
        <v>11</v>
      </c>
      <c r="L436">
        <v>43</v>
      </c>
      <c r="M436">
        <v>2</v>
      </c>
      <c r="N436" t="s">
        <v>105</v>
      </c>
      <c r="O436" t="s">
        <v>39</v>
      </c>
      <c r="P436" t="s">
        <v>77</v>
      </c>
      <c r="Q436" t="s">
        <v>78</v>
      </c>
      <c r="R436" t="s">
        <v>91</v>
      </c>
      <c r="S436" t="s">
        <v>92</v>
      </c>
      <c r="T436" t="s">
        <v>80</v>
      </c>
      <c r="U436">
        <v>2</v>
      </c>
      <c r="V436" t="s">
        <v>106</v>
      </c>
      <c r="W436" t="s">
        <v>75</v>
      </c>
      <c r="X436" t="s">
        <v>104</v>
      </c>
      <c r="Y436">
        <v>2</v>
      </c>
      <c r="Z436">
        <v>2</v>
      </c>
      <c r="AA436">
        <v>44.1</v>
      </c>
      <c r="AB436">
        <v>0.114</v>
      </c>
      <c r="AC436" t="s">
        <v>104</v>
      </c>
      <c r="AD436">
        <v>4</v>
      </c>
      <c r="AE436">
        <v>4</v>
      </c>
      <c r="AF436">
        <v>0</v>
      </c>
      <c r="AG436">
        <v>2.3370000000000002</v>
      </c>
      <c r="AH436">
        <v>0.6</v>
      </c>
      <c r="AI436">
        <v>0.11</v>
      </c>
    </row>
    <row r="437" spans="1:35" x14ac:dyDescent="0.25">
      <c r="A437">
        <v>259</v>
      </c>
      <c r="B437" t="s">
        <v>35</v>
      </c>
      <c r="C437">
        <v>3</v>
      </c>
      <c r="D437" t="s">
        <v>36</v>
      </c>
      <c r="E437">
        <v>3</v>
      </c>
      <c r="F437" t="s">
        <v>259</v>
      </c>
      <c r="G437">
        <v>3</v>
      </c>
      <c r="H437">
        <v>9</v>
      </c>
      <c r="I437">
        <v>1</v>
      </c>
      <c r="J437">
        <v>4</v>
      </c>
      <c r="K437">
        <v>8</v>
      </c>
      <c r="L437">
        <v>40</v>
      </c>
      <c r="M437">
        <v>2</v>
      </c>
      <c r="N437" t="s">
        <v>84</v>
      </c>
      <c r="O437" t="s">
        <v>39</v>
      </c>
      <c r="P437" t="s">
        <v>64</v>
      </c>
      <c r="Q437" t="s">
        <v>65</v>
      </c>
      <c r="R437" t="s">
        <v>42</v>
      </c>
      <c r="S437" t="s">
        <v>43</v>
      </c>
      <c r="T437" t="s">
        <v>67</v>
      </c>
      <c r="U437">
        <v>1</v>
      </c>
      <c r="V437" t="s">
        <v>85</v>
      </c>
      <c r="W437" t="s">
        <v>162</v>
      </c>
      <c r="X437" t="s">
        <v>139</v>
      </c>
      <c r="Y437">
        <v>2</v>
      </c>
      <c r="Z437">
        <v>2</v>
      </c>
      <c r="AA437">
        <v>44.1</v>
      </c>
      <c r="AB437">
        <v>0.182</v>
      </c>
      <c r="AC437" t="s">
        <v>67</v>
      </c>
      <c r="AD437">
        <v>1</v>
      </c>
      <c r="AE437">
        <v>1</v>
      </c>
      <c r="AF437">
        <v>1</v>
      </c>
      <c r="AG437">
        <v>3.302</v>
      </c>
      <c r="AH437">
        <v>1.0669999999999999</v>
      </c>
      <c r="AI437">
        <v>0.18</v>
      </c>
    </row>
    <row r="438" spans="1:35" x14ac:dyDescent="0.25">
      <c r="A438">
        <v>259</v>
      </c>
      <c r="B438" t="s">
        <v>35</v>
      </c>
      <c r="C438">
        <v>3</v>
      </c>
      <c r="D438" t="s">
        <v>36</v>
      </c>
      <c r="E438">
        <v>3</v>
      </c>
      <c r="F438" t="s">
        <v>259</v>
      </c>
      <c r="G438">
        <v>3</v>
      </c>
      <c r="H438">
        <v>9</v>
      </c>
      <c r="I438">
        <v>1</v>
      </c>
      <c r="J438">
        <v>5</v>
      </c>
      <c r="K438">
        <v>19</v>
      </c>
      <c r="L438">
        <v>5</v>
      </c>
      <c r="M438">
        <v>1</v>
      </c>
      <c r="N438" t="s">
        <v>192</v>
      </c>
      <c r="O438" t="s">
        <v>39</v>
      </c>
      <c r="P438" t="s">
        <v>193</v>
      </c>
      <c r="Q438" t="s">
        <v>194</v>
      </c>
      <c r="R438" t="s">
        <v>51</v>
      </c>
      <c r="S438" t="s">
        <v>52</v>
      </c>
      <c r="T438" t="s">
        <v>144</v>
      </c>
      <c r="U438">
        <v>1</v>
      </c>
      <c r="V438" t="s">
        <v>53</v>
      </c>
      <c r="W438" t="s">
        <v>107</v>
      </c>
      <c r="X438" t="s">
        <v>211</v>
      </c>
      <c r="Y438">
        <v>2</v>
      </c>
      <c r="Z438">
        <v>2</v>
      </c>
      <c r="AA438">
        <v>44.1</v>
      </c>
      <c r="AB438">
        <v>0.21199999999999999</v>
      </c>
      <c r="AC438" t="s">
        <v>53</v>
      </c>
      <c r="AD438">
        <v>3</v>
      </c>
      <c r="AE438">
        <v>5</v>
      </c>
      <c r="AF438">
        <v>0</v>
      </c>
      <c r="AG438">
        <v>1.6739999999999999</v>
      </c>
      <c r="AH438">
        <v>0.3</v>
      </c>
      <c r="AI438">
        <v>0.20699999999999999</v>
      </c>
    </row>
    <row r="439" spans="1:35" x14ac:dyDescent="0.25">
      <c r="A439">
        <v>259</v>
      </c>
      <c r="B439" t="s">
        <v>35</v>
      </c>
      <c r="C439">
        <v>3</v>
      </c>
      <c r="D439" t="s">
        <v>36</v>
      </c>
      <c r="E439">
        <v>3</v>
      </c>
      <c r="F439" t="s">
        <v>259</v>
      </c>
      <c r="G439">
        <v>3</v>
      </c>
      <c r="H439">
        <v>9</v>
      </c>
      <c r="I439">
        <v>1</v>
      </c>
      <c r="J439">
        <v>6</v>
      </c>
      <c r="K439">
        <v>15</v>
      </c>
      <c r="L439">
        <v>7</v>
      </c>
      <c r="M439">
        <v>1</v>
      </c>
      <c r="N439" t="s">
        <v>205</v>
      </c>
      <c r="O439" t="s">
        <v>39</v>
      </c>
      <c r="P439" t="s">
        <v>196</v>
      </c>
      <c r="Q439" t="s">
        <v>197</v>
      </c>
      <c r="R439" t="s">
        <v>58</v>
      </c>
      <c r="S439" t="s">
        <v>59</v>
      </c>
      <c r="T439" t="s">
        <v>156</v>
      </c>
      <c r="U439">
        <v>5</v>
      </c>
      <c r="V439" t="s">
        <v>147</v>
      </c>
      <c r="W439" t="s">
        <v>161</v>
      </c>
      <c r="X439" t="s">
        <v>69</v>
      </c>
      <c r="Y439">
        <v>2</v>
      </c>
      <c r="Z439">
        <v>2</v>
      </c>
      <c r="AA439">
        <v>44.1</v>
      </c>
      <c r="AB439">
        <v>-1</v>
      </c>
      <c r="AC439" t="s">
        <v>156</v>
      </c>
      <c r="AD439">
        <v>1</v>
      </c>
      <c r="AE439">
        <v>5</v>
      </c>
      <c r="AF439">
        <v>1</v>
      </c>
      <c r="AG439">
        <v>2.7959999999999998</v>
      </c>
      <c r="AH439">
        <v>0.38300000000000001</v>
      </c>
      <c r="AI439">
        <v>-1</v>
      </c>
    </row>
    <row r="440" spans="1:35" x14ac:dyDescent="0.25">
      <c r="A440">
        <v>259</v>
      </c>
      <c r="B440" t="s">
        <v>35</v>
      </c>
      <c r="C440">
        <v>3</v>
      </c>
      <c r="D440" t="s">
        <v>36</v>
      </c>
      <c r="E440">
        <v>3</v>
      </c>
      <c r="F440" t="s">
        <v>259</v>
      </c>
      <c r="G440">
        <v>3</v>
      </c>
      <c r="H440">
        <v>9</v>
      </c>
      <c r="I440">
        <v>1</v>
      </c>
      <c r="J440">
        <v>7</v>
      </c>
      <c r="K440">
        <v>10</v>
      </c>
      <c r="L440">
        <v>4</v>
      </c>
      <c r="M440">
        <v>1</v>
      </c>
      <c r="N440" t="s">
        <v>101</v>
      </c>
      <c r="O440" t="s">
        <v>39</v>
      </c>
      <c r="P440" t="s">
        <v>89</v>
      </c>
      <c r="Q440" t="s">
        <v>90</v>
      </c>
      <c r="R440" t="s">
        <v>51</v>
      </c>
      <c r="S440" t="s">
        <v>52</v>
      </c>
      <c r="T440" t="s">
        <v>102</v>
      </c>
      <c r="U440">
        <v>4</v>
      </c>
      <c r="V440" t="s">
        <v>93</v>
      </c>
      <c r="W440" t="s">
        <v>204</v>
      </c>
      <c r="X440" t="s">
        <v>87</v>
      </c>
      <c r="Y440">
        <v>1</v>
      </c>
      <c r="Z440">
        <v>2</v>
      </c>
      <c r="AA440">
        <v>44.1</v>
      </c>
      <c r="AB440">
        <v>-1</v>
      </c>
      <c r="AC440" t="s">
        <v>93</v>
      </c>
      <c r="AD440">
        <v>2</v>
      </c>
      <c r="AE440">
        <v>1</v>
      </c>
      <c r="AF440">
        <v>0</v>
      </c>
      <c r="AG440">
        <v>2.883</v>
      </c>
      <c r="AH440">
        <v>0.59699999999999998</v>
      </c>
      <c r="AI440">
        <v>-1</v>
      </c>
    </row>
    <row r="441" spans="1:35" x14ac:dyDescent="0.25">
      <c r="A441">
        <v>259</v>
      </c>
      <c r="B441" t="s">
        <v>35</v>
      </c>
      <c r="C441">
        <v>3</v>
      </c>
      <c r="D441" t="s">
        <v>36</v>
      </c>
      <c r="E441">
        <v>3</v>
      </c>
      <c r="F441" t="s">
        <v>259</v>
      </c>
      <c r="G441">
        <v>3</v>
      </c>
      <c r="H441">
        <v>9</v>
      </c>
      <c r="I441">
        <v>1</v>
      </c>
      <c r="J441">
        <v>8</v>
      </c>
      <c r="K441">
        <v>6</v>
      </c>
      <c r="L441">
        <v>38</v>
      </c>
      <c r="M441">
        <v>2</v>
      </c>
      <c r="N441" t="s">
        <v>48</v>
      </c>
      <c r="O441" t="s">
        <v>39</v>
      </c>
      <c r="P441" t="s">
        <v>49</v>
      </c>
      <c r="Q441" t="s">
        <v>50</v>
      </c>
      <c r="R441" t="s">
        <v>51</v>
      </c>
      <c r="S441" t="s">
        <v>52</v>
      </c>
      <c r="T441" t="s">
        <v>53</v>
      </c>
      <c r="U441">
        <v>5</v>
      </c>
      <c r="V441" t="s">
        <v>54</v>
      </c>
      <c r="W441" t="s">
        <v>46</v>
      </c>
      <c r="X441" t="s">
        <v>55</v>
      </c>
      <c r="Y441">
        <v>1</v>
      </c>
      <c r="Z441">
        <v>2</v>
      </c>
      <c r="AA441">
        <v>44.1</v>
      </c>
      <c r="AB441">
        <v>-1</v>
      </c>
      <c r="AC441" t="s">
        <v>54</v>
      </c>
      <c r="AD441">
        <v>2</v>
      </c>
      <c r="AE441">
        <v>2</v>
      </c>
      <c r="AF441">
        <v>0</v>
      </c>
      <c r="AG441">
        <v>3.3540000000000001</v>
      </c>
      <c r="AH441">
        <v>0.46700000000000003</v>
      </c>
      <c r="AI441">
        <v>-1</v>
      </c>
    </row>
    <row r="442" spans="1:35" x14ac:dyDescent="0.25">
      <c r="A442">
        <v>259</v>
      </c>
      <c r="B442" t="s">
        <v>35</v>
      </c>
      <c r="C442">
        <v>3</v>
      </c>
      <c r="D442" t="s">
        <v>36</v>
      </c>
      <c r="E442">
        <v>3</v>
      </c>
      <c r="F442" t="s">
        <v>259</v>
      </c>
      <c r="G442">
        <v>3</v>
      </c>
      <c r="H442">
        <v>9</v>
      </c>
      <c r="I442">
        <v>1</v>
      </c>
      <c r="J442">
        <v>9</v>
      </c>
      <c r="K442">
        <v>7</v>
      </c>
      <c r="L442">
        <v>39</v>
      </c>
      <c r="M442">
        <v>2</v>
      </c>
      <c r="N442" t="s">
        <v>63</v>
      </c>
      <c r="O442" t="s">
        <v>39</v>
      </c>
      <c r="P442" t="s">
        <v>64</v>
      </c>
      <c r="Q442" t="s">
        <v>65</v>
      </c>
      <c r="R442" t="s">
        <v>58</v>
      </c>
      <c r="S442" t="s">
        <v>59</v>
      </c>
      <c r="T442" t="s">
        <v>66</v>
      </c>
      <c r="U442">
        <v>4</v>
      </c>
      <c r="V442" t="s">
        <v>67</v>
      </c>
      <c r="W442" t="s">
        <v>155</v>
      </c>
      <c r="X442" t="s">
        <v>128</v>
      </c>
      <c r="Y442">
        <v>1</v>
      </c>
      <c r="Z442">
        <v>2</v>
      </c>
      <c r="AA442">
        <v>44.1</v>
      </c>
      <c r="AB442">
        <v>-1</v>
      </c>
      <c r="AC442" t="s">
        <v>66</v>
      </c>
      <c r="AD442">
        <v>1</v>
      </c>
      <c r="AE442">
        <v>4</v>
      </c>
      <c r="AF442">
        <v>1</v>
      </c>
      <c r="AG442">
        <v>1.9530000000000001</v>
      </c>
      <c r="AH442">
        <v>0.183</v>
      </c>
      <c r="AI442">
        <v>-1</v>
      </c>
    </row>
    <row r="443" spans="1:35" x14ac:dyDescent="0.25">
      <c r="A443">
        <v>259</v>
      </c>
      <c r="B443" t="s">
        <v>35</v>
      </c>
      <c r="C443">
        <v>3</v>
      </c>
      <c r="D443" t="s">
        <v>36</v>
      </c>
      <c r="E443">
        <v>3</v>
      </c>
      <c r="F443" t="s">
        <v>259</v>
      </c>
      <c r="G443">
        <v>3</v>
      </c>
      <c r="H443">
        <v>9</v>
      </c>
      <c r="I443">
        <v>1</v>
      </c>
      <c r="J443">
        <v>10</v>
      </c>
      <c r="K443">
        <v>17</v>
      </c>
      <c r="L443">
        <v>41</v>
      </c>
      <c r="M443">
        <v>2</v>
      </c>
      <c r="N443" t="s">
        <v>198</v>
      </c>
      <c r="O443" t="s">
        <v>39</v>
      </c>
      <c r="P443" t="s">
        <v>199</v>
      </c>
      <c r="Q443" t="s">
        <v>200</v>
      </c>
      <c r="R443" t="s">
        <v>58</v>
      </c>
      <c r="S443" t="s">
        <v>59</v>
      </c>
      <c r="T443" t="s">
        <v>138</v>
      </c>
      <c r="U443">
        <v>1</v>
      </c>
      <c r="V443" t="s">
        <v>66</v>
      </c>
      <c r="W443" t="s">
        <v>108</v>
      </c>
      <c r="X443" t="s">
        <v>179</v>
      </c>
      <c r="Y443">
        <v>2</v>
      </c>
      <c r="Z443">
        <v>2</v>
      </c>
      <c r="AA443">
        <v>44.1</v>
      </c>
      <c r="AB443">
        <v>-1</v>
      </c>
      <c r="AC443" t="s">
        <v>108</v>
      </c>
      <c r="AD443">
        <v>4</v>
      </c>
      <c r="AE443">
        <v>2</v>
      </c>
      <c r="AF443">
        <v>0</v>
      </c>
      <c r="AG443">
        <v>2.39</v>
      </c>
      <c r="AH443">
        <v>0.113</v>
      </c>
      <c r="AI443">
        <v>-1</v>
      </c>
    </row>
    <row r="444" spans="1:35" x14ac:dyDescent="0.25">
      <c r="A444">
        <v>259</v>
      </c>
      <c r="B444" t="s">
        <v>35</v>
      </c>
      <c r="C444">
        <v>3</v>
      </c>
      <c r="D444" t="s">
        <v>36</v>
      </c>
      <c r="E444">
        <v>3</v>
      </c>
      <c r="F444" t="s">
        <v>259</v>
      </c>
      <c r="G444">
        <v>3</v>
      </c>
      <c r="H444">
        <v>9</v>
      </c>
      <c r="I444">
        <v>1</v>
      </c>
      <c r="J444">
        <v>11</v>
      </c>
      <c r="K444">
        <v>12</v>
      </c>
      <c r="L444">
        <v>44</v>
      </c>
      <c r="M444">
        <v>2</v>
      </c>
      <c r="N444" t="s">
        <v>76</v>
      </c>
      <c r="O444" t="s">
        <v>39</v>
      </c>
      <c r="P444" t="s">
        <v>77</v>
      </c>
      <c r="Q444" t="s">
        <v>78</v>
      </c>
      <c r="R444" t="s">
        <v>51</v>
      </c>
      <c r="S444" t="s">
        <v>52</v>
      </c>
      <c r="T444" t="s">
        <v>79</v>
      </c>
      <c r="U444">
        <v>5</v>
      </c>
      <c r="V444" t="s">
        <v>80</v>
      </c>
      <c r="W444" t="s">
        <v>146</v>
      </c>
      <c r="X444" t="s">
        <v>124</v>
      </c>
      <c r="Y444">
        <v>1</v>
      </c>
      <c r="Z444">
        <v>2</v>
      </c>
      <c r="AA444">
        <v>44.1</v>
      </c>
      <c r="AB444">
        <v>0.193</v>
      </c>
      <c r="AC444" t="s">
        <v>79</v>
      </c>
      <c r="AD444">
        <v>1</v>
      </c>
      <c r="AE444">
        <v>5</v>
      </c>
      <c r="AF444">
        <v>1</v>
      </c>
      <c r="AG444">
        <v>2.8719999999999999</v>
      </c>
      <c r="AH444">
        <v>0.3</v>
      </c>
      <c r="AI444">
        <v>0.19700000000000001</v>
      </c>
    </row>
    <row r="445" spans="1:35" x14ac:dyDescent="0.25">
      <c r="A445">
        <v>259</v>
      </c>
      <c r="B445" t="s">
        <v>35</v>
      </c>
      <c r="C445">
        <v>3</v>
      </c>
      <c r="D445" t="s">
        <v>36</v>
      </c>
      <c r="E445">
        <v>3</v>
      </c>
      <c r="F445" t="s">
        <v>259</v>
      </c>
      <c r="G445">
        <v>3</v>
      </c>
      <c r="H445">
        <v>9</v>
      </c>
      <c r="I445">
        <v>1</v>
      </c>
      <c r="J445">
        <v>12</v>
      </c>
      <c r="K445">
        <v>14</v>
      </c>
      <c r="L445">
        <v>12</v>
      </c>
      <c r="M445">
        <v>1</v>
      </c>
      <c r="N445" t="s">
        <v>206</v>
      </c>
      <c r="O445" t="s">
        <v>39</v>
      </c>
      <c r="P445" t="s">
        <v>207</v>
      </c>
      <c r="Q445" t="s">
        <v>208</v>
      </c>
      <c r="R445" t="s">
        <v>42</v>
      </c>
      <c r="S445" t="s">
        <v>43</v>
      </c>
      <c r="T445" t="s">
        <v>131</v>
      </c>
      <c r="U445">
        <v>1</v>
      </c>
      <c r="V445" t="s">
        <v>185</v>
      </c>
      <c r="W445" t="s">
        <v>209</v>
      </c>
      <c r="X445" t="s">
        <v>141</v>
      </c>
      <c r="Y445">
        <v>2</v>
      </c>
      <c r="Z445">
        <v>2</v>
      </c>
      <c r="AA445">
        <v>44.1</v>
      </c>
      <c r="AB445">
        <v>-1</v>
      </c>
      <c r="AC445" t="s">
        <v>131</v>
      </c>
      <c r="AD445">
        <v>1</v>
      </c>
      <c r="AE445">
        <v>1</v>
      </c>
      <c r="AF445">
        <v>1</v>
      </c>
      <c r="AG445">
        <v>1.302</v>
      </c>
      <c r="AH445">
        <v>0.316</v>
      </c>
      <c r="AI445">
        <v>-1</v>
      </c>
    </row>
    <row r="446" spans="1:35" x14ac:dyDescent="0.25">
      <c r="A446">
        <v>259</v>
      </c>
      <c r="B446" t="s">
        <v>35</v>
      </c>
      <c r="C446">
        <v>3</v>
      </c>
      <c r="D446" t="s">
        <v>36</v>
      </c>
      <c r="E446">
        <v>3</v>
      </c>
      <c r="F446" t="s">
        <v>259</v>
      </c>
      <c r="G446">
        <v>3</v>
      </c>
      <c r="H446">
        <v>9</v>
      </c>
      <c r="I446">
        <v>1</v>
      </c>
      <c r="J446">
        <v>13</v>
      </c>
      <c r="K446">
        <v>2</v>
      </c>
      <c r="L446">
        <v>48</v>
      </c>
      <c r="M446">
        <v>2</v>
      </c>
      <c r="N446" t="s">
        <v>38</v>
      </c>
      <c r="O446" t="s">
        <v>39</v>
      </c>
      <c r="P446" t="s">
        <v>40</v>
      </c>
      <c r="Q446" t="s">
        <v>41</v>
      </c>
      <c r="R446" t="s">
        <v>42</v>
      </c>
      <c r="S446" t="s">
        <v>43</v>
      </c>
      <c r="T446" t="s">
        <v>44</v>
      </c>
      <c r="U446">
        <v>5</v>
      </c>
      <c r="V446" t="s">
        <v>45</v>
      </c>
      <c r="W446" t="s">
        <v>166</v>
      </c>
      <c r="X446" t="s">
        <v>214</v>
      </c>
      <c r="Y446">
        <v>2</v>
      </c>
      <c r="Z446">
        <v>2</v>
      </c>
      <c r="AA446">
        <v>44.1</v>
      </c>
      <c r="AB446">
        <v>-1</v>
      </c>
      <c r="AC446" t="s">
        <v>45</v>
      </c>
      <c r="AD446">
        <v>3</v>
      </c>
      <c r="AE446">
        <v>4</v>
      </c>
      <c r="AF446">
        <v>0</v>
      </c>
      <c r="AG446">
        <v>2.1219999999999999</v>
      </c>
      <c r="AH446">
        <v>0.13300000000000001</v>
      </c>
      <c r="AI446">
        <v>-1</v>
      </c>
    </row>
    <row r="447" spans="1:35" x14ac:dyDescent="0.25">
      <c r="A447">
        <v>259</v>
      </c>
      <c r="B447" t="s">
        <v>35</v>
      </c>
      <c r="C447">
        <v>3</v>
      </c>
      <c r="D447" t="s">
        <v>36</v>
      </c>
      <c r="E447">
        <v>3</v>
      </c>
      <c r="F447" t="s">
        <v>259</v>
      </c>
      <c r="G447">
        <v>3</v>
      </c>
      <c r="H447">
        <v>9</v>
      </c>
      <c r="I447">
        <v>1</v>
      </c>
      <c r="J447">
        <v>14</v>
      </c>
      <c r="K447">
        <v>22</v>
      </c>
      <c r="L447">
        <v>46</v>
      </c>
      <c r="M447">
        <v>2</v>
      </c>
      <c r="N447" t="s">
        <v>189</v>
      </c>
      <c r="O447" t="s">
        <v>39</v>
      </c>
      <c r="P447" t="s">
        <v>190</v>
      </c>
      <c r="Q447" t="s">
        <v>191</v>
      </c>
      <c r="R447" t="s">
        <v>42</v>
      </c>
      <c r="S447" t="s">
        <v>43</v>
      </c>
      <c r="T447" t="s">
        <v>45</v>
      </c>
      <c r="U447">
        <v>4</v>
      </c>
      <c r="V447" t="s">
        <v>149</v>
      </c>
      <c r="W447" t="s">
        <v>96</v>
      </c>
      <c r="X447" t="s">
        <v>56</v>
      </c>
      <c r="Y447">
        <v>1</v>
      </c>
      <c r="Z447">
        <v>2</v>
      </c>
      <c r="AA447">
        <v>44.1</v>
      </c>
      <c r="AB447">
        <v>0.39300000000000002</v>
      </c>
      <c r="AC447" t="s">
        <v>56</v>
      </c>
      <c r="AD447">
        <v>4</v>
      </c>
      <c r="AE447">
        <v>1</v>
      </c>
      <c r="AF447">
        <v>0</v>
      </c>
      <c r="AG447">
        <v>2.9510000000000001</v>
      </c>
      <c r="AH447">
        <v>0.53300000000000003</v>
      </c>
      <c r="AI447">
        <v>0.39800000000000002</v>
      </c>
    </row>
    <row r="448" spans="1:35" x14ac:dyDescent="0.25">
      <c r="A448">
        <v>259</v>
      </c>
      <c r="B448" t="s">
        <v>35</v>
      </c>
      <c r="C448">
        <v>3</v>
      </c>
      <c r="D448" t="s">
        <v>36</v>
      </c>
      <c r="E448">
        <v>3</v>
      </c>
      <c r="F448" t="s">
        <v>259</v>
      </c>
      <c r="G448">
        <v>3</v>
      </c>
      <c r="H448">
        <v>9</v>
      </c>
      <c r="I448">
        <v>1</v>
      </c>
      <c r="J448">
        <v>15</v>
      </c>
      <c r="K448">
        <v>16</v>
      </c>
      <c r="L448">
        <v>8</v>
      </c>
      <c r="M448">
        <v>1</v>
      </c>
      <c r="N448" t="s">
        <v>195</v>
      </c>
      <c r="O448" t="s">
        <v>39</v>
      </c>
      <c r="P448" t="s">
        <v>196</v>
      </c>
      <c r="Q448" t="s">
        <v>197</v>
      </c>
      <c r="R448" t="s">
        <v>42</v>
      </c>
      <c r="S448" t="s">
        <v>43</v>
      </c>
      <c r="T448" t="s">
        <v>85</v>
      </c>
      <c r="U448">
        <v>2</v>
      </c>
      <c r="V448" t="s">
        <v>156</v>
      </c>
      <c r="W448" t="s">
        <v>61</v>
      </c>
      <c r="X448" t="s">
        <v>68</v>
      </c>
      <c r="Y448">
        <v>1</v>
      </c>
      <c r="Z448">
        <v>2</v>
      </c>
      <c r="AA448">
        <v>44.1</v>
      </c>
      <c r="AB448">
        <v>-1</v>
      </c>
      <c r="AC448" t="s">
        <v>85</v>
      </c>
      <c r="AD448">
        <v>1</v>
      </c>
      <c r="AE448">
        <v>2</v>
      </c>
      <c r="AF448">
        <v>1</v>
      </c>
      <c r="AG448">
        <v>1.859</v>
      </c>
      <c r="AH448">
        <v>0.28299999999999997</v>
      </c>
      <c r="AI448">
        <v>-1</v>
      </c>
    </row>
    <row r="449" spans="1:35" x14ac:dyDescent="0.25">
      <c r="A449">
        <v>259</v>
      </c>
      <c r="B449" t="s">
        <v>35</v>
      </c>
      <c r="C449">
        <v>3</v>
      </c>
      <c r="D449" t="s">
        <v>36</v>
      </c>
      <c r="E449">
        <v>3</v>
      </c>
      <c r="F449" t="s">
        <v>259</v>
      </c>
      <c r="G449">
        <v>3</v>
      </c>
      <c r="H449">
        <v>9</v>
      </c>
      <c r="I449">
        <v>1</v>
      </c>
      <c r="J449">
        <v>16</v>
      </c>
      <c r="K449">
        <v>24</v>
      </c>
      <c r="L449">
        <v>10</v>
      </c>
      <c r="M449">
        <v>1</v>
      </c>
      <c r="N449" t="s">
        <v>201</v>
      </c>
      <c r="O449" t="s">
        <v>39</v>
      </c>
      <c r="P449" t="s">
        <v>202</v>
      </c>
      <c r="Q449" t="s">
        <v>203</v>
      </c>
      <c r="R449" t="s">
        <v>51</v>
      </c>
      <c r="S449" t="s">
        <v>52</v>
      </c>
      <c r="T449" t="s">
        <v>172</v>
      </c>
      <c r="U449">
        <v>4</v>
      </c>
      <c r="V449" t="s">
        <v>102</v>
      </c>
      <c r="W449" t="s">
        <v>95</v>
      </c>
      <c r="X449" t="s">
        <v>103</v>
      </c>
      <c r="Y449">
        <v>2</v>
      </c>
      <c r="Z449">
        <v>2</v>
      </c>
      <c r="AA449">
        <v>44.1</v>
      </c>
      <c r="AB449">
        <v>-1</v>
      </c>
      <c r="AC449" t="s">
        <v>172</v>
      </c>
      <c r="AD449">
        <v>1</v>
      </c>
      <c r="AE449">
        <v>4</v>
      </c>
      <c r="AF449">
        <v>1</v>
      </c>
      <c r="AG449">
        <v>1.1839999999999999</v>
      </c>
      <c r="AH449">
        <v>0.16600000000000001</v>
      </c>
      <c r="AI449">
        <v>-1</v>
      </c>
    </row>
    <row r="450" spans="1:35" x14ac:dyDescent="0.25">
      <c r="A450">
        <v>259</v>
      </c>
      <c r="B450" t="s">
        <v>35</v>
      </c>
      <c r="C450">
        <v>3</v>
      </c>
      <c r="D450" t="s">
        <v>36</v>
      </c>
      <c r="E450">
        <v>3</v>
      </c>
      <c r="F450" t="s">
        <v>259</v>
      </c>
      <c r="G450">
        <v>3</v>
      </c>
      <c r="H450">
        <v>9</v>
      </c>
      <c r="I450">
        <v>1</v>
      </c>
      <c r="J450">
        <v>17</v>
      </c>
      <c r="K450">
        <v>3</v>
      </c>
      <c r="L450">
        <v>1</v>
      </c>
      <c r="M450">
        <v>1</v>
      </c>
      <c r="N450" t="s">
        <v>70</v>
      </c>
      <c r="O450" t="s">
        <v>39</v>
      </c>
      <c r="P450" t="s">
        <v>71</v>
      </c>
      <c r="Q450" t="s">
        <v>72</v>
      </c>
      <c r="R450" t="s">
        <v>58</v>
      </c>
      <c r="S450" t="s">
        <v>59</v>
      </c>
      <c r="T450" t="s">
        <v>73</v>
      </c>
      <c r="U450">
        <v>5</v>
      </c>
      <c r="V450" t="s">
        <v>60</v>
      </c>
      <c r="W450" t="s">
        <v>130</v>
      </c>
      <c r="X450" t="s">
        <v>99</v>
      </c>
      <c r="Y450">
        <v>2</v>
      </c>
      <c r="Z450">
        <v>2</v>
      </c>
      <c r="AA450">
        <v>44.1</v>
      </c>
      <c r="AB450">
        <v>-1</v>
      </c>
      <c r="AC450" t="s">
        <v>73</v>
      </c>
      <c r="AD450">
        <v>1</v>
      </c>
      <c r="AE450">
        <v>5</v>
      </c>
      <c r="AF450">
        <v>1</v>
      </c>
      <c r="AG450">
        <v>1.0369999999999999</v>
      </c>
      <c r="AH450">
        <v>1.7000000000000001E-2</v>
      </c>
      <c r="AI450">
        <v>-1</v>
      </c>
    </row>
    <row r="451" spans="1:35" x14ac:dyDescent="0.25">
      <c r="A451">
        <v>259</v>
      </c>
      <c r="B451" t="s">
        <v>35</v>
      </c>
      <c r="C451">
        <v>3</v>
      </c>
      <c r="D451" t="s">
        <v>36</v>
      </c>
      <c r="E451">
        <v>3</v>
      </c>
      <c r="F451" t="s">
        <v>259</v>
      </c>
      <c r="G451">
        <v>3</v>
      </c>
      <c r="H451">
        <v>9</v>
      </c>
      <c r="I451">
        <v>1</v>
      </c>
      <c r="J451">
        <v>18</v>
      </c>
      <c r="K451">
        <v>5</v>
      </c>
      <c r="L451">
        <v>37</v>
      </c>
      <c r="M451">
        <v>2</v>
      </c>
      <c r="N451" t="s">
        <v>97</v>
      </c>
      <c r="O451" t="s">
        <v>39</v>
      </c>
      <c r="P451" t="s">
        <v>49</v>
      </c>
      <c r="Q451" t="s">
        <v>50</v>
      </c>
      <c r="R451" t="s">
        <v>91</v>
      </c>
      <c r="S451" t="s">
        <v>92</v>
      </c>
      <c r="T451" t="s">
        <v>54</v>
      </c>
      <c r="U451">
        <v>4</v>
      </c>
      <c r="V451" t="s">
        <v>98</v>
      </c>
      <c r="W451" t="s">
        <v>82</v>
      </c>
      <c r="X451" t="s">
        <v>111</v>
      </c>
      <c r="Y451">
        <v>2</v>
      </c>
      <c r="Z451">
        <v>2</v>
      </c>
      <c r="AA451">
        <v>44.1</v>
      </c>
      <c r="AB451">
        <v>-1</v>
      </c>
      <c r="AC451" t="s">
        <v>111</v>
      </c>
      <c r="AD451">
        <v>4</v>
      </c>
      <c r="AE451">
        <v>5</v>
      </c>
      <c r="AF451">
        <v>0</v>
      </c>
      <c r="AG451">
        <v>3.2770000000000001</v>
      </c>
      <c r="AH451">
        <v>0.35</v>
      </c>
      <c r="AI451">
        <v>-1</v>
      </c>
    </row>
    <row r="452" spans="1:35" x14ac:dyDescent="0.25">
      <c r="A452">
        <v>259</v>
      </c>
      <c r="B452" t="s">
        <v>35</v>
      </c>
      <c r="C452">
        <v>3</v>
      </c>
      <c r="D452" t="s">
        <v>36</v>
      </c>
      <c r="E452">
        <v>3</v>
      </c>
      <c r="F452" t="s">
        <v>259</v>
      </c>
      <c r="G452">
        <v>3</v>
      </c>
      <c r="H452">
        <v>9</v>
      </c>
      <c r="I452">
        <v>1</v>
      </c>
      <c r="J452">
        <v>19</v>
      </c>
      <c r="K452">
        <v>13</v>
      </c>
      <c r="L452">
        <v>11</v>
      </c>
      <c r="M452">
        <v>1</v>
      </c>
      <c r="N452" t="s">
        <v>213</v>
      </c>
      <c r="O452" t="s">
        <v>39</v>
      </c>
      <c r="P452" t="s">
        <v>207</v>
      </c>
      <c r="Q452" t="s">
        <v>208</v>
      </c>
      <c r="R452" t="s">
        <v>91</v>
      </c>
      <c r="S452" t="s">
        <v>92</v>
      </c>
      <c r="T452" t="s">
        <v>106</v>
      </c>
      <c r="U452">
        <v>1</v>
      </c>
      <c r="V452" t="s">
        <v>131</v>
      </c>
      <c r="W452" t="s">
        <v>119</v>
      </c>
      <c r="X452" t="s">
        <v>132</v>
      </c>
      <c r="Y452">
        <v>1</v>
      </c>
      <c r="Z452">
        <v>2</v>
      </c>
      <c r="AA452">
        <v>44.1</v>
      </c>
      <c r="AB452">
        <v>-1</v>
      </c>
      <c r="AC452" t="s">
        <v>131</v>
      </c>
      <c r="AD452">
        <v>2</v>
      </c>
      <c r="AE452">
        <v>4</v>
      </c>
      <c r="AF452">
        <v>0</v>
      </c>
      <c r="AG452">
        <v>1.536</v>
      </c>
      <c r="AH452">
        <v>0.35</v>
      </c>
      <c r="AI452">
        <v>-1</v>
      </c>
    </row>
    <row r="453" spans="1:35" x14ac:dyDescent="0.25">
      <c r="A453">
        <v>259</v>
      </c>
      <c r="B453" t="s">
        <v>35</v>
      </c>
      <c r="C453">
        <v>3</v>
      </c>
      <c r="D453" t="s">
        <v>36</v>
      </c>
      <c r="E453">
        <v>3</v>
      </c>
      <c r="F453" t="s">
        <v>259</v>
      </c>
      <c r="G453">
        <v>3</v>
      </c>
      <c r="H453">
        <v>9</v>
      </c>
      <c r="I453">
        <v>1</v>
      </c>
      <c r="J453">
        <v>20</v>
      </c>
      <c r="K453">
        <v>18</v>
      </c>
      <c r="L453">
        <v>42</v>
      </c>
      <c r="M453">
        <v>2</v>
      </c>
      <c r="N453" t="s">
        <v>216</v>
      </c>
      <c r="O453" t="s">
        <v>39</v>
      </c>
      <c r="P453" t="s">
        <v>199</v>
      </c>
      <c r="Q453" t="s">
        <v>200</v>
      </c>
      <c r="R453" t="s">
        <v>91</v>
      </c>
      <c r="S453" t="s">
        <v>92</v>
      </c>
      <c r="T453" t="s">
        <v>98</v>
      </c>
      <c r="U453">
        <v>1</v>
      </c>
      <c r="V453" t="s">
        <v>138</v>
      </c>
      <c r="W453" t="s">
        <v>116</v>
      </c>
      <c r="X453" t="s">
        <v>187</v>
      </c>
      <c r="Y453">
        <v>1</v>
      </c>
      <c r="Z453">
        <v>2</v>
      </c>
      <c r="AA453">
        <v>44.1</v>
      </c>
      <c r="AB453">
        <v>-1</v>
      </c>
      <c r="AC453" t="s">
        <v>98</v>
      </c>
      <c r="AD453">
        <v>1</v>
      </c>
      <c r="AE453">
        <v>1</v>
      </c>
      <c r="AF453">
        <v>1</v>
      </c>
      <c r="AG453">
        <v>2.972</v>
      </c>
      <c r="AH453">
        <v>0.53300000000000003</v>
      </c>
      <c r="AI453">
        <v>-1</v>
      </c>
    </row>
    <row r="454" spans="1:35" x14ac:dyDescent="0.25">
      <c r="A454">
        <v>259</v>
      </c>
      <c r="B454" t="s">
        <v>35</v>
      </c>
      <c r="C454">
        <v>3</v>
      </c>
      <c r="D454" t="s">
        <v>36</v>
      </c>
      <c r="E454">
        <v>3</v>
      </c>
      <c r="F454" t="s">
        <v>259</v>
      </c>
      <c r="G454">
        <v>3</v>
      </c>
      <c r="H454">
        <v>9</v>
      </c>
      <c r="I454">
        <v>1</v>
      </c>
      <c r="J454">
        <v>21</v>
      </c>
      <c r="K454">
        <v>20</v>
      </c>
      <c r="L454">
        <v>6</v>
      </c>
      <c r="M454">
        <v>1</v>
      </c>
      <c r="N454" t="s">
        <v>215</v>
      </c>
      <c r="O454" t="s">
        <v>39</v>
      </c>
      <c r="P454" t="s">
        <v>193</v>
      </c>
      <c r="Q454" t="s">
        <v>194</v>
      </c>
      <c r="R454" t="s">
        <v>42</v>
      </c>
      <c r="S454" t="s">
        <v>43</v>
      </c>
      <c r="T454" t="s">
        <v>185</v>
      </c>
      <c r="U454">
        <v>4</v>
      </c>
      <c r="V454" t="s">
        <v>144</v>
      </c>
      <c r="W454" t="s">
        <v>183</v>
      </c>
      <c r="X454" t="s">
        <v>137</v>
      </c>
      <c r="Y454">
        <v>1</v>
      </c>
      <c r="Z454">
        <v>2</v>
      </c>
      <c r="AA454">
        <v>44.1</v>
      </c>
      <c r="AB454">
        <v>0.17299999999999999</v>
      </c>
      <c r="AC454" t="s">
        <v>137</v>
      </c>
      <c r="AD454">
        <v>4</v>
      </c>
      <c r="AE454">
        <v>1</v>
      </c>
      <c r="AF454">
        <v>0</v>
      </c>
      <c r="AG454">
        <v>3.4889999999999999</v>
      </c>
      <c r="AH454">
        <v>6.3E-2</v>
      </c>
      <c r="AI454">
        <v>0.17699999999999999</v>
      </c>
    </row>
    <row r="455" spans="1:35" x14ac:dyDescent="0.25">
      <c r="A455">
        <v>259</v>
      </c>
      <c r="B455" t="s">
        <v>35</v>
      </c>
      <c r="C455">
        <v>3</v>
      </c>
      <c r="D455" t="s">
        <v>36</v>
      </c>
      <c r="E455">
        <v>3</v>
      </c>
      <c r="F455" t="s">
        <v>259</v>
      </c>
      <c r="G455">
        <v>3</v>
      </c>
      <c r="H455">
        <v>9</v>
      </c>
      <c r="I455">
        <v>1</v>
      </c>
      <c r="J455">
        <v>22</v>
      </c>
      <c r="K455">
        <v>1</v>
      </c>
      <c r="L455">
        <v>47</v>
      </c>
      <c r="M455">
        <v>2</v>
      </c>
      <c r="N455" t="s">
        <v>57</v>
      </c>
      <c r="O455" t="s">
        <v>39</v>
      </c>
      <c r="P455" t="s">
        <v>40</v>
      </c>
      <c r="Q455" t="s">
        <v>41</v>
      </c>
      <c r="R455" t="s">
        <v>58</v>
      </c>
      <c r="S455" t="s">
        <v>59</v>
      </c>
      <c r="T455" t="s">
        <v>60</v>
      </c>
      <c r="U455">
        <v>1</v>
      </c>
      <c r="V455" t="s">
        <v>44</v>
      </c>
      <c r="W455" t="s">
        <v>74</v>
      </c>
      <c r="X455" t="s">
        <v>86</v>
      </c>
      <c r="Y455">
        <v>1</v>
      </c>
      <c r="Z455">
        <v>2</v>
      </c>
      <c r="AA455">
        <v>44.1</v>
      </c>
      <c r="AB455">
        <v>-1</v>
      </c>
      <c r="AC455" t="s">
        <v>60</v>
      </c>
      <c r="AD455">
        <v>1</v>
      </c>
      <c r="AE455">
        <v>1</v>
      </c>
      <c r="AF455">
        <v>1</v>
      </c>
      <c r="AG455">
        <v>2.694</v>
      </c>
      <c r="AH455">
        <v>0.26600000000000001</v>
      </c>
      <c r="AI455">
        <v>-1</v>
      </c>
    </row>
    <row r="456" spans="1:35" x14ac:dyDescent="0.25">
      <c r="A456">
        <v>259</v>
      </c>
      <c r="B456" t="s">
        <v>35</v>
      </c>
      <c r="C456">
        <v>3</v>
      </c>
      <c r="D456" t="s">
        <v>36</v>
      </c>
      <c r="E456">
        <v>3</v>
      </c>
      <c r="F456" t="s">
        <v>259</v>
      </c>
      <c r="G456">
        <v>3</v>
      </c>
      <c r="H456">
        <v>9</v>
      </c>
      <c r="I456">
        <v>1</v>
      </c>
      <c r="J456">
        <v>23</v>
      </c>
      <c r="K456">
        <v>23</v>
      </c>
      <c r="L456">
        <v>9</v>
      </c>
      <c r="M456">
        <v>1</v>
      </c>
      <c r="N456" t="s">
        <v>212</v>
      </c>
      <c r="O456" t="s">
        <v>39</v>
      </c>
      <c r="P456" t="s">
        <v>202</v>
      </c>
      <c r="Q456" t="s">
        <v>203</v>
      </c>
      <c r="R456" t="s">
        <v>58</v>
      </c>
      <c r="S456" t="s">
        <v>59</v>
      </c>
      <c r="T456" t="s">
        <v>147</v>
      </c>
      <c r="U456">
        <v>2</v>
      </c>
      <c r="V456" t="s">
        <v>172</v>
      </c>
      <c r="W456" t="s">
        <v>127</v>
      </c>
      <c r="X456" t="s">
        <v>121</v>
      </c>
      <c r="Y456">
        <v>1</v>
      </c>
      <c r="Z456">
        <v>2</v>
      </c>
      <c r="AA456">
        <v>44.1</v>
      </c>
      <c r="AB456">
        <v>-1</v>
      </c>
      <c r="AC456" t="s">
        <v>172</v>
      </c>
      <c r="AD456">
        <v>2</v>
      </c>
      <c r="AE456">
        <v>4</v>
      </c>
      <c r="AF456">
        <v>0</v>
      </c>
      <c r="AG456">
        <v>1.9179999999999999</v>
      </c>
      <c r="AH456">
        <v>0.28299999999999997</v>
      </c>
      <c r="AI456">
        <v>-1</v>
      </c>
    </row>
    <row r="457" spans="1:35" x14ac:dyDescent="0.25">
      <c r="A457">
        <v>259</v>
      </c>
      <c r="B457" t="s">
        <v>35</v>
      </c>
      <c r="C457">
        <v>3</v>
      </c>
      <c r="D457" t="s">
        <v>36</v>
      </c>
      <c r="E457">
        <v>3</v>
      </c>
      <c r="F457" t="s">
        <v>259</v>
      </c>
      <c r="G457">
        <v>3</v>
      </c>
      <c r="H457">
        <v>9</v>
      </c>
      <c r="I457">
        <v>1</v>
      </c>
      <c r="J457">
        <v>24</v>
      </c>
      <c r="K457">
        <v>9</v>
      </c>
      <c r="L457">
        <v>3</v>
      </c>
      <c r="M457">
        <v>1</v>
      </c>
      <c r="N457" t="s">
        <v>88</v>
      </c>
      <c r="O457" t="s">
        <v>39</v>
      </c>
      <c r="P457" t="s">
        <v>89</v>
      </c>
      <c r="Q457" t="s">
        <v>90</v>
      </c>
      <c r="R457" t="s">
        <v>91</v>
      </c>
      <c r="S457" t="s">
        <v>92</v>
      </c>
      <c r="T457" t="s">
        <v>93</v>
      </c>
      <c r="U457">
        <v>4</v>
      </c>
      <c r="V457" t="s">
        <v>94</v>
      </c>
      <c r="W457" t="s">
        <v>47</v>
      </c>
      <c r="X457" t="s">
        <v>100</v>
      </c>
      <c r="Y457">
        <v>2</v>
      </c>
      <c r="Z457">
        <v>2</v>
      </c>
      <c r="AA457">
        <v>44.1</v>
      </c>
      <c r="AB457">
        <v>-1</v>
      </c>
      <c r="AC457" t="s">
        <v>94</v>
      </c>
      <c r="AD457">
        <v>3</v>
      </c>
      <c r="AE457">
        <v>5</v>
      </c>
      <c r="AF457">
        <v>0</v>
      </c>
      <c r="AG457">
        <v>3.7</v>
      </c>
      <c r="AH457">
        <v>0.25</v>
      </c>
      <c r="AI457">
        <v>-1</v>
      </c>
    </row>
    <row r="458" spans="1:35" x14ac:dyDescent="0.25">
      <c r="A458">
        <v>259</v>
      </c>
      <c r="B458" t="s">
        <v>35</v>
      </c>
      <c r="C458">
        <v>3</v>
      </c>
      <c r="D458" t="s">
        <v>36</v>
      </c>
      <c r="E458">
        <v>3</v>
      </c>
      <c r="F458" t="s">
        <v>259</v>
      </c>
      <c r="G458">
        <v>3</v>
      </c>
      <c r="H458">
        <v>9</v>
      </c>
      <c r="I458">
        <v>1</v>
      </c>
      <c r="J458">
        <v>25</v>
      </c>
      <c r="K458">
        <v>28</v>
      </c>
      <c r="L458">
        <v>26</v>
      </c>
      <c r="M458">
        <v>1</v>
      </c>
      <c r="N458" t="s">
        <v>148</v>
      </c>
      <c r="O458" t="s">
        <v>113</v>
      </c>
      <c r="P458" t="s">
        <v>114</v>
      </c>
      <c r="Q458" t="s">
        <v>123</v>
      </c>
      <c r="R458" t="s">
        <v>114</v>
      </c>
      <c r="S458" t="s">
        <v>92</v>
      </c>
      <c r="T458" t="s">
        <v>130</v>
      </c>
      <c r="U458">
        <v>1</v>
      </c>
      <c r="V458" t="s">
        <v>124</v>
      </c>
      <c r="W458" t="s">
        <v>75</v>
      </c>
      <c r="X458" t="s">
        <v>172</v>
      </c>
      <c r="Y458">
        <v>1</v>
      </c>
      <c r="Z458">
        <v>2</v>
      </c>
      <c r="AA458">
        <v>44.1</v>
      </c>
      <c r="AB458">
        <v>-1</v>
      </c>
      <c r="AC458" t="s">
        <v>130</v>
      </c>
      <c r="AD458">
        <v>1</v>
      </c>
      <c r="AE458">
        <v>1</v>
      </c>
      <c r="AF458">
        <v>1</v>
      </c>
      <c r="AG458">
        <v>2.3570000000000002</v>
      </c>
      <c r="AH458">
        <v>0.26600000000000001</v>
      </c>
      <c r="AI458">
        <v>-1</v>
      </c>
    </row>
    <row r="459" spans="1:35" x14ac:dyDescent="0.25">
      <c r="A459">
        <v>259</v>
      </c>
      <c r="B459" t="s">
        <v>35</v>
      </c>
      <c r="C459">
        <v>3</v>
      </c>
      <c r="D459" t="s">
        <v>36</v>
      </c>
      <c r="E459">
        <v>3</v>
      </c>
      <c r="F459" t="s">
        <v>259</v>
      </c>
      <c r="G459">
        <v>3</v>
      </c>
      <c r="H459">
        <v>9</v>
      </c>
      <c r="I459">
        <v>1</v>
      </c>
      <c r="J459">
        <v>26</v>
      </c>
      <c r="K459">
        <v>35</v>
      </c>
      <c r="L459">
        <v>67</v>
      </c>
      <c r="M459">
        <v>2</v>
      </c>
      <c r="N459" t="s">
        <v>145</v>
      </c>
      <c r="O459" t="s">
        <v>113</v>
      </c>
      <c r="P459" t="s">
        <v>114</v>
      </c>
      <c r="Q459" t="s">
        <v>136</v>
      </c>
      <c r="R459" t="s">
        <v>114</v>
      </c>
      <c r="S459" t="s">
        <v>92</v>
      </c>
      <c r="T459" t="s">
        <v>137</v>
      </c>
      <c r="U459">
        <v>1</v>
      </c>
      <c r="V459" t="s">
        <v>127</v>
      </c>
      <c r="W459" t="s">
        <v>47</v>
      </c>
      <c r="X459" t="s">
        <v>144</v>
      </c>
      <c r="Y459">
        <v>2</v>
      </c>
      <c r="Z459">
        <v>2</v>
      </c>
      <c r="AA459">
        <v>44.1</v>
      </c>
      <c r="AB459">
        <v>-1</v>
      </c>
      <c r="AC459" t="s">
        <v>137</v>
      </c>
      <c r="AD459">
        <v>1</v>
      </c>
      <c r="AE459">
        <v>1</v>
      </c>
      <c r="AF459">
        <v>1</v>
      </c>
      <c r="AG459">
        <v>2.2879999999999998</v>
      </c>
      <c r="AH459">
        <v>0.23300000000000001</v>
      </c>
      <c r="AI459">
        <v>-1</v>
      </c>
    </row>
    <row r="460" spans="1:35" x14ac:dyDescent="0.25">
      <c r="A460">
        <v>259</v>
      </c>
      <c r="B460" t="s">
        <v>35</v>
      </c>
      <c r="C460">
        <v>3</v>
      </c>
      <c r="D460" t="s">
        <v>36</v>
      </c>
      <c r="E460">
        <v>3</v>
      </c>
      <c r="F460" t="s">
        <v>259</v>
      </c>
      <c r="G460">
        <v>3</v>
      </c>
      <c r="H460">
        <v>9</v>
      </c>
      <c r="I460">
        <v>1</v>
      </c>
      <c r="J460">
        <v>27</v>
      </c>
      <c r="K460">
        <v>44</v>
      </c>
      <c r="L460">
        <v>30</v>
      </c>
      <c r="M460">
        <v>1</v>
      </c>
      <c r="N460" t="s">
        <v>233</v>
      </c>
      <c r="O460" t="s">
        <v>113</v>
      </c>
      <c r="P460" t="s">
        <v>114</v>
      </c>
      <c r="Q460" t="s">
        <v>218</v>
      </c>
      <c r="R460" t="s">
        <v>114</v>
      </c>
      <c r="S460" t="s">
        <v>43</v>
      </c>
      <c r="T460" t="s">
        <v>107</v>
      </c>
      <c r="U460">
        <v>1</v>
      </c>
      <c r="V460" t="s">
        <v>214</v>
      </c>
      <c r="W460" t="s">
        <v>60</v>
      </c>
      <c r="X460" t="s">
        <v>211</v>
      </c>
      <c r="Y460">
        <v>1</v>
      </c>
      <c r="Z460">
        <v>2</v>
      </c>
      <c r="AA460">
        <v>44.1</v>
      </c>
      <c r="AB460">
        <v>0.193</v>
      </c>
      <c r="AC460" t="s">
        <v>107</v>
      </c>
      <c r="AD460">
        <v>1</v>
      </c>
      <c r="AE460">
        <v>1</v>
      </c>
      <c r="AF460">
        <v>1</v>
      </c>
      <c r="AG460">
        <v>3.5790000000000002</v>
      </c>
      <c r="AH460">
        <v>0.26300000000000001</v>
      </c>
      <c r="AI460">
        <v>0.2</v>
      </c>
    </row>
    <row r="461" spans="1:35" x14ac:dyDescent="0.25">
      <c r="A461">
        <v>259</v>
      </c>
      <c r="B461" t="s">
        <v>35</v>
      </c>
      <c r="C461">
        <v>3</v>
      </c>
      <c r="D461" t="s">
        <v>36</v>
      </c>
      <c r="E461">
        <v>3</v>
      </c>
      <c r="F461" t="s">
        <v>259</v>
      </c>
      <c r="G461">
        <v>3</v>
      </c>
      <c r="H461">
        <v>9</v>
      </c>
      <c r="I461">
        <v>1</v>
      </c>
      <c r="J461">
        <v>28</v>
      </c>
      <c r="K461">
        <v>32</v>
      </c>
      <c r="L461">
        <v>64</v>
      </c>
      <c r="M461">
        <v>2</v>
      </c>
      <c r="N461" t="s">
        <v>133</v>
      </c>
      <c r="O461" t="s">
        <v>113</v>
      </c>
      <c r="P461" t="s">
        <v>114</v>
      </c>
      <c r="Q461" t="s">
        <v>134</v>
      </c>
      <c r="R461" t="s">
        <v>114</v>
      </c>
      <c r="S461" t="s">
        <v>43</v>
      </c>
      <c r="T461" t="s">
        <v>100</v>
      </c>
      <c r="U461">
        <v>1</v>
      </c>
      <c r="V461" t="s">
        <v>107</v>
      </c>
      <c r="W461" t="s">
        <v>98</v>
      </c>
      <c r="X461" t="s">
        <v>139</v>
      </c>
      <c r="Y461">
        <v>2</v>
      </c>
      <c r="Z461">
        <v>2</v>
      </c>
      <c r="AA461">
        <v>44.1</v>
      </c>
      <c r="AB461">
        <v>-1</v>
      </c>
      <c r="AC461" t="s">
        <v>100</v>
      </c>
      <c r="AD461">
        <v>1</v>
      </c>
      <c r="AE461">
        <v>1</v>
      </c>
      <c r="AF461">
        <v>1</v>
      </c>
      <c r="AG461">
        <v>0.82199999999999995</v>
      </c>
      <c r="AH461">
        <v>0.23300000000000001</v>
      </c>
      <c r="AI461">
        <v>-1</v>
      </c>
    </row>
    <row r="462" spans="1:35" x14ac:dyDescent="0.25">
      <c r="A462">
        <v>259</v>
      </c>
      <c r="B462" t="s">
        <v>35</v>
      </c>
      <c r="C462">
        <v>3</v>
      </c>
      <c r="D462" t="s">
        <v>36</v>
      </c>
      <c r="E462">
        <v>3</v>
      </c>
      <c r="F462" t="s">
        <v>259</v>
      </c>
      <c r="G462">
        <v>3</v>
      </c>
      <c r="H462">
        <v>9</v>
      </c>
      <c r="I462">
        <v>1</v>
      </c>
      <c r="J462">
        <v>29</v>
      </c>
      <c r="K462">
        <v>39</v>
      </c>
      <c r="L462">
        <v>31</v>
      </c>
      <c r="M462">
        <v>1</v>
      </c>
      <c r="N462" t="s">
        <v>230</v>
      </c>
      <c r="O462" t="s">
        <v>113</v>
      </c>
      <c r="P462" t="s">
        <v>114</v>
      </c>
      <c r="Q462" t="s">
        <v>231</v>
      </c>
      <c r="R462" t="s">
        <v>114</v>
      </c>
      <c r="S462" t="s">
        <v>59</v>
      </c>
      <c r="T462" t="s">
        <v>162</v>
      </c>
      <c r="U462">
        <v>1</v>
      </c>
      <c r="V462" t="s">
        <v>111</v>
      </c>
      <c r="W462" t="s">
        <v>102</v>
      </c>
      <c r="X462" t="s">
        <v>86</v>
      </c>
      <c r="Y462">
        <v>1</v>
      </c>
      <c r="Z462">
        <v>2</v>
      </c>
      <c r="AA462">
        <v>44.1</v>
      </c>
      <c r="AB462">
        <v>-1</v>
      </c>
      <c r="AC462" t="s">
        <v>162</v>
      </c>
      <c r="AD462">
        <v>1</v>
      </c>
      <c r="AE462">
        <v>1</v>
      </c>
      <c r="AF462">
        <v>1</v>
      </c>
      <c r="AG462">
        <v>3.2989999999999999</v>
      </c>
      <c r="AH462">
        <v>0.4</v>
      </c>
      <c r="AI462">
        <v>-1</v>
      </c>
    </row>
    <row r="463" spans="1:35" x14ac:dyDescent="0.25">
      <c r="A463">
        <v>259</v>
      </c>
      <c r="B463" t="s">
        <v>35</v>
      </c>
      <c r="C463">
        <v>3</v>
      </c>
      <c r="D463" t="s">
        <v>36</v>
      </c>
      <c r="E463">
        <v>3</v>
      </c>
      <c r="F463" t="s">
        <v>259</v>
      </c>
      <c r="G463">
        <v>3</v>
      </c>
      <c r="H463">
        <v>9</v>
      </c>
      <c r="I463">
        <v>1</v>
      </c>
      <c r="J463">
        <v>30</v>
      </c>
      <c r="K463">
        <v>42</v>
      </c>
      <c r="L463">
        <v>66</v>
      </c>
      <c r="M463">
        <v>2</v>
      </c>
      <c r="N463" t="s">
        <v>229</v>
      </c>
      <c r="O463" t="s">
        <v>113</v>
      </c>
      <c r="P463" t="s">
        <v>114</v>
      </c>
      <c r="Q463" t="s">
        <v>226</v>
      </c>
      <c r="R463" t="s">
        <v>114</v>
      </c>
      <c r="S463" t="s">
        <v>92</v>
      </c>
      <c r="T463" t="s">
        <v>209</v>
      </c>
      <c r="U463">
        <v>5</v>
      </c>
      <c r="V463" t="s">
        <v>87</v>
      </c>
      <c r="W463" t="s">
        <v>53</v>
      </c>
      <c r="X463" t="s">
        <v>121</v>
      </c>
      <c r="Y463">
        <v>1</v>
      </c>
      <c r="Z463">
        <v>2</v>
      </c>
      <c r="AA463">
        <v>44.1</v>
      </c>
      <c r="AB463">
        <v>-1</v>
      </c>
      <c r="AC463" t="s">
        <v>87</v>
      </c>
      <c r="AD463">
        <v>2</v>
      </c>
      <c r="AE463">
        <v>1</v>
      </c>
      <c r="AF463">
        <v>0</v>
      </c>
      <c r="AG463">
        <v>2.2679999999999998</v>
      </c>
      <c r="AH463">
        <v>0.26600000000000001</v>
      </c>
      <c r="AI463">
        <v>-1</v>
      </c>
    </row>
    <row r="464" spans="1:35" x14ac:dyDescent="0.25">
      <c r="A464">
        <v>259</v>
      </c>
      <c r="B464" t="s">
        <v>35</v>
      </c>
      <c r="C464">
        <v>3</v>
      </c>
      <c r="D464" t="s">
        <v>36</v>
      </c>
      <c r="E464">
        <v>3</v>
      </c>
      <c r="F464" t="s">
        <v>259</v>
      </c>
      <c r="G464">
        <v>3</v>
      </c>
      <c r="H464">
        <v>9</v>
      </c>
      <c r="I464">
        <v>1</v>
      </c>
      <c r="J464">
        <v>31</v>
      </c>
      <c r="K464">
        <v>47</v>
      </c>
      <c r="L464">
        <v>33</v>
      </c>
      <c r="M464">
        <v>1</v>
      </c>
      <c r="N464" t="s">
        <v>223</v>
      </c>
      <c r="O464" t="s">
        <v>113</v>
      </c>
      <c r="P464" t="s">
        <v>114</v>
      </c>
      <c r="Q464" t="s">
        <v>224</v>
      </c>
      <c r="R464" t="s">
        <v>114</v>
      </c>
      <c r="S464" t="s">
        <v>59</v>
      </c>
      <c r="T464" t="s">
        <v>56</v>
      </c>
      <c r="U464">
        <v>2</v>
      </c>
      <c r="V464" t="s">
        <v>95</v>
      </c>
      <c r="W464" t="s">
        <v>82</v>
      </c>
      <c r="X464" t="s">
        <v>67</v>
      </c>
      <c r="Y464">
        <v>2</v>
      </c>
      <c r="Z464">
        <v>2</v>
      </c>
      <c r="AA464">
        <v>44.1</v>
      </c>
      <c r="AB464">
        <v>-1</v>
      </c>
      <c r="AC464" t="s">
        <v>83</v>
      </c>
      <c r="AD464">
        <v>0</v>
      </c>
      <c r="AE464">
        <v>0</v>
      </c>
      <c r="AF464">
        <v>0</v>
      </c>
      <c r="AG464">
        <v>-1</v>
      </c>
      <c r="AH464">
        <v>0.4</v>
      </c>
      <c r="AI464">
        <v>-1</v>
      </c>
    </row>
    <row r="465" spans="1:35" x14ac:dyDescent="0.25">
      <c r="A465">
        <v>259</v>
      </c>
      <c r="B465" t="s">
        <v>35</v>
      </c>
      <c r="C465">
        <v>3</v>
      </c>
      <c r="D465" t="s">
        <v>36</v>
      </c>
      <c r="E465">
        <v>3</v>
      </c>
      <c r="F465" t="s">
        <v>259</v>
      </c>
      <c r="G465">
        <v>3</v>
      </c>
      <c r="H465">
        <v>9</v>
      </c>
      <c r="I465">
        <v>1</v>
      </c>
      <c r="J465">
        <v>32</v>
      </c>
      <c r="K465">
        <v>41</v>
      </c>
      <c r="L465">
        <v>65</v>
      </c>
      <c r="M465">
        <v>2</v>
      </c>
      <c r="N465" t="s">
        <v>225</v>
      </c>
      <c r="O465" t="s">
        <v>113</v>
      </c>
      <c r="P465" t="s">
        <v>114</v>
      </c>
      <c r="Q465" t="s">
        <v>226</v>
      </c>
      <c r="R465" t="s">
        <v>114</v>
      </c>
      <c r="S465" t="s">
        <v>59</v>
      </c>
      <c r="T465" t="s">
        <v>87</v>
      </c>
      <c r="U465">
        <v>5</v>
      </c>
      <c r="V465" t="s">
        <v>162</v>
      </c>
      <c r="W465" t="s">
        <v>85</v>
      </c>
      <c r="X465" t="s">
        <v>187</v>
      </c>
      <c r="Y465">
        <v>2</v>
      </c>
      <c r="Z465">
        <v>2</v>
      </c>
      <c r="AA465">
        <v>44.1</v>
      </c>
      <c r="AB465">
        <v>-1</v>
      </c>
      <c r="AC465" t="s">
        <v>187</v>
      </c>
      <c r="AD465">
        <v>4</v>
      </c>
      <c r="AE465">
        <v>2</v>
      </c>
      <c r="AF465">
        <v>0</v>
      </c>
      <c r="AG465">
        <v>2.3149999999999999</v>
      </c>
      <c r="AH465">
        <v>0.36599999999999999</v>
      </c>
      <c r="AI465">
        <v>-1</v>
      </c>
    </row>
    <row r="466" spans="1:35" x14ac:dyDescent="0.25">
      <c r="A466">
        <v>259</v>
      </c>
      <c r="B466" t="s">
        <v>35</v>
      </c>
      <c r="C466">
        <v>3</v>
      </c>
      <c r="D466" t="s">
        <v>36</v>
      </c>
      <c r="E466">
        <v>3</v>
      </c>
      <c r="F466" t="s">
        <v>259</v>
      </c>
      <c r="G466">
        <v>3</v>
      </c>
      <c r="H466">
        <v>9</v>
      </c>
      <c r="I466">
        <v>1</v>
      </c>
      <c r="J466">
        <v>33</v>
      </c>
      <c r="K466">
        <v>43</v>
      </c>
      <c r="L466">
        <v>29</v>
      </c>
      <c r="M466">
        <v>1</v>
      </c>
      <c r="N466" t="s">
        <v>217</v>
      </c>
      <c r="O466" t="s">
        <v>113</v>
      </c>
      <c r="P466" t="s">
        <v>114</v>
      </c>
      <c r="Q466" t="s">
        <v>218</v>
      </c>
      <c r="R466" t="s">
        <v>114</v>
      </c>
      <c r="S466" t="s">
        <v>52</v>
      </c>
      <c r="T466" t="s">
        <v>214</v>
      </c>
      <c r="U466">
        <v>1</v>
      </c>
      <c r="V466" t="s">
        <v>74</v>
      </c>
      <c r="W466" t="s">
        <v>204</v>
      </c>
      <c r="X466" t="s">
        <v>156</v>
      </c>
      <c r="Y466">
        <v>2</v>
      </c>
      <c r="Z466">
        <v>2</v>
      </c>
      <c r="AA466">
        <v>44.1</v>
      </c>
      <c r="AB466">
        <v>-1</v>
      </c>
      <c r="AC466" t="s">
        <v>214</v>
      </c>
      <c r="AD466">
        <v>1</v>
      </c>
      <c r="AE466">
        <v>1</v>
      </c>
      <c r="AF466">
        <v>1</v>
      </c>
      <c r="AG466">
        <v>2.306</v>
      </c>
      <c r="AH466">
        <v>0.46600000000000003</v>
      </c>
      <c r="AI466">
        <v>-1</v>
      </c>
    </row>
    <row r="467" spans="1:35" x14ac:dyDescent="0.25">
      <c r="A467">
        <v>259</v>
      </c>
      <c r="B467" t="s">
        <v>35</v>
      </c>
      <c r="C467">
        <v>3</v>
      </c>
      <c r="D467" t="s">
        <v>36</v>
      </c>
      <c r="E467">
        <v>3</v>
      </c>
      <c r="F467" t="s">
        <v>259</v>
      </c>
      <c r="G467">
        <v>3</v>
      </c>
      <c r="H467">
        <v>9</v>
      </c>
      <c r="I467">
        <v>1</v>
      </c>
      <c r="J467">
        <v>34</v>
      </c>
      <c r="K467">
        <v>25</v>
      </c>
      <c r="L467">
        <v>71</v>
      </c>
      <c r="M467">
        <v>2</v>
      </c>
      <c r="N467" t="s">
        <v>143</v>
      </c>
      <c r="O467" t="s">
        <v>113</v>
      </c>
      <c r="P467" t="s">
        <v>114</v>
      </c>
      <c r="Q467" t="s">
        <v>115</v>
      </c>
      <c r="R467" t="s">
        <v>114</v>
      </c>
      <c r="S467" t="s">
        <v>59</v>
      </c>
      <c r="T467" t="s">
        <v>46</v>
      </c>
      <c r="U467">
        <v>1</v>
      </c>
      <c r="V467" t="s">
        <v>104</v>
      </c>
      <c r="W467" t="s">
        <v>62</v>
      </c>
      <c r="X467" t="s">
        <v>54</v>
      </c>
      <c r="Y467">
        <v>1</v>
      </c>
      <c r="Z467">
        <v>2</v>
      </c>
      <c r="AA467">
        <v>44.1</v>
      </c>
      <c r="AB467">
        <v>-1</v>
      </c>
      <c r="AC467" t="s">
        <v>46</v>
      </c>
      <c r="AD467">
        <v>1</v>
      </c>
      <c r="AE467">
        <v>1</v>
      </c>
      <c r="AF467">
        <v>1</v>
      </c>
      <c r="AG467">
        <v>2.6589999999999998</v>
      </c>
      <c r="AH467">
        <v>0.183</v>
      </c>
      <c r="AI467">
        <v>-1</v>
      </c>
    </row>
    <row r="468" spans="1:35" x14ac:dyDescent="0.25">
      <c r="A468">
        <v>259</v>
      </c>
      <c r="B468" t="s">
        <v>35</v>
      </c>
      <c r="C468">
        <v>3</v>
      </c>
      <c r="D468" t="s">
        <v>36</v>
      </c>
      <c r="E468">
        <v>3</v>
      </c>
      <c r="F468" t="s">
        <v>259</v>
      </c>
      <c r="G468">
        <v>3</v>
      </c>
      <c r="H468">
        <v>9</v>
      </c>
      <c r="I468">
        <v>1</v>
      </c>
      <c r="J468">
        <v>35</v>
      </c>
      <c r="K468">
        <v>29</v>
      </c>
      <c r="L468">
        <v>61</v>
      </c>
      <c r="M468">
        <v>2</v>
      </c>
      <c r="N468" t="s">
        <v>125</v>
      </c>
      <c r="O468" t="s">
        <v>113</v>
      </c>
      <c r="P468" t="s">
        <v>114</v>
      </c>
      <c r="Q468" t="s">
        <v>126</v>
      </c>
      <c r="R468" t="s">
        <v>114</v>
      </c>
      <c r="S468" t="s">
        <v>92</v>
      </c>
      <c r="T468" t="s">
        <v>127</v>
      </c>
      <c r="U468">
        <v>4</v>
      </c>
      <c r="V468" t="s">
        <v>128</v>
      </c>
      <c r="W468" t="s">
        <v>161</v>
      </c>
      <c r="X468" t="s">
        <v>131</v>
      </c>
      <c r="Y468">
        <v>1</v>
      </c>
      <c r="Z468">
        <v>2</v>
      </c>
      <c r="AA468">
        <v>44.1</v>
      </c>
      <c r="AB468">
        <v>-1</v>
      </c>
      <c r="AC468" t="s">
        <v>128</v>
      </c>
      <c r="AD468">
        <v>2</v>
      </c>
      <c r="AE468">
        <v>2</v>
      </c>
      <c r="AF468">
        <v>0</v>
      </c>
      <c r="AG468">
        <v>2.669</v>
      </c>
      <c r="AH468">
        <v>0.26600000000000001</v>
      </c>
      <c r="AI468">
        <v>-1</v>
      </c>
    </row>
    <row r="469" spans="1:35" x14ac:dyDescent="0.25">
      <c r="A469">
        <v>259</v>
      </c>
      <c r="B469" t="s">
        <v>35</v>
      </c>
      <c r="C469">
        <v>3</v>
      </c>
      <c r="D469" t="s">
        <v>36</v>
      </c>
      <c r="E469">
        <v>3</v>
      </c>
      <c r="F469" t="s">
        <v>259</v>
      </c>
      <c r="G469">
        <v>3</v>
      </c>
      <c r="H469">
        <v>9</v>
      </c>
      <c r="I469">
        <v>1</v>
      </c>
      <c r="J469">
        <v>36</v>
      </c>
      <c r="K469">
        <v>48</v>
      </c>
      <c r="L469">
        <v>34</v>
      </c>
      <c r="M469">
        <v>1</v>
      </c>
      <c r="N469" t="s">
        <v>228</v>
      </c>
      <c r="O469" t="s">
        <v>113</v>
      </c>
      <c r="P469" t="s">
        <v>114</v>
      </c>
      <c r="Q469" t="s">
        <v>224</v>
      </c>
      <c r="R469" t="s">
        <v>114</v>
      </c>
      <c r="S469" t="s">
        <v>52</v>
      </c>
      <c r="T469" t="s">
        <v>61</v>
      </c>
      <c r="U469">
        <v>5</v>
      </c>
      <c r="V469" t="s">
        <v>56</v>
      </c>
      <c r="W469" t="s">
        <v>185</v>
      </c>
      <c r="X469" t="s">
        <v>55</v>
      </c>
      <c r="Y469">
        <v>1</v>
      </c>
      <c r="Z469">
        <v>2</v>
      </c>
      <c r="AA469">
        <v>44.1</v>
      </c>
      <c r="AB469">
        <v>-1</v>
      </c>
      <c r="AC469" t="s">
        <v>61</v>
      </c>
      <c r="AD469">
        <v>1</v>
      </c>
      <c r="AE469">
        <v>5</v>
      </c>
      <c r="AF469">
        <v>1</v>
      </c>
      <c r="AG469">
        <v>0.71299999999999997</v>
      </c>
      <c r="AH469">
        <v>0.19600000000000001</v>
      </c>
      <c r="AI469">
        <v>-1</v>
      </c>
    </row>
    <row r="470" spans="1:35" x14ac:dyDescent="0.25">
      <c r="A470">
        <v>259</v>
      </c>
      <c r="B470" t="s">
        <v>35</v>
      </c>
      <c r="C470">
        <v>3</v>
      </c>
      <c r="D470" t="s">
        <v>36</v>
      </c>
      <c r="E470">
        <v>3</v>
      </c>
      <c r="F470" t="s">
        <v>259</v>
      </c>
      <c r="G470">
        <v>3</v>
      </c>
      <c r="H470">
        <v>9</v>
      </c>
      <c r="I470">
        <v>1</v>
      </c>
      <c r="J470">
        <v>37</v>
      </c>
      <c r="K470">
        <v>46</v>
      </c>
      <c r="L470">
        <v>70</v>
      </c>
      <c r="M470">
        <v>2</v>
      </c>
      <c r="N470" t="s">
        <v>232</v>
      </c>
      <c r="O470" t="s">
        <v>113</v>
      </c>
      <c r="P470" t="s">
        <v>114</v>
      </c>
      <c r="Q470" t="s">
        <v>222</v>
      </c>
      <c r="R470" t="s">
        <v>114</v>
      </c>
      <c r="S470" t="s">
        <v>43</v>
      </c>
      <c r="T470" t="s">
        <v>81</v>
      </c>
      <c r="U470">
        <v>4</v>
      </c>
      <c r="V470" t="s">
        <v>69</v>
      </c>
      <c r="W470" t="s">
        <v>147</v>
      </c>
      <c r="X470" t="s">
        <v>68</v>
      </c>
      <c r="Y470">
        <v>1</v>
      </c>
      <c r="Z470">
        <v>2</v>
      </c>
      <c r="AA470">
        <v>44.1</v>
      </c>
      <c r="AB470">
        <v>0.16200000000000001</v>
      </c>
      <c r="AC470" t="s">
        <v>83</v>
      </c>
      <c r="AD470">
        <v>0</v>
      </c>
      <c r="AE470">
        <v>0</v>
      </c>
      <c r="AF470">
        <v>0</v>
      </c>
      <c r="AG470">
        <v>-1</v>
      </c>
      <c r="AH470">
        <v>0.51600000000000001</v>
      </c>
      <c r="AI470">
        <v>0.16400000000000001</v>
      </c>
    </row>
    <row r="471" spans="1:35" x14ac:dyDescent="0.25">
      <c r="A471">
        <v>259</v>
      </c>
      <c r="B471" t="s">
        <v>35</v>
      </c>
      <c r="C471">
        <v>3</v>
      </c>
      <c r="D471" t="s">
        <v>36</v>
      </c>
      <c r="E471">
        <v>3</v>
      </c>
      <c r="F471" t="s">
        <v>259</v>
      </c>
      <c r="G471">
        <v>3</v>
      </c>
      <c r="H471">
        <v>9</v>
      </c>
      <c r="I471">
        <v>1</v>
      </c>
      <c r="J471">
        <v>38</v>
      </c>
      <c r="K471">
        <v>38</v>
      </c>
      <c r="L471">
        <v>36</v>
      </c>
      <c r="M471">
        <v>1</v>
      </c>
      <c r="N471" t="s">
        <v>227</v>
      </c>
      <c r="O471" t="s">
        <v>113</v>
      </c>
      <c r="P471" t="s">
        <v>114</v>
      </c>
      <c r="Q471" t="s">
        <v>220</v>
      </c>
      <c r="R471" t="s">
        <v>114</v>
      </c>
      <c r="S471" t="s">
        <v>43</v>
      </c>
      <c r="T471" t="s">
        <v>116</v>
      </c>
      <c r="U471">
        <v>1</v>
      </c>
      <c r="V471" t="s">
        <v>179</v>
      </c>
      <c r="W471" t="s">
        <v>66</v>
      </c>
      <c r="X471" t="s">
        <v>132</v>
      </c>
      <c r="Y471">
        <v>1</v>
      </c>
      <c r="Z471">
        <v>2</v>
      </c>
      <c r="AA471">
        <v>44.1</v>
      </c>
      <c r="AB471">
        <v>0.17199999999999999</v>
      </c>
      <c r="AC471" t="s">
        <v>179</v>
      </c>
      <c r="AD471">
        <v>2</v>
      </c>
      <c r="AE471">
        <v>5</v>
      </c>
      <c r="AF471">
        <v>0</v>
      </c>
      <c r="AG471">
        <v>2.5430000000000001</v>
      </c>
      <c r="AH471">
        <v>0.33100000000000002</v>
      </c>
      <c r="AI471">
        <v>0.17</v>
      </c>
    </row>
    <row r="472" spans="1:35" x14ac:dyDescent="0.25">
      <c r="A472">
        <v>259</v>
      </c>
      <c r="B472" t="s">
        <v>35</v>
      </c>
      <c r="C472">
        <v>3</v>
      </c>
      <c r="D472" t="s">
        <v>36</v>
      </c>
      <c r="E472">
        <v>3</v>
      </c>
      <c r="F472" t="s">
        <v>259</v>
      </c>
      <c r="G472">
        <v>3</v>
      </c>
      <c r="H472">
        <v>9</v>
      </c>
      <c r="I472">
        <v>1</v>
      </c>
      <c r="J472">
        <v>39</v>
      </c>
      <c r="K472">
        <v>40</v>
      </c>
      <c r="L472">
        <v>32</v>
      </c>
      <c r="M472">
        <v>1</v>
      </c>
      <c r="N472" t="s">
        <v>234</v>
      </c>
      <c r="O472" t="s">
        <v>113</v>
      </c>
      <c r="P472" t="s">
        <v>114</v>
      </c>
      <c r="Q472" t="s">
        <v>231</v>
      </c>
      <c r="R472" t="s">
        <v>114</v>
      </c>
      <c r="S472" t="s">
        <v>43</v>
      </c>
      <c r="T472" t="s">
        <v>111</v>
      </c>
      <c r="U472">
        <v>1</v>
      </c>
      <c r="V472" t="s">
        <v>81</v>
      </c>
      <c r="W472" t="s">
        <v>106</v>
      </c>
      <c r="X472" t="s">
        <v>103</v>
      </c>
      <c r="Y472">
        <v>2</v>
      </c>
      <c r="Z472">
        <v>2</v>
      </c>
      <c r="AA472">
        <v>44.1</v>
      </c>
      <c r="AB472">
        <v>-1</v>
      </c>
      <c r="AC472" t="s">
        <v>83</v>
      </c>
      <c r="AD472">
        <v>0</v>
      </c>
      <c r="AE472">
        <v>0</v>
      </c>
      <c r="AF472">
        <v>0</v>
      </c>
      <c r="AG472">
        <v>-1</v>
      </c>
      <c r="AH472">
        <v>0.46600000000000003</v>
      </c>
      <c r="AI472">
        <v>-1</v>
      </c>
    </row>
    <row r="473" spans="1:35" x14ac:dyDescent="0.25">
      <c r="A473">
        <v>259</v>
      </c>
      <c r="B473" t="s">
        <v>35</v>
      </c>
      <c r="C473">
        <v>3</v>
      </c>
      <c r="D473" t="s">
        <v>36</v>
      </c>
      <c r="E473">
        <v>3</v>
      </c>
      <c r="F473" t="s">
        <v>259</v>
      </c>
      <c r="G473">
        <v>3</v>
      </c>
      <c r="H473">
        <v>9</v>
      </c>
      <c r="I473">
        <v>1</v>
      </c>
      <c r="J473">
        <v>40</v>
      </c>
      <c r="K473">
        <v>33</v>
      </c>
      <c r="L473">
        <v>27</v>
      </c>
      <c r="M473">
        <v>1</v>
      </c>
      <c r="N473" t="s">
        <v>129</v>
      </c>
      <c r="O473" t="s">
        <v>113</v>
      </c>
      <c r="P473" t="s">
        <v>114</v>
      </c>
      <c r="Q473" t="s">
        <v>118</v>
      </c>
      <c r="R473" t="s">
        <v>114</v>
      </c>
      <c r="S473" t="s">
        <v>92</v>
      </c>
      <c r="T473" t="s">
        <v>120</v>
      </c>
      <c r="U473">
        <v>2</v>
      </c>
      <c r="V473" t="s">
        <v>130</v>
      </c>
      <c r="W473" t="s">
        <v>96</v>
      </c>
      <c r="X473" t="s">
        <v>138</v>
      </c>
      <c r="Y473">
        <v>2</v>
      </c>
      <c r="Z473">
        <v>2</v>
      </c>
      <c r="AA473">
        <v>44.1</v>
      </c>
      <c r="AB473">
        <v>-1</v>
      </c>
      <c r="AC473" t="s">
        <v>120</v>
      </c>
      <c r="AD473">
        <v>1</v>
      </c>
      <c r="AE473">
        <v>2</v>
      </c>
      <c r="AF473">
        <v>1</v>
      </c>
      <c r="AG473">
        <v>1.98</v>
      </c>
      <c r="AH473">
        <v>0.28299999999999997</v>
      </c>
      <c r="AI473">
        <v>-1</v>
      </c>
    </row>
    <row r="474" spans="1:35" x14ac:dyDescent="0.25">
      <c r="A474">
        <v>259</v>
      </c>
      <c r="B474" t="s">
        <v>35</v>
      </c>
      <c r="C474">
        <v>3</v>
      </c>
      <c r="D474" t="s">
        <v>36</v>
      </c>
      <c r="E474">
        <v>3</v>
      </c>
      <c r="F474" t="s">
        <v>259</v>
      </c>
      <c r="G474">
        <v>3</v>
      </c>
      <c r="H474">
        <v>9</v>
      </c>
      <c r="I474">
        <v>1</v>
      </c>
      <c r="J474">
        <v>41</v>
      </c>
      <c r="K474">
        <v>37</v>
      </c>
      <c r="L474">
        <v>35</v>
      </c>
      <c r="M474">
        <v>1</v>
      </c>
      <c r="N474" t="s">
        <v>219</v>
      </c>
      <c r="O474" t="s">
        <v>113</v>
      </c>
      <c r="P474" t="s">
        <v>114</v>
      </c>
      <c r="Q474" t="s">
        <v>220</v>
      </c>
      <c r="R474" t="s">
        <v>114</v>
      </c>
      <c r="S474" t="s">
        <v>92</v>
      </c>
      <c r="T474" t="s">
        <v>179</v>
      </c>
      <c r="U474">
        <v>4</v>
      </c>
      <c r="V474" t="s">
        <v>209</v>
      </c>
      <c r="W474" t="s">
        <v>166</v>
      </c>
      <c r="X474" t="s">
        <v>149</v>
      </c>
      <c r="Y474">
        <v>2</v>
      </c>
      <c r="Z474">
        <v>2</v>
      </c>
      <c r="AA474">
        <v>44.1</v>
      </c>
      <c r="AB474">
        <v>-1</v>
      </c>
      <c r="AC474" t="s">
        <v>179</v>
      </c>
      <c r="AD474">
        <v>1</v>
      </c>
      <c r="AE474">
        <v>4</v>
      </c>
      <c r="AF474">
        <v>1</v>
      </c>
      <c r="AG474">
        <v>0.88500000000000001</v>
      </c>
      <c r="AH474">
        <v>0.13300000000000001</v>
      </c>
      <c r="AI474">
        <v>-1</v>
      </c>
    </row>
    <row r="475" spans="1:35" x14ac:dyDescent="0.25">
      <c r="A475">
        <v>259</v>
      </c>
      <c r="B475" t="s">
        <v>35</v>
      </c>
      <c r="C475">
        <v>3</v>
      </c>
      <c r="D475" t="s">
        <v>36</v>
      </c>
      <c r="E475">
        <v>3</v>
      </c>
      <c r="F475" t="s">
        <v>259</v>
      </c>
      <c r="G475">
        <v>3</v>
      </c>
      <c r="H475">
        <v>9</v>
      </c>
      <c r="I475">
        <v>1</v>
      </c>
      <c r="J475">
        <v>42</v>
      </c>
      <c r="K475">
        <v>27</v>
      </c>
      <c r="L475">
        <v>25</v>
      </c>
      <c r="M475">
        <v>1</v>
      </c>
      <c r="N475" t="s">
        <v>122</v>
      </c>
      <c r="O475" t="s">
        <v>113</v>
      </c>
      <c r="P475" t="s">
        <v>114</v>
      </c>
      <c r="Q475" t="s">
        <v>123</v>
      </c>
      <c r="R475" t="s">
        <v>114</v>
      </c>
      <c r="S475" t="s">
        <v>59</v>
      </c>
      <c r="T475" t="s">
        <v>124</v>
      </c>
      <c r="U475">
        <v>2</v>
      </c>
      <c r="V475" t="s">
        <v>46</v>
      </c>
      <c r="W475" t="s">
        <v>94</v>
      </c>
      <c r="X475" t="s">
        <v>99</v>
      </c>
      <c r="Y475">
        <v>2</v>
      </c>
      <c r="Z475">
        <v>2</v>
      </c>
      <c r="AA475">
        <v>44.1</v>
      </c>
      <c r="AB475">
        <v>-1</v>
      </c>
      <c r="AC475" t="s">
        <v>99</v>
      </c>
      <c r="AD475">
        <v>4</v>
      </c>
      <c r="AE475">
        <v>4</v>
      </c>
      <c r="AF475">
        <v>0</v>
      </c>
      <c r="AG475">
        <v>1.181</v>
      </c>
      <c r="AH475">
        <v>0.316</v>
      </c>
      <c r="AI475">
        <v>-1</v>
      </c>
    </row>
    <row r="476" spans="1:35" x14ac:dyDescent="0.25">
      <c r="A476">
        <v>259</v>
      </c>
      <c r="B476" t="s">
        <v>35</v>
      </c>
      <c r="C476">
        <v>3</v>
      </c>
      <c r="D476" t="s">
        <v>36</v>
      </c>
      <c r="E476">
        <v>3</v>
      </c>
      <c r="F476" t="s">
        <v>259</v>
      </c>
      <c r="G476">
        <v>3</v>
      </c>
      <c r="H476">
        <v>9</v>
      </c>
      <c r="I476">
        <v>1</v>
      </c>
      <c r="J476">
        <v>43</v>
      </c>
      <c r="K476">
        <v>30</v>
      </c>
      <c r="L476">
        <v>62</v>
      </c>
      <c r="M476">
        <v>2</v>
      </c>
      <c r="N476" t="s">
        <v>142</v>
      </c>
      <c r="O476" t="s">
        <v>113</v>
      </c>
      <c r="P476" t="s">
        <v>114</v>
      </c>
      <c r="Q476" t="s">
        <v>126</v>
      </c>
      <c r="R476" t="s">
        <v>114</v>
      </c>
      <c r="S476" t="s">
        <v>52</v>
      </c>
      <c r="T476" t="s">
        <v>128</v>
      </c>
      <c r="U476">
        <v>5</v>
      </c>
      <c r="V476" t="s">
        <v>61</v>
      </c>
      <c r="W476" t="s">
        <v>155</v>
      </c>
      <c r="X476" t="s">
        <v>44</v>
      </c>
      <c r="Y476">
        <v>2</v>
      </c>
      <c r="Z476">
        <v>2</v>
      </c>
      <c r="AA476">
        <v>44.1</v>
      </c>
      <c r="AB476">
        <v>0.193</v>
      </c>
      <c r="AC476" t="s">
        <v>155</v>
      </c>
      <c r="AD476">
        <v>4</v>
      </c>
      <c r="AE476">
        <v>1</v>
      </c>
      <c r="AF476">
        <v>0</v>
      </c>
      <c r="AG476">
        <v>2.27</v>
      </c>
      <c r="AH476">
        <v>0.34599999999999997</v>
      </c>
      <c r="AI476">
        <v>0.19400000000000001</v>
      </c>
    </row>
    <row r="477" spans="1:35" x14ac:dyDescent="0.25">
      <c r="A477">
        <v>259</v>
      </c>
      <c r="B477" t="s">
        <v>35</v>
      </c>
      <c r="C477">
        <v>3</v>
      </c>
      <c r="D477" t="s">
        <v>36</v>
      </c>
      <c r="E477">
        <v>3</v>
      </c>
      <c r="F477" t="s">
        <v>259</v>
      </c>
      <c r="G477">
        <v>3</v>
      </c>
      <c r="H477">
        <v>9</v>
      </c>
      <c r="I477">
        <v>1</v>
      </c>
      <c r="J477">
        <v>44</v>
      </c>
      <c r="K477">
        <v>26</v>
      </c>
      <c r="L477">
        <v>72</v>
      </c>
      <c r="M477">
        <v>2</v>
      </c>
      <c r="N477" t="s">
        <v>112</v>
      </c>
      <c r="O477" t="s">
        <v>113</v>
      </c>
      <c r="P477" t="s">
        <v>114</v>
      </c>
      <c r="Q477" t="s">
        <v>115</v>
      </c>
      <c r="R477" t="s">
        <v>114</v>
      </c>
      <c r="S477" t="s">
        <v>43</v>
      </c>
      <c r="T477" t="s">
        <v>104</v>
      </c>
      <c r="U477">
        <v>5</v>
      </c>
      <c r="V477" t="s">
        <v>116</v>
      </c>
      <c r="W477" t="s">
        <v>183</v>
      </c>
      <c r="X477" t="s">
        <v>93</v>
      </c>
      <c r="Y477">
        <v>2</v>
      </c>
      <c r="Z477">
        <v>2</v>
      </c>
      <c r="AA477">
        <v>44.1</v>
      </c>
      <c r="AB477">
        <v>-1</v>
      </c>
      <c r="AC477" t="s">
        <v>93</v>
      </c>
      <c r="AD477">
        <v>4</v>
      </c>
      <c r="AE477">
        <v>4</v>
      </c>
      <c r="AF477">
        <v>0</v>
      </c>
      <c r="AG477">
        <v>3.83</v>
      </c>
      <c r="AH477">
        <v>0.23300000000000001</v>
      </c>
      <c r="AI477">
        <v>-1</v>
      </c>
    </row>
    <row r="478" spans="1:35" x14ac:dyDescent="0.25">
      <c r="A478">
        <v>259</v>
      </c>
      <c r="B478" t="s">
        <v>35</v>
      </c>
      <c r="C478">
        <v>3</v>
      </c>
      <c r="D478" t="s">
        <v>36</v>
      </c>
      <c r="E478">
        <v>3</v>
      </c>
      <c r="F478" t="s">
        <v>259</v>
      </c>
      <c r="G478">
        <v>3</v>
      </c>
      <c r="H478">
        <v>9</v>
      </c>
      <c r="I478">
        <v>1</v>
      </c>
      <c r="J478">
        <v>45</v>
      </c>
      <c r="K478">
        <v>45</v>
      </c>
      <c r="L478">
        <v>69</v>
      </c>
      <c r="M478">
        <v>2</v>
      </c>
      <c r="N478" t="s">
        <v>221</v>
      </c>
      <c r="O478" t="s">
        <v>113</v>
      </c>
      <c r="P478" t="s">
        <v>114</v>
      </c>
      <c r="Q478" t="s">
        <v>222</v>
      </c>
      <c r="R478" t="s">
        <v>114</v>
      </c>
      <c r="S478" t="s">
        <v>52</v>
      </c>
      <c r="T478" t="s">
        <v>69</v>
      </c>
      <c r="U478">
        <v>4</v>
      </c>
      <c r="V478" t="s">
        <v>119</v>
      </c>
      <c r="W478" t="s">
        <v>146</v>
      </c>
      <c r="X478" t="s">
        <v>80</v>
      </c>
      <c r="Y478">
        <v>2</v>
      </c>
      <c r="Z478">
        <v>2</v>
      </c>
      <c r="AA478">
        <v>44.1</v>
      </c>
      <c r="AB478">
        <v>-1</v>
      </c>
      <c r="AC478" t="s">
        <v>69</v>
      </c>
      <c r="AD478">
        <v>1</v>
      </c>
      <c r="AE478">
        <v>4</v>
      </c>
      <c r="AF478">
        <v>1</v>
      </c>
      <c r="AG478">
        <v>0.84399999999999997</v>
      </c>
      <c r="AH478">
        <v>0.19600000000000001</v>
      </c>
      <c r="AI478">
        <v>-1</v>
      </c>
    </row>
    <row r="479" spans="1:35" x14ac:dyDescent="0.25">
      <c r="A479">
        <v>259</v>
      </c>
      <c r="B479" t="s">
        <v>35</v>
      </c>
      <c r="C479">
        <v>3</v>
      </c>
      <c r="D479" t="s">
        <v>36</v>
      </c>
      <c r="E479">
        <v>3</v>
      </c>
      <c r="F479" t="s">
        <v>259</v>
      </c>
      <c r="G479">
        <v>3</v>
      </c>
      <c r="H479">
        <v>9</v>
      </c>
      <c r="I479">
        <v>1</v>
      </c>
      <c r="J479">
        <v>46</v>
      </c>
      <c r="K479">
        <v>31</v>
      </c>
      <c r="L479">
        <v>63</v>
      </c>
      <c r="M479">
        <v>2</v>
      </c>
      <c r="N479" t="s">
        <v>140</v>
      </c>
      <c r="O479" t="s">
        <v>113</v>
      </c>
      <c r="P479" t="s">
        <v>114</v>
      </c>
      <c r="Q479" t="s">
        <v>134</v>
      </c>
      <c r="R479" t="s">
        <v>114</v>
      </c>
      <c r="S479" t="s">
        <v>59</v>
      </c>
      <c r="T479" t="s">
        <v>95</v>
      </c>
      <c r="U479">
        <v>2</v>
      </c>
      <c r="V479" t="s">
        <v>100</v>
      </c>
      <c r="W479" t="s">
        <v>79</v>
      </c>
      <c r="X479" t="s">
        <v>141</v>
      </c>
      <c r="Y479">
        <v>1</v>
      </c>
      <c r="Z479">
        <v>2</v>
      </c>
      <c r="AA479">
        <v>44.1</v>
      </c>
      <c r="AB479">
        <v>-1</v>
      </c>
      <c r="AC479" t="s">
        <v>79</v>
      </c>
      <c r="AD479">
        <v>4</v>
      </c>
      <c r="AE479">
        <v>1</v>
      </c>
      <c r="AF479">
        <v>0</v>
      </c>
      <c r="AG479">
        <v>2.9940000000000002</v>
      </c>
      <c r="AH479">
        <v>0.316</v>
      </c>
      <c r="AI479">
        <v>-1</v>
      </c>
    </row>
    <row r="480" spans="1:35" x14ac:dyDescent="0.25">
      <c r="A480">
        <v>259</v>
      </c>
      <c r="B480" t="s">
        <v>35</v>
      </c>
      <c r="C480">
        <v>3</v>
      </c>
      <c r="D480" t="s">
        <v>36</v>
      </c>
      <c r="E480">
        <v>3</v>
      </c>
      <c r="F480" t="s">
        <v>259</v>
      </c>
      <c r="G480">
        <v>3</v>
      </c>
      <c r="H480">
        <v>9</v>
      </c>
      <c r="I480">
        <v>1</v>
      </c>
      <c r="J480">
        <v>47</v>
      </c>
      <c r="K480">
        <v>36</v>
      </c>
      <c r="L480">
        <v>68</v>
      </c>
      <c r="M480">
        <v>2</v>
      </c>
      <c r="N480" t="s">
        <v>135</v>
      </c>
      <c r="O480" t="s">
        <v>113</v>
      </c>
      <c r="P480" t="s">
        <v>114</v>
      </c>
      <c r="Q480" t="s">
        <v>136</v>
      </c>
      <c r="R480" t="s">
        <v>114</v>
      </c>
      <c r="S480" t="s">
        <v>52</v>
      </c>
      <c r="T480" t="s">
        <v>74</v>
      </c>
      <c r="U480">
        <v>5</v>
      </c>
      <c r="V480" t="s">
        <v>137</v>
      </c>
      <c r="W480" t="s">
        <v>108</v>
      </c>
      <c r="X480" t="s">
        <v>73</v>
      </c>
      <c r="Y480">
        <v>1</v>
      </c>
      <c r="Z480">
        <v>2</v>
      </c>
      <c r="AA480">
        <v>44.1</v>
      </c>
      <c r="AB480">
        <v>-1</v>
      </c>
      <c r="AC480" t="s">
        <v>137</v>
      </c>
      <c r="AD480">
        <v>2</v>
      </c>
      <c r="AE480">
        <v>4</v>
      </c>
      <c r="AF480">
        <v>0</v>
      </c>
      <c r="AG480">
        <v>3.3410000000000002</v>
      </c>
      <c r="AH480">
        <v>2.4500000000000002</v>
      </c>
      <c r="AI480">
        <v>-1</v>
      </c>
    </row>
    <row r="481" spans="1:35" x14ac:dyDescent="0.25">
      <c r="A481">
        <v>259</v>
      </c>
      <c r="B481" t="s">
        <v>35</v>
      </c>
      <c r="C481">
        <v>3</v>
      </c>
      <c r="D481" t="s">
        <v>36</v>
      </c>
      <c r="E481">
        <v>3</v>
      </c>
      <c r="F481" t="s">
        <v>259</v>
      </c>
      <c r="G481">
        <v>3</v>
      </c>
      <c r="H481">
        <v>9</v>
      </c>
      <c r="I481">
        <v>1</v>
      </c>
      <c r="J481">
        <v>48</v>
      </c>
      <c r="K481">
        <v>34</v>
      </c>
      <c r="L481">
        <v>28</v>
      </c>
      <c r="M481">
        <v>1</v>
      </c>
      <c r="N481" t="s">
        <v>117</v>
      </c>
      <c r="O481" t="s">
        <v>113</v>
      </c>
      <c r="P481" t="s">
        <v>114</v>
      </c>
      <c r="Q481" t="s">
        <v>118</v>
      </c>
      <c r="R481" t="s">
        <v>114</v>
      </c>
      <c r="S481" t="s">
        <v>52</v>
      </c>
      <c r="T481" t="s">
        <v>119</v>
      </c>
      <c r="U481">
        <v>5</v>
      </c>
      <c r="V481" t="s">
        <v>120</v>
      </c>
      <c r="W481" t="s">
        <v>45</v>
      </c>
      <c r="X481" t="s">
        <v>110</v>
      </c>
      <c r="Y481">
        <v>1</v>
      </c>
      <c r="Z481">
        <v>2</v>
      </c>
      <c r="AA481">
        <v>44.1</v>
      </c>
      <c r="AB481">
        <v>-1</v>
      </c>
      <c r="AC481" t="s">
        <v>120</v>
      </c>
      <c r="AD481">
        <v>2</v>
      </c>
      <c r="AE481">
        <v>2</v>
      </c>
      <c r="AF481">
        <v>0</v>
      </c>
      <c r="AG481">
        <v>2.6040000000000001</v>
      </c>
      <c r="AH481">
        <v>0.2</v>
      </c>
      <c r="AI481">
        <v>-1</v>
      </c>
    </row>
    <row r="482" spans="1:35" x14ac:dyDescent="0.25">
      <c r="A482">
        <v>259</v>
      </c>
      <c r="B482" t="s">
        <v>35</v>
      </c>
      <c r="C482">
        <v>3</v>
      </c>
      <c r="D482" t="s">
        <v>36</v>
      </c>
      <c r="E482">
        <v>3</v>
      </c>
      <c r="F482" t="s">
        <v>259</v>
      </c>
      <c r="G482">
        <v>3</v>
      </c>
      <c r="H482">
        <v>9</v>
      </c>
      <c r="I482">
        <v>1</v>
      </c>
      <c r="J482">
        <v>49</v>
      </c>
      <c r="K482">
        <v>70</v>
      </c>
      <c r="L482">
        <v>58</v>
      </c>
      <c r="M482">
        <v>2</v>
      </c>
      <c r="N482" t="s">
        <v>235</v>
      </c>
      <c r="O482" t="s">
        <v>151</v>
      </c>
      <c r="P482" t="s">
        <v>236</v>
      </c>
      <c r="Q482" t="s">
        <v>237</v>
      </c>
      <c r="R482" t="s">
        <v>160</v>
      </c>
      <c r="S482" t="s">
        <v>43</v>
      </c>
      <c r="T482" t="s">
        <v>55</v>
      </c>
      <c r="U482">
        <v>2</v>
      </c>
      <c r="V482" t="s">
        <v>75</v>
      </c>
      <c r="W482" t="s">
        <v>94</v>
      </c>
      <c r="X482" t="s">
        <v>95</v>
      </c>
      <c r="Y482">
        <v>1</v>
      </c>
      <c r="Z482">
        <v>2</v>
      </c>
      <c r="AA482">
        <v>44.1</v>
      </c>
      <c r="AB482">
        <v>-1</v>
      </c>
      <c r="AC482" t="s">
        <v>75</v>
      </c>
      <c r="AD482">
        <v>2</v>
      </c>
      <c r="AE482">
        <v>5</v>
      </c>
      <c r="AF482">
        <v>0</v>
      </c>
      <c r="AG482">
        <v>1.9339999999999999</v>
      </c>
      <c r="AH482">
        <v>0.34499999999999997</v>
      </c>
      <c r="AI482">
        <v>-1</v>
      </c>
    </row>
    <row r="483" spans="1:35" x14ac:dyDescent="0.25">
      <c r="A483">
        <v>259</v>
      </c>
      <c r="B483" t="s">
        <v>35</v>
      </c>
      <c r="C483">
        <v>3</v>
      </c>
      <c r="D483" t="s">
        <v>36</v>
      </c>
      <c r="E483">
        <v>3</v>
      </c>
      <c r="F483" t="s">
        <v>259</v>
      </c>
      <c r="G483">
        <v>3</v>
      </c>
      <c r="H483">
        <v>9</v>
      </c>
      <c r="I483">
        <v>1</v>
      </c>
      <c r="J483">
        <v>50</v>
      </c>
      <c r="K483">
        <v>64</v>
      </c>
      <c r="L483">
        <v>20</v>
      </c>
      <c r="M483">
        <v>1</v>
      </c>
      <c r="N483" t="s">
        <v>238</v>
      </c>
      <c r="O483" t="s">
        <v>151</v>
      </c>
      <c r="P483" t="s">
        <v>239</v>
      </c>
      <c r="Q483" t="s">
        <v>240</v>
      </c>
      <c r="R483" t="s">
        <v>160</v>
      </c>
      <c r="S483" t="s">
        <v>43</v>
      </c>
      <c r="T483" t="s">
        <v>82</v>
      </c>
      <c r="U483">
        <v>1</v>
      </c>
      <c r="V483" t="s">
        <v>110</v>
      </c>
      <c r="W483" t="s">
        <v>69</v>
      </c>
      <c r="X483" t="s">
        <v>80</v>
      </c>
      <c r="Y483">
        <v>2</v>
      </c>
      <c r="Z483">
        <v>2</v>
      </c>
      <c r="AA483">
        <v>44.1</v>
      </c>
      <c r="AB483">
        <v>-1</v>
      </c>
      <c r="AC483" t="s">
        <v>82</v>
      </c>
      <c r="AD483">
        <v>1</v>
      </c>
      <c r="AE483">
        <v>1</v>
      </c>
      <c r="AF483">
        <v>1</v>
      </c>
      <c r="AG483">
        <v>0.93799999999999994</v>
      </c>
      <c r="AH483">
        <v>0.11600000000000001</v>
      </c>
      <c r="AI483">
        <v>-1</v>
      </c>
    </row>
    <row r="484" spans="1:35" x14ac:dyDescent="0.25">
      <c r="A484">
        <v>259</v>
      </c>
      <c r="B484" t="s">
        <v>35</v>
      </c>
      <c r="C484">
        <v>3</v>
      </c>
      <c r="D484" t="s">
        <v>36</v>
      </c>
      <c r="E484">
        <v>3</v>
      </c>
      <c r="F484" t="s">
        <v>259</v>
      </c>
      <c r="G484">
        <v>3</v>
      </c>
      <c r="H484">
        <v>9</v>
      </c>
      <c r="I484">
        <v>1</v>
      </c>
      <c r="J484">
        <v>51</v>
      </c>
      <c r="K484">
        <v>67</v>
      </c>
      <c r="L484">
        <v>17</v>
      </c>
      <c r="M484">
        <v>1</v>
      </c>
      <c r="N484" t="s">
        <v>254</v>
      </c>
      <c r="O484" t="s">
        <v>151</v>
      </c>
      <c r="P484" t="s">
        <v>255</v>
      </c>
      <c r="Q484" t="s">
        <v>256</v>
      </c>
      <c r="R484" t="s">
        <v>174</v>
      </c>
      <c r="S484" t="s">
        <v>52</v>
      </c>
      <c r="T484" t="s">
        <v>47</v>
      </c>
      <c r="U484">
        <v>5</v>
      </c>
      <c r="V484" t="s">
        <v>187</v>
      </c>
      <c r="W484" t="s">
        <v>137</v>
      </c>
      <c r="X484" t="s">
        <v>156</v>
      </c>
      <c r="Y484">
        <v>2</v>
      </c>
      <c r="Z484">
        <v>2</v>
      </c>
      <c r="AA484">
        <v>44.1</v>
      </c>
      <c r="AB484">
        <v>0.26200000000000001</v>
      </c>
      <c r="AC484" t="s">
        <v>156</v>
      </c>
      <c r="AD484">
        <v>4</v>
      </c>
      <c r="AE484">
        <v>2</v>
      </c>
      <c r="AF484">
        <v>0</v>
      </c>
      <c r="AG484">
        <v>1.7689999999999999</v>
      </c>
      <c r="AH484">
        <v>1.984</v>
      </c>
      <c r="AI484">
        <v>0.26800000000000002</v>
      </c>
    </row>
    <row r="485" spans="1:35" x14ac:dyDescent="0.25">
      <c r="A485">
        <v>259</v>
      </c>
      <c r="B485" t="s">
        <v>35</v>
      </c>
      <c r="C485">
        <v>3</v>
      </c>
      <c r="D485" t="s">
        <v>36</v>
      </c>
      <c r="E485">
        <v>3</v>
      </c>
      <c r="F485" t="s">
        <v>259</v>
      </c>
      <c r="G485">
        <v>3</v>
      </c>
      <c r="H485">
        <v>9</v>
      </c>
      <c r="I485">
        <v>1</v>
      </c>
      <c r="J485">
        <v>52</v>
      </c>
      <c r="K485">
        <v>60</v>
      </c>
      <c r="L485">
        <v>56</v>
      </c>
      <c r="M485">
        <v>2</v>
      </c>
      <c r="N485" t="s">
        <v>175</v>
      </c>
      <c r="O485" t="s">
        <v>151</v>
      </c>
      <c r="P485" t="s">
        <v>164</v>
      </c>
      <c r="Q485" t="s">
        <v>165</v>
      </c>
      <c r="R485" t="s">
        <v>174</v>
      </c>
      <c r="S485" t="s">
        <v>52</v>
      </c>
      <c r="T485" t="s">
        <v>166</v>
      </c>
      <c r="U485">
        <v>2</v>
      </c>
      <c r="V485" t="s">
        <v>132</v>
      </c>
      <c r="W485" t="s">
        <v>45</v>
      </c>
      <c r="X485" t="s">
        <v>116</v>
      </c>
      <c r="Y485">
        <v>2</v>
      </c>
      <c r="Z485">
        <v>2</v>
      </c>
      <c r="AA485">
        <v>44.1</v>
      </c>
      <c r="AB485">
        <v>-1</v>
      </c>
      <c r="AC485" t="s">
        <v>45</v>
      </c>
      <c r="AD485">
        <v>4</v>
      </c>
      <c r="AE485">
        <v>1</v>
      </c>
      <c r="AF485">
        <v>0</v>
      </c>
      <c r="AG485">
        <v>2.2799999999999998</v>
      </c>
      <c r="AH485">
        <v>0.41599999999999998</v>
      </c>
      <c r="AI485">
        <v>-1</v>
      </c>
    </row>
    <row r="486" spans="1:35" x14ac:dyDescent="0.25">
      <c r="A486">
        <v>259</v>
      </c>
      <c r="B486" t="s">
        <v>35</v>
      </c>
      <c r="C486">
        <v>3</v>
      </c>
      <c r="D486" t="s">
        <v>36</v>
      </c>
      <c r="E486">
        <v>3</v>
      </c>
      <c r="F486" t="s">
        <v>259</v>
      </c>
      <c r="G486">
        <v>3</v>
      </c>
      <c r="H486">
        <v>9</v>
      </c>
      <c r="I486">
        <v>1</v>
      </c>
      <c r="J486">
        <v>53</v>
      </c>
      <c r="K486">
        <v>65</v>
      </c>
      <c r="L486">
        <v>53</v>
      </c>
      <c r="M486">
        <v>2</v>
      </c>
      <c r="N486" t="s">
        <v>257</v>
      </c>
      <c r="O486" t="s">
        <v>151</v>
      </c>
      <c r="P486" t="s">
        <v>249</v>
      </c>
      <c r="Q486" t="s">
        <v>250</v>
      </c>
      <c r="R486" t="s">
        <v>170</v>
      </c>
      <c r="S486" t="s">
        <v>59</v>
      </c>
      <c r="T486" t="s">
        <v>204</v>
      </c>
      <c r="U486">
        <v>2</v>
      </c>
      <c r="V486" t="s">
        <v>211</v>
      </c>
      <c r="W486" t="s">
        <v>85</v>
      </c>
      <c r="X486" t="s">
        <v>119</v>
      </c>
      <c r="Y486">
        <v>2</v>
      </c>
      <c r="Z486">
        <v>2</v>
      </c>
      <c r="AA486">
        <v>44.1</v>
      </c>
      <c r="AB486">
        <v>0.192</v>
      </c>
      <c r="AC486" t="s">
        <v>204</v>
      </c>
      <c r="AD486">
        <v>1</v>
      </c>
      <c r="AE486">
        <v>2</v>
      </c>
      <c r="AF486">
        <v>1</v>
      </c>
      <c r="AG486">
        <v>2.2759999999999998</v>
      </c>
      <c r="AH486">
        <v>0.16600000000000001</v>
      </c>
      <c r="AI486">
        <v>0.19400000000000001</v>
      </c>
    </row>
    <row r="487" spans="1:35" x14ac:dyDescent="0.25">
      <c r="A487">
        <v>259</v>
      </c>
      <c r="B487" t="s">
        <v>35</v>
      </c>
      <c r="C487">
        <v>3</v>
      </c>
      <c r="D487" t="s">
        <v>36</v>
      </c>
      <c r="E487">
        <v>3</v>
      </c>
      <c r="F487" t="s">
        <v>259</v>
      </c>
      <c r="G487">
        <v>3</v>
      </c>
      <c r="H487">
        <v>9</v>
      </c>
      <c r="I487">
        <v>1</v>
      </c>
      <c r="J487">
        <v>54</v>
      </c>
      <c r="K487">
        <v>72</v>
      </c>
      <c r="L487">
        <v>22</v>
      </c>
      <c r="M487">
        <v>1</v>
      </c>
      <c r="N487" t="s">
        <v>241</v>
      </c>
      <c r="O487" t="s">
        <v>151</v>
      </c>
      <c r="P487" t="s">
        <v>242</v>
      </c>
      <c r="Q487" t="s">
        <v>243</v>
      </c>
      <c r="R487" t="s">
        <v>174</v>
      </c>
      <c r="S487" t="s">
        <v>52</v>
      </c>
      <c r="T487" t="s">
        <v>132</v>
      </c>
      <c r="U487">
        <v>1</v>
      </c>
      <c r="V487" t="s">
        <v>146</v>
      </c>
      <c r="W487" t="s">
        <v>185</v>
      </c>
      <c r="X487" t="s">
        <v>127</v>
      </c>
      <c r="Y487">
        <v>1</v>
      </c>
      <c r="Z487">
        <v>2</v>
      </c>
      <c r="AA487">
        <v>44.1</v>
      </c>
      <c r="AB487">
        <v>-1</v>
      </c>
      <c r="AC487" t="s">
        <v>127</v>
      </c>
      <c r="AD487">
        <v>4</v>
      </c>
      <c r="AE487">
        <v>4</v>
      </c>
      <c r="AF487">
        <v>0</v>
      </c>
      <c r="AG487">
        <v>2.0059999999999998</v>
      </c>
      <c r="AH487">
        <v>0.26600000000000001</v>
      </c>
      <c r="AI487">
        <v>-1</v>
      </c>
    </row>
    <row r="488" spans="1:35" x14ac:dyDescent="0.25">
      <c r="A488">
        <v>259</v>
      </c>
      <c r="B488" t="s">
        <v>35</v>
      </c>
      <c r="C488">
        <v>3</v>
      </c>
      <c r="D488" t="s">
        <v>36</v>
      </c>
      <c r="E488">
        <v>3</v>
      </c>
      <c r="F488" t="s">
        <v>259</v>
      </c>
      <c r="G488">
        <v>3</v>
      </c>
      <c r="H488">
        <v>9</v>
      </c>
      <c r="I488">
        <v>1</v>
      </c>
      <c r="J488">
        <v>55</v>
      </c>
      <c r="K488">
        <v>55</v>
      </c>
      <c r="L488">
        <v>51</v>
      </c>
      <c r="M488">
        <v>2</v>
      </c>
      <c r="N488" t="s">
        <v>176</v>
      </c>
      <c r="O488" t="s">
        <v>151</v>
      </c>
      <c r="P488" t="s">
        <v>177</v>
      </c>
      <c r="Q488" t="s">
        <v>178</v>
      </c>
      <c r="R488" t="s">
        <v>170</v>
      </c>
      <c r="S488" t="s">
        <v>59</v>
      </c>
      <c r="T488" t="s">
        <v>139</v>
      </c>
      <c r="U488">
        <v>5</v>
      </c>
      <c r="V488" t="s">
        <v>108</v>
      </c>
      <c r="W488" t="s">
        <v>120</v>
      </c>
      <c r="X488" t="s">
        <v>172</v>
      </c>
      <c r="Y488">
        <v>1</v>
      </c>
      <c r="Z488">
        <v>2</v>
      </c>
      <c r="AA488">
        <v>44.1</v>
      </c>
      <c r="AB488">
        <v>-1</v>
      </c>
      <c r="AC488" t="s">
        <v>139</v>
      </c>
      <c r="AD488">
        <v>1</v>
      </c>
      <c r="AE488">
        <v>5</v>
      </c>
      <c r="AF488">
        <v>1</v>
      </c>
      <c r="AG488">
        <v>2.1789999999999998</v>
      </c>
      <c r="AH488">
        <v>0.183</v>
      </c>
      <c r="AI488">
        <v>-1</v>
      </c>
    </row>
    <row r="489" spans="1:35" x14ac:dyDescent="0.25">
      <c r="A489">
        <v>259</v>
      </c>
      <c r="B489" t="s">
        <v>35</v>
      </c>
      <c r="C489">
        <v>3</v>
      </c>
      <c r="D489" t="s">
        <v>36</v>
      </c>
      <c r="E489">
        <v>3</v>
      </c>
      <c r="F489" t="s">
        <v>259</v>
      </c>
      <c r="G489">
        <v>3</v>
      </c>
      <c r="H489">
        <v>9</v>
      </c>
      <c r="I489">
        <v>1</v>
      </c>
      <c r="J489">
        <v>56</v>
      </c>
      <c r="K489">
        <v>49</v>
      </c>
      <c r="L489">
        <v>59</v>
      </c>
      <c r="M489">
        <v>2</v>
      </c>
      <c r="N489" t="s">
        <v>171</v>
      </c>
      <c r="O489" t="s">
        <v>151</v>
      </c>
      <c r="P489" t="s">
        <v>158</v>
      </c>
      <c r="Q489" t="s">
        <v>159</v>
      </c>
      <c r="R489" t="s">
        <v>170</v>
      </c>
      <c r="S489" t="s">
        <v>59</v>
      </c>
      <c r="T489" t="s">
        <v>103</v>
      </c>
      <c r="U489">
        <v>4</v>
      </c>
      <c r="V489" t="s">
        <v>161</v>
      </c>
      <c r="W489" t="s">
        <v>106</v>
      </c>
      <c r="X489" t="s">
        <v>61</v>
      </c>
      <c r="Y489">
        <v>1</v>
      </c>
      <c r="Z489">
        <v>2</v>
      </c>
      <c r="AA489">
        <v>44.1</v>
      </c>
      <c r="AB489">
        <v>-1</v>
      </c>
      <c r="AC489" t="s">
        <v>103</v>
      </c>
      <c r="AD489">
        <v>1</v>
      </c>
      <c r="AE489">
        <v>4</v>
      </c>
      <c r="AF489">
        <v>1</v>
      </c>
      <c r="AG489">
        <v>0.78700000000000003</v>
      </c>
      <c r="AH489">
        <v>0.183</v>
      </c>
      <c r="AI489">
        <v>-1</v>
      </c>
    </row>
    <row r="490" spans="1:35" x14ac:dyDescent="0.25">
      <c r="A490">
        <v>259</v>
      </c>
      <c r="B490" t="s">
        <v>35</v>
      </c>
      <c r="C490">
        <v>3</v>
      </c>
      <c r="D490" t="s">
        <v>36</v>
      </c>
      <c r="E490">
        <v>3</v>
      </c>
      <c r="F490" t="s">
        <v>259</v>
      </c>
      <c r="G490">
        <v>3</v>
      </c>
      <c r="H490">
        <v>9</v>
      </c>
      <c r="I490">
        <v>1</v>
      </c>
      <c r="J490">
        <v>57</v>
      </c>
      <c r="K490">
        <v>57</v>
      </c>
      <c r="L490">
        <v>15</v>
      </c>
      <c r="M490">
        <v>1</v>
      </c>
      <c r="N490" t="s">
        <v>150</v>
      </c>
      <c r="O490" t="s">
        <v>151</v>
      </c>
      <c r="P490" t="s">
        <v>152</v>
      </c>
      <c r="Q490" t="s">
        <v>153</v>
      </c>
      <c r="R490" t="s">
        <v>154</v>
      </c>
      <c r="S490" t="s">
        <v>92</v>
      </c>
      <c r="T490" t="s">
        <v>155</v>
      </c>
      <c r="U490">
        <v>5</v>
      </c>
      <c r="V490" t="s">
        <v>141</v>
      </c>
      <c r="W490" t="s">
        <v>53</v>
      </c>
      <c r="X490" t="s">
        <v>74</v>
      </c>
      <c r="Y490">
        <v>2</v>
      </c>
      <c r="Z490">
        <v>2</v>
      </c>
      <c r="AA490">
        <v>44.1</v>
      </c>
      <c r="AB490">
        <v>0.41299999999999998</v>
      </c>
      <c r="AC490" t="s">
        <v>141</v>
      </c>
      <c r="AD490">
        <v>3</v>
      </c>
      <c r="AE490">
        <v>2</v>
      </c>
      <c r="AF490">
        <v>0</v>
      </c>
      <c r="AG490">
        <v>2.1720000000000002</v>
      </c>
      <c r="AH490">
        <v>0.35</v>
      </c>
      <c r="AI490">
        <v>0.41</v>
      </c>
    </row>
    <row r="491" spans="1:35" x14ac:dyDescent="0.25">
      <c r="A491">
        <v>259</v>
      </c>
      <c r="B491" t="s">
        <v>35</v>
      </c>
      <c r="C491">
        <v>3</v>
      </c>
      <c r="D491" t="s">
        <v>36</v>
      </c>
      <c r="E491">
        <v>3</v>
      </c>
      <c r="F491" t="s">
        <v>259</v>
      </c>
      <c r="G491">
        <v>3</v>
      </c>
      <c r="H491">
        <v>9</v>
      </c>
      <c r="I491">
        <v>1</v>
      </c>
      <c r="J491">
        <v>58</v>
      </c>
      <c r="K491">
        <v>69</v>
      </c>
      <c r="L491">
        <v>57</v>
      </c>
      <c r="M491">
        <v>2</v>
      </c>
      <c r="N491" t="s">
        <v>247</v>
      </c>
      <c r="O491" t="s">
        <v>151</v>
      </c>
      <c r="P491" t="s">
        <v>236</v>
      </c>
      <c r="Q491" t="s">
        <v>237</v>
      </c>
      <c r="R491" t="s">
        <v>174</v>
      </c>
      <c r="S491" t="s">
        <v>52</v>
      </c>
      <c r="T491" t="s">
        <v>75</v>
      </c>
      <c r="U491">
        <v>5</v>
      </c>
      <c r="V491" t="s">
        <v>99</v>
      </c>
      <c r="W491" t="s">
        <v>60</v>
      </c>
      <c r="X491" t="s">
        <v>46</v>
      </c>
      <c r="Y491">
        <v>2</v>
      </c>
      <c r="Z491">
        <v>2</v>
      </c>
      <c r="AA491">
        <v>44.1</v>
      </c>
      <c r="AB491">
        <v>0.38300000000000001</v>
      </c>
      <c r="AC491" t="s">
        <v>60</v>
      </c>
      <c r="AD491">
        <v>4</v>
      </c>
      <c r="AE491">
        <v>2</v>
      </c>
      <c r="AF491">
        <v>0</v>
      </c>
      <c r="AG491">
        <v>2.84</v>
      </c>
      <c r="AH491">
        <v>0.28299999999999997</v>
      </c>
      <c r="AI491">
        <v>0.38600000000000001</v>
      </c>
    </row>
    <row r="492" spans="1:35" x14ac:dyDescent="0.25">
      <c r="A492">
        <v>259</v>
      </c>
      <c r="B492" t="s">
        <v>35</v>
      </c>
      <c r="C492">
        <v>3</v>
      </c>
      <c r="D492" t="s">
        <v>36</v>
      </c>
      <c r="E492">
        <v>3</v>
      </c>
      <c r="F492" t="s">
        <v>259</v>
      </c>
      <c r="G492">
        <v>3</v>
      </c>
      <c r="H492">
        <v>9</v>
      </c>
      <c r="I492">
        <v>1</v>
      </c>
      <c r="J492">
        <v>59</v>
      </c>
      <c r="K492">
        <v>56</v>
      </c>
      <c r="L492">
        <v>52</v>
      </c>
      <c r="M492">
        <v>2</v>
      </c>
      <c r="N492" t="s">
        <v>188</v>
      </c>
      <c r="O492" t="s">
        <v>151</v>
      </c>
      <c r="P492" t="s">
        <v>177</v>
      </c>
      <c r="Q492" t="s">
        <v>178</v>
      </c>
      <c r="R492" t="s">
        <v>160</v>
      </c>
      <c r="S492" t="s">
        <v>43</v>
      </c>
      <c r="T492" t="s">
        <v>108</v>
      </c>
      <c r="U492">
        <v>5</v>
      </c>
      <c r="V492" t="s">
        <v>55</v>
      </c>
      <c r="W492" t="s">
        <v>56</v>
      </c>
      <c r="X492" t="s">
        <v>149</v>
      </c>
      <c r="Y492">
        <v>2</v>
      </c>
      <c r="Z492">
        <v>2</v>
      </c>
      <c r="AA492">
        <v>44.1</v>
      </c>
      <c r="AB492">
        <v>-1</v>
      </c>
      <c r="AC492" t="s">
        <v>108</v>
      </c>
      <c r="AD492">
        <v>1</v>
      </c>
      <c r="AE492">
        <v>5</v>
      </c>
      <c r="AF492">
        <v>1</v>
      </c>
      <c r="AG492">
        <v>0.57599999999999996</v>
      </c>
      <c r="AH492">
        <v>0.1</v>
      </c>
      <c r="AI492">
        <v>-1</v>
      </c>
    </row>
    <row r="493" spans="1:35" x14ac:dyDescent="0.25">
      <c r="A493">
        <v>259</v>
      </c>
      <c r="B493" t="s">
        <v>35</v>
      </c>
      <c r="C493">
        <v>3</v>
      </c>
      <c r="D493" t="s">
        <v>36</v>
      </c>
      <c r="E493">
        <v>3</v>
      </c>
      <c r="F493" t="s">
        <v>259</v>
      </c>
      <c r="G493">
        <v>3</v>
      </c>
      <c r="H493">
        <v>9</v>
      </c>
      <c r="I493">
        <v>1</v>
      </c>
      <c r="J493">
        <v>60</v>
      </c>
      <c r="K493">
        <v>68</v>
      </c>
      <c r="L493">
        <v>18</v>
      </c>
      <c r="M493">
        <v>1</v>
      </c>
      <c r="N493" t="s">
        <v>258</v>
      </c>
      <c r="O493" t="s">
        <v>151</v>
      </c>
      <c r="P493" t="s">
        <v>255</v>
      </c>
      <c r="Q493" t="s">
        <v>256</v>
      </c>
      <c r="R493" t="s">
        <v>160</v>
      </c>
      <c r="S493" t="s">
        <v>43</v>
      </c>
      <c r="T493" t="s">
        <v>110</v>
      </c>
      <c r="U493">
        <v>2</v>
      </c>
      <c r="V493" t="s">
        <v>47</v>
      </c>
      <c r="W493" t="s">
        <v>179</v>
      </c>
      <c r="X493" t="s">
        <v>93</v>
      </c>
      <c r="Y493">
        <v>1</v>
      </c>
      <c r="Z493">
        <v>2</v>
      </c>
      <c r="AA493">
        <v>44.1</v>
      </c>
      <c r="AB493">
        <v>0.313</v>
      </c>
      <c r="AC493" t="s">
        <v>47</v>
      </c>
      <c r="AD493">
        <v>2</v>
      </c>
      <c r="AE493">
        <v>1</v>
      </c>
      <c r="AF493">
        <v>0</v>
      </c>
      <c r="AG493">
        <v>0.879</v>
      </c>
      <c r="AH493">
        <v>2.5840000000000001</v>
      </c>
      <c r="AI493">
        <v>0.311</v>
      </c>
    </row>
    <row r="494" spans="1:35" x14ac:dyDescent="0.25">
      <c r="A494">
        <v>259</v>
      </c>
      <c r="B494" t="s">
        <v>35</v>
      </c>
      <c r="C494">
        <v>3</v>
      </c>
      <c r="D494" t="s">
        <v>36</v>
      </c>
      <c r="E494">
        <v>3</v>
      </c>
      <c r="F494" t="s">
        <v>259</v>
      </c>
      <c r="G494">
        <v>3</v>
      </c>
      <c r="H494">
        <v>9</v>
      </c>
      <c r="I494">
        <v>1</v>
      </c>
      <c r="J494">
        <v>61</v>
      </c>
      <c r="K494">
        <v>53</v>
      </c>
      <c r="L494">
        <v>49</v>
      </c>
      <c r="M494">
        <v>2</v>
      </c>
      <c r="N494" t="s">
        <v>180</v>
      </c>
      <c r="O494" t="s">
        <v>151</v>
      </c>
      <c r="P494" t="s">
        <v>181</v>
      </c>
      <c r="Q494" t="s">
        <v>182</v>
      </c>
      <c r="R494" t="s">
        <v>154</v>
      </c>
      <c r="S494" t="s">
        <v>92</v>
      </c>
      <c r="T494" t="s">
        <v>183</v>
      </c>
      <c r="U494">
        <v>2</v>
      </c>
      <c r="V494" t="s">
        <v>86</v>
      </c>
      <c r="W494" t="s">
        <v>128</v>
      </c>
      <c r="X494" t="s">
        <v>144</v>
      </c>
      <c r="Y494">
        <v>2</v>
      </c>
      <c r="Z494">
        <v>2</v>
      </c>
      <c r="AA494">
        <v>44.1</v>
      </c>
      <c r="AB494">
        <v>-1</v>
      </c>
      <c r="AC494" t="s">
        <v>144</v>
      </c>
      <c r="AD494">
        <v>4</v>
      </c>
      <c r="AE494">
        <v>5</v>
      </c>
      <c r="AF494">
        <v>0</v>
      </c>
      <c r="AG494">
        <v>1.6859999999999999</v>
      </c>
      <c r="AH494">
        <v>0.316</v>
      </c>
      <c r="AI494">
        <v>-1</v>
      </c>
    </row>
    <row r="495" spans="1:35" x14ac:dyDescent="0.25">
      <c r="A495">
        <v>259</v>
      </c>
      <c r="B495" t="s">
        <v>35</v>
      </c>
      <c r="C495">
        <v>3</v>
      </c>
      <c r="D495" t="s">
        <v>36</v>
      </c>
      <c r="E495">
        <v>3</v>
      </c>
      <c r="F495" t="s">
        <v>259</v>
      </c>
      <c r="G495">
        <v>3</v>
      </c>
      <c r="H495">
        <v>9</v>
      </c>
      <c r="I495">
        <v>1</v>
      </c>
      <c r="J495">
        <v>62</v>
      </c>
      <c r="K495">
        <v>61</v>
      </c>
      <c r="L495">
        <v>23</v>
      </c>
      <c r="M495">
        <v>1</v>
      </c>
      <c r="N495" t="s">
        <v>244</v>
      </c>
      <c r="O495" t="s">
        <v>151</v>
      </c>
      <c r="P495" t="s">
        <v>245</v>
      </c>
      <c r="Q495" t="s">
        <v>246</v>
      </c>
      <c r="R495" t="s">
        <v>154</v>
      </c>
      <c r="S495" t="s">
        <v>92</v>
      </c>
      <c r="T495" t="s">
        <v>62</v>
      </c>
      <c r="U495">
        <v>4</v>
      </c>
      <c r="V495" t="s">
        <v>68</v>
      </c>
      <c r="W495" t="s">
        <v>66</v>
      </c>
      <c r="X495" t="s">
        <v>81</v>
      </c>
      <c r="Y495">
        <v>2</v>
      </c>
      <c r="Z495">
        <v>2</v>
      </c>
      <c r="AA495">
        <v>44.1</v>
      </c>
      <c r="AB495">
        <v>0.24299999999999999</v>
      </c>
      <c r="AC495" t="s">
        <v>81</v>
      </c>
      <c r="AD495">
        <v>4</v>
      </c>
      <c r="AE495">
        <v>2</v>
      </c>
      <c r="AF495">
        <v>0</v>
      </c>
      <c r="AG495">
        <v>2.0209999999999999</v>
      </c>
      <c r="AH495">
        <v>0.1</v>
      </c>
      <c r="AI495">
        <v>0.246</v>
      </c>
    </row>
    <row r="496" spans="1:35" x14ac:dyDescent="0.25">
      <c r="A496">
        <v>259</v>
      </c>
      <c r="B496" t="s">
        <v>35</v>
      </c>
      <c r="C496">
        <v>3</v>
      </c>
      <c r="D496" t="s">
        <v>36</v>
      </c>
      <c r="E496">
        <v>3</v>
      </c>
      <c r="F496" t="s">
        <v>259</v>
      </c>
      <c r="G496">
        <v>3</v>
      </c>
      <c r="H496">
        <v>9</v>
      </c>
      <c r="I496">
        <v>1</v>
      </c>
      <c r="J496">
        <v>63</v>
      </c>
      <c r="K496">
        <v>59</v>
      </c>
      <c r="L496">
        <v>55</v>
      </c>
      <c r="M496">
        <v>2</v>
      </c>
      <c r="N496" t="s">
        <v>163</v>
      </c>
      <c r="O496" t="s">
        <v>151</v>
      </c>
      <c r="P496" t="s">
        <v>164</v>
      </c>
      <c r="Q496" t="s">
        <v>165</v>
      </c>
      <c r="R496" t="s">
        <v>154</v>
      </c>
      <c r="S496" t="s">
        <v>92</v>
      </c>
      <c r="T496" t="s">
        <v>86</v>
      </c>
      <c r="U496">
        <v>2</v>
      </c>
      <c r="V496" t="s">
        <v>166</v>
      </c>
      <c r="W496" t="s">
        <v>100</v>
      </c>
      <c r="X496" t="s">
        <v>131</v>
      </c>
      <c r="Y496">
        <v>1</v>
      </c>
      <c r="Z496">
        <v>2</v>
      </c>
      <c r="AA496">
        <v>44.1</v>
      </c>
      <c r="AB496">
        <v>0.47499999999999998</v>
      </c>
      <c r="AC496" t="s">
        <v>86</v>
      </c>
      <c r="AD496">
        <v>1</v>
      </c>
      <c r="AE496">
        <v>2</v>
      </c>
      <c r="AF496">
        <v>1</v>
      </c>
      <c r="AG496">
        <v>2.5750000000000002</v>
      </c>
      <c r="AH496">
        <v>0.46700000000000003</v>
      </c>
      <c r="AI496">
        <v>0.47099999999999997</v>
      </c>
    </row>
    <row r="497" spans="1:35" x14ac:dyDescent="0.25">
      <c r="A497">
        <v>259</v>
      </c>
      <c r="B497" t="s">
        <v>35</v>
      </c>
      <c r="C497">
        <v>3</v>
      </c>
      <c r="D497" t="s">
        <v>36</v>
      </c>
      <c r="E497">
        <v>3</v>
      </c>
      <c r="F497" t="s">
        <v>259</v>
      </c>
      <c r="G497">
        <v>3</v>
      </c>
      <c r="H497">
        <v>9</v>
      </c>
      <c r="I497">
        <v>1</v>
      </c>
      <c r="J497">
        <v>64</v>
      </c>
      <c r="K497">
        <v>66</v>
      </c>
      <c r="L497">
        <v>54</v>
      </c>
      <c r="M497">
        <v>2</v>
      </c>
      <c r="N497" t="s">
        <v>248</v>
      </c>
      <c r="O497" t="s">
        <v>151</v>
      </c>
      <c r="P497" t="s">
        <v>249</v>
      </c>
      <c r="Q497" t="s">
        <v>250</v>
      </c>
      <c r="R497" t="s">
        <v>154</v>
      </c>
      <c r="S497" t="s">
        <v>92</v>
      </c>
      <c r="T497" t="s">
        <v>68</v>
      </c>
      <c r="U497">
        <v>2</v>
      </c>
      <c r="V497" t="s">
        <v>204</v>
      </c>
      <c r="W497" t="s">
        <v>104</v>
      </c>
      <c r="X497" t="s">
        <v>44</v>
      </c>
      <c r="Y497">
        <v>1</v>
      </c>
      <c r="Z497">
        <v>2</v>
      </c>
      <c r="AA497">
        <v>44.1</v>
      </c>
      <c r="AB497">
        <v>-1</v>
      </c>
      <c r="AC497" t="s">
        <v>44</v>
      </c>
      <c r="AD497">
        <v>4</v>
      </c>
      <c r="AE497">
        <v>5</v>
      </c>
      <c r="AF497">
        <v>0</v>
      </c>
      <c r="AG497">
        <v>3.157</v>
      </c>
      <c r="AH497">
        <v>0.249</v>
      </c>
      <c r="AI497">
        <v>-1</v>
      </c>
    </row>
    <row r="498" spans="1:35" x14ac:dyDescent="0.25">
      <c r="A498">
        <v>259</v>
      </c>
      <c r="B498" t="s">
        <v>35</v>
      </c>
      <c r="C498">
        <v>3</v>
      </c>
      <c r="D498" t="s">
        <v>36</v>
      </c>
      <c r="E498">
        <v>3</v>
      </c>
      <c r="F498" t="s">
        <v>259</v>
      </c>
      <c r="G498">
        <v>3</v>
      </c>
      <c r="H498">
        <v>9</v>
      </c>
      <c r="I498">
        <v>1</v>
      </c>
      <c r="J498">
        <v>65</v>
      </c>
      <c r="K498">
        <v>52</v>
      </c>
      <c r="L498">
        <v>14</v>
      </c>
      <c r="M498">
        <v>1</v>
      </c>
      <c r="N498" t="s">
        <v>184</v>
      </c>
      <c r="O498" t="s">
        <v>151</v>
      </c>
      <c r="P498" t="s">
        <v>168</v>
      </c>
      <c r="Q498" t="s">
        <v>169</v>
      </c>
      <c r="R498" t="s">
        <v>154</v>
      </c>
      <c r="S498" t="s">
        <v>92</v>
      </c>
      <c r="T498" t="s">
        <v>141</v>
      </c>
      <c r="U498">
        <v>1</v>
      </c>
      <c r="V498" t="s">
        <v>96</v>
      </c>
      <c r="W498" t="s">
        <v>102</v>
      </c>
      <c r="X498" t="s">
        <v>107</v>
      </c>
      <c r="Y498">
        <v>1</v>
      </c>
      <c r="Z498">
        <v>2</v>
      </c>
      <c r="AA498">
        <v>44.1</v>
      </c>
      <c r="AB498">
        <v>-1</v>
      </c>
      <c r="AC498" t="s">
        <v>107</v>
      </c>
      <c r="AD498">
        <v>4</v>
      </c>
      <c r="AE498">
        <v>5</v>
      </c>
      <c r="AF498">
        <v>0</v>
      </c>
      <c r="AG498">
        <v>1.052</v>
      </c>
      <c r="AH498">
        <v>0.33300000000000002</v>
      </c>
      <c r="AI498">
        <v>-1</v>
      </c>
    </row>
    <row r="499" spans="1:35" x14ac:dyDescent="0.25">
      <c r="A499">
        <v>259</v>
      </c>
      <c r="B499" t="s">
        <v>35</v>
      </c>
      <c r="C499">
        <v>3</v>
      </c>
      <c r="D499" t="s">
        <v>36</v>
      </c>
      <c r="E499">
        <v>3</v>
      </c>
      <c r="F499" t="s">
        <v>259</v>
      </c>
      <c r="G499">
        <v>3</v>
      </c>
      <c r="H499">
        <v>9</v>
      </c>
      <c r="I499">
        <v>1</v>
      </c>
      <c r="J499">
        <v>66</v>
      </c>
      <c r="K499">
        <v>62</v>
      </c>
      <c r="L499">
        <v>24</v>
      </c>
      <c r="M499">
        <v>1</v>
      </c>
      <c r="N499" t="s">
        <v>251</v>
      </c>
      <c r="O499" t="s">
        <v>151</v>
      </c>
      <c r="P499" t="s">
        <v>245</v>
      </c>
      <c r="Q499" t="s">
        <v>246</v>
      </c>
      <c r="R499" t="s">
        <v>160</v>
      </c>
      <c r="S499" t="s">
        <v>43</v>
      </c>
      <c r="T499" t="s">
        <v>121</v>
      </c>
      <c r="U499">
        <v>4</v>
      </c>
      <c r="V499" t="s">
        <v>62</v>
      </c>
      <c r="W499" t="s">
        <v>87</v>
      </c>
      <c r="X499" t="s">
        <v>73</v>
      </c>
      <c r="Y499">
        <v>1</v>
      </c>
      <c r="Z499">
        <v>2</v>
      </c>
      <c r="AA499">
        <v>44.1</v>
      </c>
      <c r="AB499">
        <v>0.26400000000000001</v>
      </c>
      <c r="AC499" t="s">
        <v>87</v>
      </c>
      <c r="AD499">
        <v>4</v>
      </c>
      <c r="AE499">
        <v>1</v>
      </c>
      <c r="AF499">
        <v>0</v>
      </c>
      <c r="AG499">
        <v>2.585</v>
      </c>
      <c r="AH499">
        <v>2.9000000000000001E-2</v>
      </c>
      <c r="AI499">
        <v>0.26200000000000001</v>
      </c>
    </row>
    <row r="500" spans="1:35" x14ac:dyDescent="0.25">
      <c r="A500">
        <v>259</v>
      </c>
      <c r="B500" t="s">
        <v>35</v>
      </c>
      <c r="C500">
        <v>3</v>
      </c>
      <c r="D500" t="s">
        <v>36</v>
      </c>
      <c r="E500">
        <v>3</v>
      </c>
      <c r="F500" t="s">
        <v>259</v>
      </c>
      <c r="G500">
        <v>3</v>
      </c>
      <c r="H500">
        <v>9</v>
      </c>
      <c r="I500">
        <v>1</v>
      </c>
      <c r="J500">
        <v>67</v>
      </c>
      <c r="K500">
        <v>50</v>
      </c>
      <c r="L500">
        <v>60</v>
      </c>
      <c r="M500">
        <v>2</v>
      </c>
      <c r="N500" t="s">
        <v>157</v>
      </c>
      <c r="O500" t="s">
        <v>151</v>
      </c>
      <c r="P500" t="s">
        <v>158</v>
      </c>
      <c r="Q500" t="s">
        <v>159</v>
      </c>
      <c r="R500" t="s">
        <v>160</v>
      </c>
      <c r="S500" t="s">
        <v>43</v>
      </c>
      <c r="T500" t="s">
        <v>161</v>
      </c>
      <c r="U500">
        <v>5</v>
      </c>
      <c r="V500" t="s">
        <v>121</v>
      </c>
      <c r="W500" t="s">
        <v>98</v>
      </c>
      <c r="X500" t="s">
        <v>130</v>
      </c>
      <c r="Y500">
        <v>2</v>
      </c>
      <c r="Z500">
        <v>2</v>
      </c>
      <c r="AA500">
        <v>44.1</v>
      </c>
      <c r="AB500">
        <v>-1</v>
      </c>
      <c r="AC500" t="s">
        <v>161</v>
      </c>
      <c r="AD500">
        <v>1</v>
      </c>
      <c r="AE500">
        <v>5</v>
      </c>
      <c r="AF500">
        <v>1</v>
      </c>
      <c r="AG500">
        <v>0.999</v>
      </c>
      <c r="AH500">
        <v>0.23300000000000001</v>
      </c>
      <c r="AI500">
        <v>-1</v>
      </c>
    </row>
    <row r="501" spans="1:35" x14ac:dyDescent="0.25">
      <c r="A501">
        <v>259</v>
      </c>
      <c r="B501" t="s">
        <v>35</v>
      </c>
      <c r="C501">
        <v>3</v>
      </c>
      <c r="D501" t="s">
        <v>36</v>
      </c>
      <c r="E501">
        <v>3</v>
      </c>
      <c r="F501" t="s">
        <v>259</v>
      </c>
      <c r="G501">
        <v>3</v>
      </c>
      <c r="H501">
        <v>9</v>
      </c>
      <c r="I501">
        <v>1</v>
      </c>
      <c r="J501">
        <v>68</v>
      </c>
      <c r="K501">
        <v>63</v>
      </c>
      <c r="L501">
        <v>19</v>
      </c>
      <c r="M501">
        <v>1</v>
      </c>
      <c r="N501" t="s">
        <v>253</v>
      </c>
      <c r="O501" t="s">
        <v>151</v>
      </c>
      <c r="P501" t="s">
        <v>239</v>
      </c>
      <c r="Q501" t="s">
        <v>240</v>
      </c>
      <c r="R501" t="s">
        <v>170</v>
      </c>
      <c r="S501" t="s">
        <v>59</v>
      </c>
      <c r="T501" t="s">
        <v>211</v>
      </c>
      <c r="U501">
        <v>2</v>
      </c>
      <c r="V501" t="s">
        <v>82</v>
      </c>
      <c r="W501" t="s">
        <v>214</v>
      </c>
      <c r="X501" t="s">
        <v>54</v>
      </c>
      <c r="Y501">
        <v>1</v>
      </c>
      <c r="Z501">
        <v>2</v>
      </c>
      <c r="AA501">
        <v>44.1</v>
      </c>
      <c r="AB501">
        <v>-1</v>
      </c>
      <c r="AC501" t="s">
        <v>82</v>
      </c>
      <c r="AD501">
        <v>2</v>
      </c>
      <c r="AE501">
        <v>5</v>
      </c>
      <c r="AF501">
        <v>0</v>
      </c>
      <c r="AG501">
        <v>1.206</v>
      </c>
      <c r="AH501">
        <v>0.3</v>
      </c>
      <c r="AI501">
        <v>-1</v>
      </c>
    </row>
    <row r="502" spans="1:35" x14ac:dyDescent="0.25">
      <c r="A502">
        <v>259</v>
      </c>
      <c r="B502" t="s">
        <v>35</v>
      </c>
      <c r="C502">
        <v>3</v>
      </c>
      <c r="D502" t="s">
        <v>36</v>
      </c>
      <c r="E502">
        <v>3</v>
      </c>
      <c r="F502" t="s">
        <v>259</v>
      </c>
      <c r="G502">
        <v>3</v>
      </c>
      <c r="H502">
        <v>9</v>
      </c>
      <c r="I502">
        <v>1</v>
      </c>
      <c r="J502">
        <v>69</v>
      </c>
      <c r="K502">
        <v>54</v>
      </c>
      <c r="L502">
        <v>50</v>
      </c>
      <c r="M502">
        <v>2</v>
      </c>
      <c r="N502" t="s">
        <v>186</v>
      </c>
      <c r="O502" t="s">
        <v>151</v>
      </c>
      <c r="P502" t="s">
        <v>181</v>
      </c>
      <c r="Q502" t="s">
        <v>182</v>
      </c>
      <c r="R502" t="s">
        <v>174</v>
      </c>
      <c r="S502" t="s">
        <v>52</v>
      </c>
      <c r="T502" t="s">
        <v>187</v>
      </c>
      <c r="U502">
        <v>1</v>
      </c>
      <c r="V502" t="s">
        <v>183</v>
      </c>
      <c r="W502" t="s">
        <v>124</v>
      </c>
      <c r="X502" t="s">
        <v>138</v>
      </c>
      <c r="Y502">
        <v>1</v>
      </c>
      <c r="Z502">
        <v>2</v>
      </c>
      <c r="AA502">
        <v>44.1</v>
      </c>
      <c r="AB502">
        <v>-1</v>
      </c>
      <c r="AC502" t="s">
        <v>187</v>
      </c>
      <c r="AD502">
        <v>1</v>
      </c>
      <c r="AE502">
        <v>1</v>
      </c>
      <c r="AF502">
        <v>1</v>
      </c>
      <c r="AG502">
        <v>2.3130000000000002</v>
      </c>
      <c r="AH502">
        <v>0.68300000000000005</v>
      </c>
      <c r="AI502">
        <v>-1</v>
      </c>
    </row>
    <row r="503" spans="1:35" x14ac:dyDescent="0.25">
      <c r="A503">
        <v>259</v>
      </c>
      <c r="B503" t="s">
        <v>35</v>
      </c>
      <c r="C503">
        <v>3</v>
      </c>
      <c r="D503" t="s">
        <v>36</v>
      </c>
      <c r="E503">
        <v>3</v>
      </c>
      <c r="F503" t="s">
        <v>259</v>
      </c>
      <c r="G503">
        <v>3</v>
      </c>
      <c r="H503">
        <v>9</v>
      </c>
      <c r="I503">
        <v>1</v>
      </c>
      <c r="J503">
        <v>70</v>
      </c>
      <c r="K503">
        <v>58</v>
      </c>
      <c r="L503">
        <v>16</v>
      </c>
      <c r="M503">
        <v>1</v>
      </c>
      <c r="N503" t="s">
        <v>173</v>
      </c>
      <c r="O503" t="s">
        <v>151</v>
      </c>
      <c r="P503" t="s">
        <v>152</v>
      </c>
      <c r="Q503" t="s">
        <v>153</v>
      </c>
      <c r="R503" t="s">
        <v>174</v>
      </c>
      <c r="S503" t="s">
        <v>52</v>
      </c>
      <c r="T503" t="s">
        <v>99</v>
      </c>
      <c r="U503">
        <v>2</v>
      </c>
      <c r="V503" t="s">
        <v>155</v>
      </c>
      <c r="W503" t="s">
        <v>147</v>
      </c>
      <c r="X503" t="s">
        <v>162</v>
      </c>
      <c r="Y503">
        <v>1</v>
      </c>
      <c r="Z503">
        <v>2</v>
      </c>
      <c r="AA503">
        <v>44.1</v>
      </c>
      <c r="AB503">
        <v>-1</v>
      </c>
      <c r="AC503" t="s">
        <v>147</v>
      </c>
      <c r="AD503">
        <v>4</v>
      </c>
      <c r="AE503">
        <v>1</v>
      </c>
      <c r="AF503">
        <v>0</v>
      </c>
      <c r="AG503">
        <v>2.62</v>
      </c>
      <c r="AH503">
        <v>0.33300000000000002</v>
      </c>
      <c r="AI503">
        <v>-1</v>
      </c>
    </row>
    <row r="504" spans="1:35" x14ac:dyDescent="0.25">
      <c r="A504">
        <v>259</v>
      </c>
      <c r="B504" t="s">
        <v>35</v>
      </c>
      <c r="C504">
        <v>3</v>
      </c>
      <c r="D504" t="s">
        <v>36</v>
      </c>
      <c r="E504">
        <v>3</v>
      </c>
      <c r="F504" t="s">
        <v>259</v>
      </c>
      <c r="G504">
        <v>3</v>
      </c>
      <c r="H504">
        <v>9</v>
      </c>
      <c r="I504">
        <v>1</v>
      </c>
      <c r="J504">
        <v>71</v>
      </c>
      <c r="K504">
        <v>51</v>
      </c>
      <c r="L504">
        <v>13</v>
      </c>
      <c r="M504">
        <v>1</v>
      </c>
      <c r="N504" t="s">
        <v>167</v>
      </c>
      <c r="O504" t="s">
        <v>151</v>
      </c>
      <c r="P504" t="s">
        <v>168</v>
      </c>
      <c r="Q504" t="s">
        <v>169</v>
      </c>
      <c r="R504" t="s">
        <v>170</v>
      </c>
      <c r="S504" t="s">
        <v>59</v>
      </c>
      <c r="T504" t="s">
        <v>96</v>
      </c>
      <c r="U504">
        <v>4</v>
      </c>
      <c r="V504" t="s">
        <v>103</v>
      </c>
      <c r="W504" t="s">
        <v>111</v>
      </c>
      <c r="X504" t="s">
        <v>67</v>
      </c>
      <c r="Y504">
        <v>2</v>
      </c>
      <c r="Z504">
        <v>2</v>
      </c>
      <c r="AA504">
        <v>44.1</v>
      </c>
      <c r="AB504">
        <v>0.14299999999999999</v>
      </c>
      <c r="AC504" t="s">
        <v>111</v>
      </c>
      <c r="AD504">
        <v>4</v>
      </c>
      <c r="AE504">
        <v>1</v>
      </c>
      <c r="AF504">
        <v>0</v>
      </c>
      <c r="AG504">
        <v>2.125</v>
      </c>
      <c r="AH504">
        <v>0.33300000000000002</v>
      </c>
      <c r="AI504">
        <v>0.14299999999999999</v>
      </c>
    </row>
    <row r="505" spans="1:35" x14ac:dyDescent="0.25">
      <c r="A505">
        <v>259</v>
      </c>
      <c r="B505" t="s">
        <v>35</v>
      </c>
      <c r="C505">
        <v>3</v>
      </c>
      <c r="D505" t="s">
        <v>36</v>
      </c>
      <c r="E505">
        <v>3</v>
      </c>
      <c r="F505" t="s">
        <v>259</v>
      </c>
      <c r="G505">
        <v>3</v>
      </c>
      <c r="H505">
        <v>9</v>
      </c>
      <c r="I505">
        <v>1</v>
      </c>
      <c r="J505">
        <v>72</v>
      </c>
      <c r="K505">
        <v>71</v>
      </c>
      <c r="L505">
        <v>21</v>
      </c>
      <c r="M505">
        <v>1</v>
      </c>
      <c r="N505" t="s">
        <v>252</v>
      </c>
      <c r="O505" t="s">
        <v>151</v>
      </c>
      <c r="P505" t="s">
        <v>242</v>
      </c>
      <c r="Q505" t="s">
        <v>243</v>
      </c>
      <c r="R505" t="s">
        <v>170</v>
      </c>
      <c r="S505" t="s">
        <v>59</v>
      </c>
      <c r="T505" t="s">
        <v>146</v>
      </c>
      <c r="U505">
        <v>4</v>
      </c>
      <c r="V505" t="s">
        <v>139</v>
      </c>
      <c r="W505" t="s">
        <v>79</v>
      </c>
      <c r="X505" t="s">
        <v>209</v>
      </c>
      <c r="Y505">
        <v>2</v>
      </c>
      <c r="Z505">
        <v>2</v>
      </c>
      <c r="AA505">
        <v>44.1</v>
      </c>
      <c r="AB505">
        <v>-1</v>
      </c>
      <c r="AC505" t="s">
        <v>209</v>
      </c>
      <c r="AD505">
        <v>4</v>
      </c>
      <c r="AE505">
        <v>2</v>
      </c>
      <c r="AF505">
        <v>0</v>
      </c>
      <c r="AG505">
        <v>2.1509999999999998</v>
      </c>
      <c r="AH505">
        <v>0.38300000000000001</v>
      </c>
      <c r="AI505">
        <v>-1</v>
      </c>
    </row>
    <row r="506" spans="1:35" x14ac:dyDescent="0.25">
      <c r="A506">
        <v>259</v>
      </c>
      <c r="B506" t="s">
        <v>35</v>
      </c>
      <c r="C506">
        <v>3</v>
      </c>
      <c r="D506" t="s">
        <v>36</v>
      </c>
      <c r="E506">
        <v>3</v>
      </c>
      <c r="F506" t="s">
        <v>259</v>
      </c>
      <c r="G506">
        <v>3</v>
      </c>
      <c r="H506">
        <v>9</v>
      </c>
      <c r="I506">
        <v>2</v>
      </c>
      <c r="J506">
        <v>1</v>
      </c>
      <c r="K506">
        <v>10</v>
      </c>
      <c r="L506">
        <v>4</v>
      </c>
      <c r="M506">
        <v>1</v>
      </c>
      <c r="N506" t="s">
        <v>101</v>
      </c>
      <c r="O506" t="s">
        <v>39</v>
      </c>
      <c r="P506" t="s">
        <v>89</v>
      </c>
      <c r="Q506" t="s">
        <v>90</v>
      </c>
      <c r="R506" t="s">
        <v>51</v>
      </c>
      <c r="S506" t="s">
        <v>52</v>
      </c>
      <c r="T506" t="s">
        <v>102</v>
      </c>
      <c r="U506">
        <v>4</v>
      </c>
      <c r="V506" t="s">
        <v>144</v>
      </c>
      <c r="W506" t="s">
        <v>68</v>
      </c>
      <c r="X506" t="s">
        <v>179</v>
      </c>
      <c r="Y506">
        <v>2</v>
      </c>
      <c r="Z506">
        <v>4</v>
      </c>
      <c r="AA506">
        <v>44.1</v>
      </c>
      <c r="AB506">
        <v>-1</v>
      </c>
      <c r="AC506" t="s">
        <v>102</v>
      </c>
      <c r="AD506">
        <v>1</v>
      </c>
      <c r="AE506">
        <v>4</v>
      </c>
      <c r="AF506">
        <v>1</v>
      </c>
      <c r="AG506">
        <v>2.0529999999999999</v>
      </c>
      <c r="AH506">
        <v>3.0219999999999998</v>
      </c>
      <c r="AI506">
        <v>-1</v>
      </c>
    </row>
    <row r="507" spans="1:35" x14ac:dyDescent="0.25">
      <c r="A507">
        <v>259</v>
      </c>
      <c r="B507" t="s">
        <v>35</v>
      </c>
      <c r="C507">
        <v>3</v>
      </c>
      <c r="D507" t="s">
        <v>36</v>
      </c>
      <c r="E507">
        <v>3</v>
      </c>
      <c r="F507" t="s">
        <v>259</v>
      </c>
      <c r="G507">
        <v>3</v>
      </c>
      <c r="H507">
        <v>9</v>
      </c>
      <c r="I507">
        <v>2</v>
      </c>
      <c r="J507">
        <v>2</v>
      </c>
      <c r="K507">
        <v>8</v>
      </c>
      <c r="L507">
        <v>40</v>
      </c>
      <c r="M507">
        <v>2</v>
      </c>
      <c r="N507" t="s">
        <v>84</v>
      </c>
      <c r="O507" t="s">
        <v>39</v>
      </c>
      <c r="P507" t="s">
        <v>64</v>
      </c>
      <c r="Q507" t="s">
        <v>65</v>
      </c>
      <c r="R507" t="s">
        <v>42</v>
      </c>
      <c r="S507" t="s">
        <v>43</v>
      </c>
      <c r="T507" t="s">
        <v>67</v>
      </c>
      <c r="U507">
        <v>1</v>
      </c>
      <c r="V507" t="s">
        <v>66</v>
      </c>
      <c r="W507" t="s">
        <v>99</v>
      </c>
      <c r="X507" t="s">
        <v>137</v>
      </c>
      <c r="Y507">
        <v>1</v>
      </c>
      <c r="Z507">
        <v>4</v>
      </c>
      <c r="AA507">
        <v>44.1</v>
      </c>
      <c r="AB507">
        <v>0.17299999999999999</v>
      </c>
      <c r="AC507" t="s">
        <v>137</v>
      </c>
      <c r="AD507">
        <v>4</v>
      </c>
      <c r="AE507">
        <v>2</v>
      </c>
      <c r="AF507">
        <v>0</v>
      </c>
      <c r="AG507">
        <v>2.431</v>
      </c>
      <c r="AH507">
        <v>0.23300000000000001</v>
      </c>
      <c r="AI507">
        <v>0.17100000000000001</v>
      </c>
    </row>
    <row r="508" spans="1:35" x14ac:dyDescent="0.25">
      <c r="A508">
        <v>259</v>
      </c>
      <c r="B508" t="s">
        <v>35</v>
      </c>
      <c r="C508">
        <v>3</v>
      </c>
      <c r="D508" t="s">
        <v>36</v>
      </c>
      <c r="E508">
        <v>3</v>
      </c>
      <c r="F508" t="s">
        <v>259</v>
      </c>
      <c r="G508">
        <v>3</v>
      </c>
      <c r="H508">
        <v>9</v>
      </c>
      <c r="I508">
        <v>2</v>
      </c>
      <c r="J508">
        <v>3</v>
      </c>
      <c r="K508">
        <v>11</v>
      </c>
      <c r="L508">
        <v>43</v>
      </c>
      <c r="M508">
        <v>2</v>
      </c>
      <c r="N508" t="s">
        <v>105</v>
      </c>
      <c r="O508" t="s">
        <v>39</v>
      </c>
      <c r="P508" t="s">
        <v>77</v>
      </c>
      <c r="Q508" t="s">
        <v>78</v>
      </c>
      <c r="R508" t="s">
        <v>91</v>
      </c>
      <c r="S508" t="s">
        <v>92</v>
      </c>
      <c r="T508" t="s">
        <v>80</v>
      </c>
      <c r="U508">
        <v>4</v>
      </c>
      <c r="V508" t="s">
        <v>79</v>
      </c>
      <c r="W508" t="s">
        <v>116</v>
      </c>
      <c r="X508" t="s">
        <v>108</v>
      </c>
      <c r="Y508">
        <v>1</v>
      </c>
      <c r="Z508">
        <v>4</v>
      </c>
      <c r="AA508">
        <v>44.1</v>
      </c>
      <c r="AB508">
        <v>0.113</v>
      </c>
      <c r="AC508" t="s">
        <v>80</v>
      </c>
      <c r="AD508">
        <v>1</v>
      </c>
      <c r="AE508">
        <v>4</v>
      </c>
      <c r="AF508">
        <v>1</v>
      </c>
      <c r="AG508">
        <v>1.851</v>
      </c>
      <c r="AH508">
        <v>1.6E-2</v>
      </c>
      <c r="AI508">
        <v>0.11</v>
      </c>
    </row>
    <row r="509" spans="1:35" x14ac:dyDescent="0.25">
      <c r="A509">
        <v>259</v>
      </c>
      <c r="B509" t="s">
        <v>35</v>
      </c>
      <c r="C509">
        <v>3</v>
      </c>
      <c r="D509" t="s">
        <v>36</v>
      </c>
      <c r="E509">
        <v>3</v>
      </c>
      <c r="F509" t="s">
        <v>259</v>
      </c>
      <c r="G509">
        <v>3</v>
      </c>
      <c r="H509">
        <v>9</v>
      </c>
      <c r="I509">
        <v>2</v>
      </c>
      <c r="J509">
        <v>4</v>
      </c>
      <c r="K509">
        <v>3</v>
      </c>
      <c r="L509">
        <v>1</v>
      </c>
      <c r="M509">
        <v>1</v>
      </c>
      <c r="N509" t="s">
        <v>70</v>
      </c>
      <c r="O509" t="s">
        <v>39</v>
      </c>
      <c r="P509" t="s">
        <v>71</v>
      </c>
      <c r="Q509" t="s">
        <v>72</v>
      </c>
      <c r="R509" t="s">
        <v>58</v>
      </c>
      <c r="S509" t="s">
        <v>59</v>
      </c>
      <c r="T509" t="s">
        <v>73</v>
      </c>
      <c r="U509">
        <v>2</v>
      </c>
      <c r="V509" t="s">
        <v>94</v>
      </c>
      <c r="W509" t="s">
        <v>81</v>
      </c>
      <c r="X509" t="s">
        <v>166</v>
      </c>
      <c r="Y509">
        <v>1</v>
      </c>
      <c r="Z509">
        <v>4</v>
      </c>
      <c r="AA509">
        <v>44.1</v>
      </c>
      <c r="AB509">
        <v>-1</v>
      </c>
      <c r="AC509" t="s">
        <v>94</v>
      </c>
      <c r="AD509">
        <v>2</v>
      </c>
      <c r="AE509">
        <v>1</v>
      </c>
      <c r="AF509">
        <v>0</v>
      </c>
      <c r="AG509">
        <v>2.0579999999999998</v>
      </c>
      <c r="AH509">
        <v>0.28299999999999997</v>
      </c>
      <c r="AI509">
        <v>-1</v>
      </c>
    </row>
    <row r="510" spans="1:35" x14ac:dyDescent="0.25">
      <c r="A510">
        <v>259</v>
      </c>
      <c r="B510" t="s">
        <v>35</v>
      </c>
      <c r="C510">
        <v>3</v>
      </c>
      <c r="D510" t="s">
        <v>36</v>
      </c>
      <c r="E510">
        <v>3</v>
      </c>
      <c r="F510" t="s">
        <v>259</v>
      </c>
      <c r="G510">
        <v>3</v>
      </c>
      <c r="H510">
        <v>9</v>
      </c>
      <c r="I510">
        <v>2</v>
      </c>
      <c r="J510">
        <v>5</v>
      </c>
      <c r="K510">
        <v>13</v>
      </c>
      <c r="L510">
        <v>11</v>
      </c>
      <c r="M510">
        <v>1</v>
      </c>
      <c r="N510" t="s">
        <v>213</v>
      </c>
      <c r="O510" t="s">
        <v>39</v>
      </c>
      <c r="P510" t="s">
        <v>207</v>
      </c>
      <c r="Q510" t="s">
        <v>208</v>
      </c>
      <c r="R510" t="s">
        <v>91</v>
      </c>
      <c r="S510" t="s">
        <v>92</v>
      </c>
      <c r="T510" t="s">
        <v>106</v>
      </c>
      <c r="U510">
        <v>4</v>
      </c>
      <c r="V510" t="s">
        <v>93</v>
      </c>
      <c r="W510" t="s">
        <v>103</v>
      </c>
      <c r="X510" t="s">
        <v>87</v>
      </c>
      <c r="Y510">
        <v>2</v>
      </c>
      <c r="Z510">
        <v>4</v>
      </c>
      <c r="AA510">
        <v>44.1</v>
      </c>
      <c r="AB510">
        <v>-1</v>
      </c>
      <c r="AC510" t="s">
        <v>83</v>
      </c>
      <c r="AD510">
        <v>0</v>
      </c>
      <c r="AE510">
        <v>0</v>
      </c>
      <c r="AF510">
        <v>0</v>
      </c>
      <c r="AG510">
        <v>-1</v>
      </c>
      <c r="AH510">
        <v>0.14899999999999999</v>
      </c>
      <c r="AI510">
        <v>-1</v>
      </c>
    </row>
    <row r="511" spans="1:35" x14ac:dyDescent="0.25">
      <c r="A511">
        <v>259</v>
      </c>
      <c r="B511" t="s">
        <v>35</v>
      </c>
      <c r="C511">
        <v>3</v>
      </c>
      <c r="D511" t="s">
        <v>36</v>
      </c>
      <c r="E511">
        <v>3</v>
      </c>
      <c r="F511" t="s">
        <v>259</v>
      </c>
      <c r="G511">
        <v>3</v>
      </c>
      <c r="H511">
        <v>9</v>
      </c>
      <c r="I511">
        <v>2</v>
      </c>
      <c r="J511">
        <v>6</v>
      </c>
      <c r="K511">
        <v>21</v>
      </c>
      <c r="L511">
        <v>45</v>
      </c>
      <c r="M511">
        <v>2</v>
      </c>
      <c r="N511" t="s">
        <v>210</v>
      </c>
      <c r="O511" t="s">
        <v>39</v>
      </c>
      <c r="P511" t="s">
        <v>190</v>
      </c>
      <c r="Q511" t="s">
        <v>191</v>
      </c>
      <c r="R511" t="s">
        <v>51</v>
      </c>
      <c r="S511" t="s">
        <v>52</v>
      </c>
      <c r="T511" t="s">
        <v>149</v>
      </c>
      <c r="U511">
        <v>1</v>
      </c>
      <c r="V511" t="s">
        <v>45</v>
      </c>
      <c r="W511" t="s">
        <v>130</v>
      </c>
      <c r="X511" t="s">
        <v>183</v>
      </c>
      <c r="Y511">
        <v>1</v>
      </c>
      <c r="Z511">
        <v>4</v>
      </c>
      <c r="AA511">
        <v>44.1</v>
      </c>
      <c r="AB511">
        <v>-1</v>
      </c>
      <c r="AC511" t="s">
        <v>149</v>
      </c>
      <c r="AD511">
        <v>1</v>
      </c>
      <c r="AE511">
        <v>1</v>
      </c>
      <c r="AF511">
        <v>1</v>
      </c>
      <c r="AG511">
        <v>2.9980000000000002</v>
      </c>
      <c r="AH511">
        <v>0.3</v>
      </c>
      <c r="AI511">
        <v>-1</v>
      </c>
    </row>
    <row r="512" spans="1:35" x14ac:dyDescent="0.25">
      <c r="A512">
        <v>259</v>
      </c>
      <c r="B512" t="s">
        <v>35</v>
      </c>
      <c r="C512">
        <v>3</v>
      </c>
      <c r="D512" t="s">
        <v>36</v>
      </c>
      <c r="E512">
        <v>3</v>
      </c>
      <c r="F512" t="s">
        <v>259</v>
      </c>
      <c r="G512">
        <v>3</v>
      </c>
      <c r="H512">
        <v>9</v>
      </c>
      <c r="I512">
        <v>2</v>
      </c>
      <c r="J512">
        <v>7</v>
      </c>
      <c r="K512">
        <v>14</v>
      </c>
      <c r="L512">
        <v>12</v>
      </c>
      <c r="M512">
        <v>1</v>
      </c>
      <c r="N512" t="s">
        <v>206</v>
      </c>
      <c r="O512" t="s">
        <v>39</v>
      </c>
      <c r="P512" t="s">
        <v>207</v>
      </c>
      <c r="Q512" t="s">
        <v>208</v>
      </c>
      <c r="R512" t="s">
        <v>42</v>
      </c>
      <c r="S512" t="s">
        <v>43</v>
      </c>
      <c r="T512" t="s">
        <v>131</v>
      </c>
      <c r="U512">
        <v>5</v>
      </c>
      <c r="V512" t="s">
        <v>106</v>
      </c>
      <c r="W512" t="s">
        <v>211</v>
      </c>
      <c r="X512" t="s">
        <v>124</v>
      </c>
      <c r="Y512">
        <v>1</v>
      </c>
      <c r="Z512">
        <v>4</v>
      </c>
      <c r="AA512">
        <v>44.1</v>
      </c>
      <c r="AB512">
        <v>-1</v>
      </c>
      <c r="AC512" t="s">
        <v>131</v>
      </c>
      <c r="AD512">
        <v>1</v>
      </c>
      <c r="AE512">
        <v>5</v>
      </c>
      <c r="AF512">
        <v>1</v>
      </c>
      <c r="AG512">
        <v>0.80900000000000005</v>
      </c>
      <c r="AH512">
        <v>8.3000000000000004E-2</v>
      </c>
      <c r="AI512">
        <v>-1</v>
      </c>
    </row>
    <row r="513" spans="1:35" x14ac:dyDescent="0.25">
      <c r="A513">
        <v>259</v>
      </c>
      <c r="B513" t="s">
        <v>35</v>
      </c>
      <c r="C513">
        <v>3</v>
      </c>
      <c r="D513" t="s">
        <v>36</v>
      </c>
      <c r="E513">
        <v>3</v>
      </c>
      <c r="F513" t="s">
        <v>259</v>
      </c>
      <c r="G513">
        <v>3</v>
      </c>
      <c r="H513">
        <v>9</v>
      </c>
      <c r="I513">
        <v>2</v>
      </c>
      <c r="J513">
        <v>8</v>
      </c>
      <c r="K513">
        <v>2</v>
      </c>
      <c r="L513">
        <v>48</v>
      </c>
      <c r="M513">
        <v>2</v>
      </c>
      <c r="N513" t="s">
        <v>38</v>
      </c>
      <c r="O513" t="s">
        <v>39</v>
      </c>
      <c r="P513" t="s">
        <v>40</v>
      </c>
      <c r="Q513" t="s">
        <v>41</v>
      </c>
      <c r="R513" t="s">
        <v>42</v>
      </c>
      <c r="S513" t="s">
        <v>43</v>
      </c>
      <c r="T513" t="s">
        <v>44</v>
      </c>
      <c r="U513">
        <v>5</v>
      </c>
      <c r="V513" t="s">
        <v>60</v>
      </c>
      <c r="W513" t="s">
        <v>86</v>
      </c>
      <c r="X513" t="s">
        <v>120</v>
      </c>
      <c r="Y513">
        <v>1</v>
      </c>
      <c r="Z513">
        <v>4</v>
      </c>
      <c r="AA513">
        <v>44.1</v>
      </c>
      <c r="AB513">
        <v>-1</v>
      </c>
      <c r="AC513" t="s">
        <v>60</v>
      </c>
      <c r="AD513">
        <v>2</v>
      </c>
      <c r="AE513">
        <v>1</v>
      </c>
      <c r="AF513">
        <v>0</v>
      </c>
      <c r="AG513">
        <v>2.5990000000000002</v>
      </c>
      <c r="AH513">
        <v>0.25</v>
      </c>
      <c r="AI513">
        <v>-1</v>
      </c>
    </row>
    <row r="514" spans="1:35" x14ac:dyDescent="0.25">
      <c r="A514">
        <v>259</v>
      </c>
      <c r="B514" t="s">
        <v>35</v>
      </c>
      <c r="C514">
        <v>3</v>
      </c>
      <c r="D514" t="s">
        <v>36</v>
      </c>
      <c r="E514">
        <v>3</v>
      </c>
      <c r="F514" t="s">
        <v>259</v>
      </c>
      <c r="G514">
        <v>3</v>
      </c>
      <c r="H514">
        <v>9</v>
      </c>
      <c r="I514">
        <v>2</v>
      </c>
      <c r="J514">
        <v>9</v>
      </c>
      <c r="K514">
        <v>7</v>
      </c>
      <c r="L514">
        <v>39</v>
      </c>
      <c r="M514">
        <v>2</v>
      </c>
      <c r="N514" t="s">
        <v>63</v>
      </c>
      <c r="O514" t="s">
        <v>39</v>
      </c>
      <c r="P514" t="s">
        <v>64</v>
      </c>
      <c r="Q514" t="s">
        <v>65</v>
      </c>
      <c r="R514" t="s">
        <v>58</v>
      </c>
      <c r="S514" t="s">
        <v>59</v>
      </c>
      <c r="T514" t="s">
        <v>66</v>
      </c>
      <c r="U514">
        <v>1</v>
      </c>
      <c r="V514" t="s">
        <v>73</v>
      </c>
      <c r="W514" t="s">
        <v>209</v>
      </c>
      <c r="X514" t="s">
        <v>62</v>
      </c>
      <c r="Y514">
        <v>2</v>
      </c>
      <c r="Z514">
        <v>4</v>
      </c>
      <c r="AA514">
        <v>44.1</v>
      </c>
      <c r="AB514">
        <v>-1</v>
      </c>
      <c r="AC514" t="s">
        <v>66</v>
      </c>
      <c r="AD514">
        <v>1</v>
      </c>
      <c r="AE514">
        <v>1</v>
      </c>
      <c r="AF514">
        <v>1</v>
      </c>
      <c r="AG514">
        <v>3.0819999999999999</v>
      </c>
      <c r="AH514">
        <v>3.03</v>
      </c>
      <c r="AI514">
        <v>-1</v>
      </c>
    </row>
    <row r="515" spans="1:35" x14ac:dyDescent="0.25">
      <c r="A515">
        <v>259</v>
      </c>
      <c r="B515" t="s">
        <v>35</v>
      </c>
      <c r="C515">
        <v>3</v>
      </c>
      <c r="D515" t="s">
        <v>36</v>
      </c>
      <c r="E515">
        <v>3</v>
      </c>
      <c r="F515" t="s">
        <v>259</v>
      </c>
      <c r="G515">
        <v>3</v>
      </c>
      <c r="H515">
        <v>9</v>
      </c>
      <c r="I515">
        <v>2</v>
      </c>
      <c r="J515">
        <v>10</v>
      </c>
      <c r="K515">
        <v>24</v>
      </c>
      <c r="L515">
        <v>10</v>
      </c>
      <c r="M515">
        <v>1</v>
      </c>
      <c r="N515" t="s">
        <v>201</v>
      </c>
      <c r="O515" t="s">
        <v>39</v>
      </c>
      <c r="P515" t="s">
        <v>202</v>
      </c>
      <c r="Q515" t="s">
        <v>203</v>
      </c>
      <c r="R515" t="s">
        <v>51</v>
      </c>
      <c r="S515" t="s">
        <v>52</v>
      </c>
      <c r="T515" t="s">
        <v>172</v>
      </c>
      <c r="U515">
        <v>5</v>
      </c>
      <c r="V515" t="s">
        <v>147</v>
      </c>
      <c r="W515" t="s">
        <v>110</v>
      </c>
      <c r="X515" t="s">
        <v>100</v>
      </c>
      <c r="Y515">
        <v>1</v>
      </c>
      <c r="Z515">
        <v>4</v>
      </c>
      <c r="AA515">
        <v>44.1</v>
      </c>
      <c r="AB515">
        <v>-1</v>
      </c>
      <c r="AC515" t="s">
        <v>172</v>
      </c>
      <c r="AD515">
        <v>1</v>
      </c>
      <c r="AE515">
        <v>5</v>
      </c>
      <c r="AF515">
        <v>1</v>
      </c>
      <c r="AG515">
        <v>2.1930000000000001</v>
      </c>
      <c r="AH515">
        <v>3.0339999999999998</v>
      </c>
      <c r="AI515">
        <v>-1</v>
      </c>
    </row>
    <row r="516" spans="1:35" x14ac:dyDescent="0.25">
      <c r="A516">
        <v>259</v>
      </c>
      <c r="B516" t="s">
        <v>35</v>
      </c>
      <c r="C516">
        <v>3</v>
      </c>
      <c r="D516" t="s">
        <v>36</v>
      </c>
      <c r="E516">
        <v>3</v>
      </c>
      <c r="F516" t="s">
        <v>259</v>
      </c>
      <c r="G516">
        <v>3</v>
      </c>
      <c r="H516">
        <v>9</v>
      </c>
      <c r="I516">
        <v>2</v>
      </c>
      <c r="J516">
        <v>11</v>
      </c>
      <c r="K516">
        <v>20</v>
      </c>
      <c r="L516">
        <v>6</v>
      </c>
      <c r="M516">
        <v>1</v>
      </c>
      <c r="N516" t="s">
        <v>215</v>
      </c>
      <c r="O516" t="s">
        <v>39</v>
      </c>
      <c r="P516" t="s">
        <v>193</v>
      </c>
      <c r="Q516" t="s">
        <v>194</v>
      </c>
      <c r="R516" t="s">
        <v>42</v>
      </c>
      <c r="S516" t="s">
        <v>43</v>
      </c>
      <c r="T516" t="s">
        <v>185</v>
      </c>
      <c r="U516">
        <v>5</v>
      </c>
      <c r="V516" t="s">
        <v>131</v>
      </c>
      <c r="W516" t="s">
        <v>141</v>
      </c>
      <c r="X516" t="s">
        <v>128</v>
      </c>
      <c r="Y516">
        <v>2</v>
      </c>
      <c r="Z516">
        <v>4</v>
      </c>
      <c r="AA516">
        <v>44.1</v>
      </c>
      <c r="AB516">
        <v>0.17199999999999999</v>
      </c>
      <c r="AC516" t="s">
        <v>185</v>
      </c>
      <c r="AD516">
        <v>1</v>
      </c>
      <c r="AE516">
        <v>5</v>
      </c>
      <c r="AF516">
        <v>1</v>
      </c>
      <c r="AG516">
        <v>2.42</v>
      </c>
      <c r="AH516">
        <v>3.0339999999999998</v>
      </c>
      <c r="AI516">
        <v>0.17799999999999999</v>
      </c>
    </row>
    <row r="517" spans="1:35" x14ac:dyDescent="0.25">
      <c r="A517">
        <v>259</v>
      </c>
      <c r="B517" t="s">
        <v>35</v>
      </c>
      <c r="C517">
        <v>3</v>
      </c>
      <c r="D517" t="s">
        <v>36</v>
      </c>
      <c r="E517">
        <v>3</v>
      </c>
      <c r="F517" t="s">
        <v>259</v>
      </c>
      <c r="G517">
        <v>3</v>
      </c>
      <c r="H517">
        <v>9</v>
      </c>
      <c r="I517">
        <v>2</v>
      </c>
      <c r="J517">
        <v>12</v>
      </c>
      <c r="K517">
        <v>15</v>
      </c>
      <c r="L517">
        <v>7</v>
      </c>
      <c r="M517">
        <v>1</v>
      </c>
      <c r="N517" t="s">
        <v>205</v>
      </c>
      <c r="O517" t="s">
        <v>39</v>
      </c>
      <c r="P517" t="s">
        <v>196</v>
      </c>
      <c r="Q517" t="s">
        <v>197</v>
      </c>
      <c r="R517" t="s">
        <v>58</v>
      </c>
      <c r="S517" t="s">
        <v>59</v>
      </c>
      <c r="T517" t="s">
        <v>156</v>
      </c>
      <c r="U517">
        <v>2</v>
      </c>
      <c r="V517" t="s">
        <v>85</v>
      </c>
      <c r="W517" t="s">
        <v>187</v>
      </c>
      <c r="X517" t="s">
        <v>214</v>
      </c>
      <c r="Y517">
        <v>1</v>
      </c>
      <c r="Z517">
        <v>4</v>
      </c>
      <c r="AA517">
        <v>44.1</v>
      </c>
      <c r="AB517">
        <v>-1</v>
      </c>
      <c r="AC517" t="s">
        <v>85</v>
      </c>
      <c r="AD517">
        <v>2</v>
      </c>
      <c r="AE517">
        <v>5</v>
      </c>
      <c r="AF517">
        <v>0</v>
      </c>
      <c r="AG517">
        <v>2.96</v>
      </c>
      <c r="AH517">
        <v>3.0339999999999998</v>
      </c>
      <c r="AI517">
        <v>-1</v>
      </c>
    </row>
    <row r="518" spans="1:35" x14ac:dyDescent="0.25">
      <c r="A518">
        <v>259</v>
      </c>
      <c r="B518" t="s">
        <v>35</v>
      </c>
      <c r="C518">
        <v>3</v>
      </c>
      <c r="D518" t="s">
        <v>36</v>
      </c>
      <c r="E518">
        <v>3</v>
      </c>
      <c r="F518" t="s">
        <v>259</v>
      </c>
      <c r="G518">
        <v>3</v>
      </c>
      <c r="H518">
        <v>9</v>
      </c>
      <c r="I518">
        <v>2</v>
      </c>
      <c r="J518">
        <v>13</v>
      </c>
      <c r="K518">
        <v>17</v>
      </c>
      <c r="L518">
        <v>41</v>
      </c>
      <c r="M518">
        <v>2</v>
      </c>
      <c r="N518" t="s">
        <v>198</v>
      </c>
      <c r="O518" t="s">
        <v>39</v>
      </c>
      <c r="P518" t="s">
        <v>199</v>
      </c>
      <c r="Q518" t="s">
        <v>200</v>
      </c>
      <c r="R518" t="s">
        <v>58</v>
      </c>
      <c r="S518" t="s">
        <v>59</v>
      </c>
      <c r="T518" t="s">
        <v>138</v>
      </c>
      <c r="U518">
        <v>1</v>
      </c>
      <c r="V518" t="s">
        <v>98</v>
      </c>
      <c r="W518" t="s">
        <v>132</v>
      </c>
      <c r="X518" t="s">
        <v>104</v>
      </c>
      <c r="Y518">
        <v>1</v>
      </c>
      <c r="Z518">
        <v>4</v>
      </c>
      <c r="AA518">
        <v>44.1</v>
      </c>
      <c r="AB518">
        <v>0.46200000000000002</v>
      </c>
      <c r="AC518" t="s">
        <v>98</v>
      </c>
      <c r="AD518">
        <v>2</v>
      </c>
      <c r="AE518">
        <v>4</v>
      </c>
      <c r="AF518">
        <v>0</v>
      </c>
      <c r="AG518">
        <v>1.956</v>
      </c>
      <c r="AH518">
        <v>3.0339999999999998</v>
      </c>
      <c r="AI518">
        <v>0.46700000000000003</v>
      </c>
    </row>
    <row r="519" spans="1:35" x14ac:dyDescent="0.25">
      <c r="A519">
        <v>259</v>
      </c>
      <c r="B519" t="s">
        <v>35</v>
      </c>
      <c r="C519">
        <v>3</v>
      </c>
      <c r="D519" t="s">
        <v>36</v>
      </c>
      <c r="E519">
        <v>3</v>
      </c>
      <c r="F519" t="s">
        <v>259</v>
      </c>
      <c r="G519">
        <v>3</v>
      </c>
      <c r="H519">
        <v>9</v>
      </c>
      <c r="I519">
        <v>2</v>
      </c>
      <c r="J519">
        <v>14</v>
      </c>
      <c r="K519">
        <v>6</v>
      </c>
      <c r="L519">
        <v>38</v>
      </c>
      <c r="M519">
        <v>2</v>
      </c>
      <c r="N519" t="s">
        <v>48</v>
      </c>
      <c r="O519" t="s">
        <v>39</v>
      </c>
      <c r="P519" t="s">
        <v>49</v>
      </c>
      <c r="Q519" t="s">
        <v>50</v>
      </c>
      <c r="R519" t="s">
        <v>51</v>
      </c>
      <c r="S519" t="s">
        <v>52</v>
      </c>
      <c r="T519" t="s">
        <v>53</v>
      </c>
      <c r="U519">
        <v>5</v>
      </c>
      <c r="V519" t="s">
        <v>172</v>
      </c>
      <c r="W519" t="s">
        <v>127</v>
      </c>
      <c r="X519" t="s">
        <v>146</v>
      </c>
      <c r="Y519">
        <v>2</v>
      </c>
      <c r="Z519">
        <v>4</v>
      </c>
      <c r="AA519">
        <v>44.1</v>
      </c>
      <c r="AB519">
        <v>-1</v>
      </c>
      <c r="AC519" t="s">
        <v>53</v>
      </c>
      <c r="AD519">
        <v>1</v>
      </c>
      <c r="AE519">
        <v>5</v>
      </c>
      <c r="AF519">
        <v>1</v>
      </c>
      <c r="AG519">
        <v>3.427</v>
      </c>
      <c r="AH519">
        <v>3.0339999999999998</v>
      </c>
      <c r="AI519">
        <v>-1</v>
      </c>
    </row>
    <row r="520" spans="1:35" x14ac:dyDescent="0.25">
      <c r="A520">
        <v>259</v>
      </c>
      <c r="B520" t="s">
        <v>35</v>
      </c>
      <c r="C520">
        <v>3</v>
      </c>
      <c r="D520" t="s">
        <v>36</v>
      </c>
      <c r="E520">
        <v>3</v>
      </c>
      <c r="F520" t="s">
        <v>259</v>
      </c>
      <c r="G520">
        <v>3</v>
      </c>
      <c r="H520">
        <v>9</v>
      </c>
      <c r="I520">
        <v>2</v>
      </c>
      <c r="J520">
        <v>15</v>
      </c>
      <c r="K520">
        <v>22</v>
      </c>
      <c r="L520">
        <v>46</v>
      </c>
      <c r="M520">
        <v>2</v>
      </c>
      <c r="N520" t="s">
        <v>189</v>
      </c>
      <c r="O520" t="s">
        <v>39</v>
      </c>
      <c r="P520" t="s">
        <v>190</v>
      </c>
      <c r="Q520" t="s">
        <v>191</v>
      </c>
      <c r="R520" t="s">
        <v>42</v>
      </c>
      <c r="S520" t="s">
        <v>43</v>
      </c>
      <c r="T520" t="s">
        <v>45</v>
      </c>
      <c r="U520">
        <v>5</v>
      </c>
      <c r="V520" t="s">
        <v>67</v>
      </c>
      <c r="W520" t="s">
        <v>119</v>
      </c>
      <c r="X520" t="s">
        <v>204</v>
      </c>
      <c r="Y520">
        <v>2</v>
      </c>
      <c r="Z520">
        <v>4</v>
      </c>
      <c r="AA520">
        <v>44.1</v>
      </c>
      <c r="AB520">
        <v>0.39300000000000002</v>
      </c>
      <c r="AC520" t="s">
        <v>119</v>
      </c>
      <c r="AD520">
        <v>4</v>
      </c>
      <c r="AE520">
        <v>2</v>
      </c>
      <c r="AF520">
        <v>0</v>
      </c>
      <c r="AG520">
        <v>3.3980000000000001</v>
      </c>
      <c r="AH520">
        <v>1.8169999999999999</v>
      </c>
      <c r="AI520">
        <v>0.39800000000000002</v>
      </c>
    </row>
    <row r="521" spans="1:35" x14ac:dyDescent="0.25">
      <c r="A521">
        <v>259</v>
      </c>
      <c r="B521" t="s">
        <v>35</v>
      </c>
      <c r="C521">
        <v>3</v>
      </c>
      <c r="D521" t="s">
        <v>36</v>
      </c>
      <c r="E521">
        <v>3</v>
      </c>
      <c r="F521" t="s">
        <v>259</v>
      </c>
      <c r="G521">
        <v>3</v>
      </c>
      <c r="H521">
        <v>9</v>
      </c>
      <c r="I521">
        <v>2</v>
      </c>
      <c r="J521">
        <v>16</v>
      </c>
      <c r="K521">
        <v>23</v>
      </c>
      <c r="L521">
        <v>9</v>
      </c>
      <c r="M521">
        <v>1</v>
      </c>
      <c r="N521" t="s">
        <v>212</v>
      </c>
      <c r="O521" t="s">
        <v>39</v>
      </c>
      <c r="P521" t="s">
        <v>202</v>
      </c>
      <c r="Q521" t="s">
        <v>203</v>
      </c>
      <c r="R521" t="s">
        <v>58</v>
      </c>
      <c r="S521" t="s">
        <v>59</v>
      </c>
      <c r="T521" t="s">
        <v>147</v>
      </c>
      <c r="U521">
        <v>5</v>
      </c>
      <c r="V521" t="s">
        <v>156</v>
      </c>
      <c r="W521" t="s">
        <v>74</v>
      </c>
      <c r="X521" t="s">
        <v>75</v>
      </c>
      <c r="Y521">
        <v>2</v>
      </c>
      <c r="Z521">
        <v>4</v>
      </c>
      <c r="AA521">
        <v>44.1</v>
      </c>
      <c r="AB521">
        <v>-1</v>
      </c>
      <c r="AC521" t="s">
        <v>147</v>
      </c>
      <c r="AD521">
        <v>1</v>
      </c>
      <c r="AE521">
        <v>5</v>
      </c>
      <c r="AF521">
        <v>1</v>
      </c>
      <c r="AG521">
        <v>0.99099999999999999</v>
      </c>
      <c r="AH521">
        <v>0.15</v>
      </c>
      <c r="AI521">
        <v>-1</v>
      </c>
    </row>
    <row r="522" spans="1:35" x14ac:dyDescent="0.25">
      <c r="A522">
        <v>259</v>
      </c>
      <c r="B522" t="s">
        <v>35</v>
      </c>
      <c r="C522">
        <v>3</v>
      </c>
      <c r="D522" t="s">
        <v>36</v>
      </c>
      <c r="E522">
        <v>3</v>
      </c>
      <c r="F522" t="s">
        <v>259</v>
      </c>
      <c r="G522">
        <v>3</v>
      </c>
      <c r="H522">
        <v>9</v>
      </c>
      <c r="I522">
        <v>2</v>
      </c>
      <c r="J522">
        <v>17</v>
      </c>
      <c r="K522">
        <v>12</v>
      </c>
      <c r="L522">
        <v>44</v>
      </c>
      <c r="M522">
        <v>2</v>
      </c>
      <c r="N522" t="s">
        <v>76</v>
      </c>
      <c r="O522" t="s">
        <v>39</v>
      </c>
      <c r="P522" t="s">
        <v>77</v>
      </c>
      <c r="Q522" t="s">
        <v>78</v>
      </c>
      <c r="R522" t="s">
        <v>51</v>
      </c>
      <c r="S522" t="s">
        <v>52</v>
      </c>
      <c r="T522" t="s">
        <v>79</v>
      </c>
      <c r="U522">
        <v>5</v>
      </c>
      <c r="V522" t="s">
        <v>149</v>
      </c>
      <c r="W522" t="s">
        <v>121</v>
      </c>
      <c r="X522" t="s">
        <v>111</v>
      </c>
      <c r="Y522">
        <v>2</v>
      </c>
      <c r="Z522">
        <v>4</v>
      </c>
      <c r="AA522">
        <v>44.1</v>
      </c>
      <c r="AB522">
        <v>0.192</v>
      </c>
      <c r="AC522" t="s">
        <v>149</v>
      </c>
      <c r="AD522">
        <v>3</v>
      </c>
      <c r="AE522">
        <v>2</v>
      </c>
      <c r="AF522">
        <v>0</v>
      </c>
      <c r="AG522">
        <v>2.6819999999999999</v>
      </c>
      <c r="AH522">
        <v>8.3000000000000004E-2</v>
      </c>
      <c r="AI522">
        <v>0.19700000000000001</v>
      </c>
    </row>
    <row r="523" spans="1:35" x14ac:dyDescent="0.25">
      <c r="A523">
        <v>259</v>
      </c>
      <c r="B523" t="s">
        <v>35</v>
      </c>
      <c r="C523">
        <v>3</v>
      </c>
      <c r="D523" t="s">
        <v>36</v>
      </c>
      <c r="E523">
        <v>3</v>
      </c>
      <c r="F523" t="s">
        <v>259</v>
      </c>
      <c r="G523">
        <v>3</v>
      </c>
      <c r="H523">
        <v>9</v>
      </c>
      <c r="I523">
        <v>2</v>
      </c>
      <c r="J523">
        <v>18</v>
      </c>
      <c r="K523">
        <v>16</v>
      </c>
      <c r="L523">
        <v>8</v>
      </c>
      <c r="M523">
        <v>1</v>
      </c>
      <c r="N523" t="s">
        <v>195</v>
      </c>
      <c r="O523" t="s">
        <v>39</v>
      </c>
      <c r="P523" t="s">
        <v>196</v>
      </c>
      <c r="Q523" t="s">
        <v>197</v>
      </c>
      <c r="R523" t="s">
        <v>42</v>
      </c>
      <c r="S523" t="s">
        <v>43</v>
      </c>
      <c r="T523" t="s">
        <v>85</v>
      </c>
      <c r="U523">
        <v>2</v>
      </c>
      <c r="V523" t="s">
        <v>44</v>
      </c>
      <c r="W523" t="s">
        <v>139</v>
      </c>
      <c r="X523" t="s">
        <v>56</v>
      </c>
      <c r="Y523">
        <v>2</v>
      </c>
      <c r="Z523">
        <v>4</v>
      </c>
      <c r="AA523">
        <v>44.1</v>
      </c>
      <c r="AB523">
        <v>-1</v>
      </c>
      <c r="AC523" t="s">
        <v>85</v>
      </c>
      <c r="AD523">
        <v>1</v>
      </c>
      <c r="AE523">
        <v>2</v>
      </c>
      <c r="AF523">
        <v>1</v>
      </c>
      <c r="AG523">
        <v>2.258</v>
      </c>
      <c r="AH523">
        <v>1.2330000000000001</v>
      </c>
      <c r="AI523">
        <v>-1</v>
      </c>
    </row>
    <row r="524" spans="1:35" x14ac:dyDescent="0.25">
      <c r="A524">
        <v>259</v>
      </c>
      <c r="B524" t="s">
        <v>35</v>
      </c>
      <c r="C524">
        <v>3</v>
      </c>
      <c r="D524" t="s">
        <v>36</v>
      </c>
      <c r="E524">
        <v>3</v>
      </c>
      <c r="F524" t="s">
        <v>259</v>
      </c>
      <c r="G524">
        <v>3</v>
      </c>
      <c r="H524">
        <v>9</v>
      </c>
      <c r="I524">
        <v>2</v>
      </c>
      <c r="J524">
        <v>19</v>
      </c>
      <c r="K524">
        <v>4</v>
      </c>
      <c r="L524">
        <v>2</v>
      </c>
      <c r="M524">
        <v>1</v>
      </c>
      <c r="N524" t="s">
        <v>109</v>
      </c>
      <c r="O524" t="s">
        <v>39</v>
      </c>
      <c r="P524" t="s">
        <v>71</v>
      </c>
      <c r="Q524" t="s">
        <v>72</v>
      </c>
      <c r="R524" t="s">
        <v>91</v>
      </c>
      <c r="S524" t="s">
        <v>92</v>
      </c>
      <c r="T524" t="s">
        <v>94</v>
      </c>
      <c r="U524">
        <v>1</v>
      </c>
      <c r="V524" t="s">
        <v>54</v>
      </c>
      <c r="W524" t="s">
        <v>61</v>
      </c>
      <c r="X524" t="s">
        <v>161</v>
      </c>
      <c r="Y524">
        <v>2</v>
      </c>
      <c r="Z524">
        <v>4</v>
      </c>
      <c r="AA524">
        <v>44.1</v>
      </c>
      <c r="AB524">
        <v>-1</v>
      </c>
      <c r="AC524" t="s">
        <v>94</v>
      </c>
      <c r="AD524">
        <v>1</v>
      </c>
      <c r="AE524">
        <v>1</v>
      </c>
      <c r="AF524">
        <v>1</v>
      </c>
      <c r="AG524">
        <v>1.6970000000000001</v>
      </c>
      <c r="AH524">
        <v>0.13300000000000001</v>
      </c>
      <c r="AI524">
        <v>-1</v>
      </c>
    </row>
    <row r="525" spans="1:35" x14ac:dyDescent="0.25">
      <c r="A525">
        <v>259</v>
      </c>
      <c r="B525" t="s">
        <v>35</v>
      </c>
      <c r="C525">
        <v>3</v>
      </c>
      <c r="D525" t="s">
        <v>36</v>
      </c>
      <c r="E525">
        <v>3</v>
      </c>
      <c r="F525" t="s">
        <v>259</v>
      </c>
      <c r="G525">
        <v>3</v>
      </c>
      <c r="H525">
        <v>9</v>
      </c>
      <c r="I525">
        <v>2</v>
      </c>
      <c r="J525">
        <v>20</v>
      </c>
      <c r="K525">
        <v>18</v>
      </c>
      <c r="L525">
        <v>42</v>
      </c>
      <c r="M525">
        <v>2</v>
      </c>
      <c r="N525" t="s">
        <v>216</v>
      </c>
      <c r="O525" t="s">
        <v>39</v>
      </c>
      <c r="P525" t="s">
        <v>199</v>
      </c>
      <c r="Q525" t="s">
        <v>200</v>
      </c>
      <c r="R525" t="s">
        <v>91</v>
      </c>
      <c r="S525" t="s">
        <v>92</v>
      </c>
      <c r="T525" t="s">
        <v>98</v>
      </c>
      <c r="U525">
        <v>5</v>
      </c>
      <c r="V525" t="s">
        <v>80</v>
      </c>
      <c r="W525" t="s">
        <v>95</v>
      </c>
      <c r="X525" t="s">
        <v>47</v>
      </c>
      <c r="Y525">
        <v>2</v>
      </c>
      <c r="Z525">
        <v>4</v>
      </c>
      <c r="AA525">
        <v>44.1</v>
      </c>
      <c r="AB525">
        <v>-1</v>
      </c>
      <c r="AC525" t="s">
        <v>47</v>
      </c>
      <c r="AD525">
        <v>4</v>
      </c>
      <c r="AE525">
        <v>2</v>
      </c>
      <c r="AF525">
        <v>0</v>
      </c>
      <c r="AG525">
        <v>1.1339999999999999</v>
      </c>
      <c r="AH525">
        <v>0.26600000000000001</v>
      </c>
      <c r="AI525">
        <v>-1</v>
      </c>
    </row>
    <row r="526" spans="1:35" x14ac:dyDescent="0.25">
      <c r="A526">
        <v>259</v>
      </c>
      <c r="B526" t="s">
        <v>35</v>
      </c>
      <c r="C526">
        <v>3</v>
      </c>
      <c r="D526" t="s">
        <v>36</v>
      </c>
      <c r="E526">
        <v>3</v>
      </c>
      <c r="F526" t="s">
        <v>259</v>
      </c>
      <c r="G526">
        <v>3</v>
      </c>
      <c r="H526">
        <v>9</v>
      </c>
      <c r="I526">
        <v>2</v>
      </c>
      <c r="J526">
        <v>21</v>
      </c>
      <c r="K526">
        <v>1</v>
      </c>
      <c r="L526">
        <v>47</v>
      </c>
      <c r="M526">
        <v>2</v>
      </c>
      <c r="N526" t="s">
        <v>57</v>
      </c>
      <c r="O526" t="s">
        <v>39</v>
      </c>
      <c r="P526" t="s">
        <v>40</v>
      </c>
      <c r="Q526" t="s">
        <v>41</v>
      </c>
      <c r="R526" t="s">
        <v>58</v>
      </c>
      <c r="S526" t="s">
        <v>59</v>
      </c>
      <c r="T526" t="s">
        <v>60</v>
      </c>
      <c r="U526">
        <v>2</v>
      </c>
      <c r="V526" t="s">
        <v>138</v>
      </c>
      <c r="W526" t="s">
        <v>55</v>
      </c>
      <c r="X526" t="s">
        <v>69</v>
      </c>
      <c r="Y526">
        <v>2</v>
      </c>
      <c r="Z526">
        <v>4</v>
      </c>
      <c r="AA526">
        <v>44.1</v>
      </c>
      <c r="AB526">
        <v>-1</v>
      </c>
      <c r="AC526" t="s">
        <v>55</v>
      </c>
      <c r="AD526">
        <v>4</v>
      </c>
      <c r="AE526">
        <v>4</v>
      </c>
      <c r="AF526">
        <v>0</v>
      </c>
      <c r="AG526">
        <v>2.6930000000000001</v>
      </c>
      <c r="AH526">
        <v>3.0339999999999998</v>
      </c>
      <c r="AI526">
        <v>-1</v>
      </c>
    </row>
    <row r="527" spans="1:35" x14ac:dyDescent="0.25">
      <c r="A527">
        <v>259</v>
      </c>
      <c r="B527" t="s">
        <v>35</v>
      </c>
      <c r="C527">
        <v>3</v>
      </c>
      <c r="D527" t="s">
        <v>36</v>
      </c>
      <c r="E527">
        <v>3</v>
      </c>
      <c r="F527" t="s">
        <v>259</v>
      </c>
      <c r="G527">
        <v>3</v>
      </c>
      <c r="H527">
        <v>9</v>
      </c>
      <c r="I527">
        <v>2</v>
      </c>
      <c r="J527">
        <v>22</v>
      </c>
      <c r="K527">
        <v>9</v>
      </c>
      <c r="L527">
        <v>3</v>
      </c>
      <c r="M527">
        <v>1</v>
      </c>
      <c r="N527" t="s">
        <v>88</v>
      </c>
      <c r="O527" t="s">
        <v>39</v>
      </c>
      <c r="P527" t="s">
        <v>89</v>
      </c>
      <c r="Q527" t="s">
        <v>90</v>
      </c>
      <c r="R527" t="s">
        <v>91</v>
      </c>
      <c r="S527" t="s">
        <v>92</v>
      </c>
      <c r="T527" t="s">
        <v>93</v>
      </c>
      <c r="U527">
        <v>5</v>
      </c>
      <c r="V527" t="s">
        <v>102</v>
      </c>
      <c r="W527" t="s">
        <v>107</v>
      </c>
      <c r="X527" t="s">
        <v>96</v>
      </c>
      <c r="Y527">
        <v>1</v>
      </c>
      <c r="Z527">
        <v>4</v>
      </c>
      <c r="AA527">
        <v>44.1</v>
      </c>
      <c r="AB527">
        <v>0.433</v>
      </c>
      <c r="AC527" t="s">
        <v>107</v>
      </c>
      <c r="AD527">
        <v>4</v>
      </c>
      <c r="AE527">
        <v>2</v>
      </c>
      <c r="AF527">
        <v>0</v>
      </c>
      <c r="AG527">
        <v>2.97</v>
      </c>
      <c r="AH527">
        <v>1.2</v>
      </c>
      <c r="AI527">
        <v>0.434</v>
      </c>
    </row>
    <row r="528" spans="1:35" x14ac:dyDescent="0.25">
      <c r="A528">
        <v>259</v>
      </c>
      <c r="B528" t="s">
        <v>35</v>
      </c>
      <c r="C528">
        <v>3</v>
      </c>
      <c r="D528" t="s">
        <v>36</v>
      </c>
      <c r="E528">
        <v>3</v>
      </c>
      <c r="F528" t="s">
        <v>259</v>
      </c>
      <c r="G528">
        <v>3</v>
      </c>
      <c r="H528">
        <v>9</v>
      </c>
      <c r="I528">
        <v>2</v>
      </c>
      <c r="J528">
        <v>23</v>
      </c>
      <c r="K528">
        <v>5</v>
      </c>
      <c r="L528">
        <v>37</v>
      </c>
      <c r="M528">
        <v>2</v>
      </c>
      <c r="N528" t="s">
        <v>97</v>
      </c>
      <c r="O528" t="s">
        <v>39</v>
      </c>
      <c r="P528" t="s">
        <v>49</v>
      </c>
      <c r="Q528" t="s">
        <v>50</v>
      </c>
      <c r="R528" t="s">
        <v>91</v>
      </c>
      <c r="S528" t="s">
        <v>92</v>
      </c>
      <c r="T528" t="s">
        <v>54</v>
      </c>
      <c r="U528">
        <v>4</v>
      </c>
      <c r="V528" t="s">
        <v>53</v>
      </c>
      <c r="W528" t="s">
        <v>162</v>
      </c>
      <c r="X528" t="s">
        <v>82</v>
      </c>
      <c r="Y528">
        <v>1</v>
      </c>
      <c r="Z528">
        <v>4</v>
      </c>
      <c r="AA528">
        <v>44.1</v>
      </c>
      <c r="AB528">
        <v>-1</v>
      </c>
      <c r="AC528" t="s">
        <v>54</v>
      </c>
      <c r="AD528">
        <v>1</v>
      </c>
      <c r="AE528">
        <v>4</v>
      </c>
      <c r="AF528">
        <v>1</v>
      </c>
      <c r="AG528">
        <v>2.9590000000000001</v>
      </c>
      <c r="AH528">
        <v>0.41599999999999998</v>
      </c>
      <c r="AI528">
        <v>-1</v>
      </c>
    </row>
    <row r="529" spans="1:35" x14ac:dyDescent="0.25">
      <c r="A529">
        <v>259</v>
      </c>
      <c r="B529" t="s">
        <v>35</v>
      </c>
      <c r="C529">
        <v>3</v>
      </c>
      <c r="D529" t="s">
        <v>36</v>
      </c>
      <c r="E529">
        <v>3</v>
      </c>
      <c r="F529" t="s">
        <v>259</v>
      </c>
      <c r="G529">
        <v>3</v>
      </c>
      <c r="H529">
        <v>9</v>
      </c>
      <c r="I529">
        <v>2</v>
      </c>
      <c r="J529">
        <v>24</v>
      </c>
      <c r="K529">
        <v>19</v>
      </c>
      <c r="L529">
        <v>5</v>
      </c>
      <c r="M529">
        <v>1</v>
      </c>
      <c r="N529" t="s">
        <v>192</v>
      </c>
      <c r="O529" t="s">
        <v>39</v>
      </c>
      <c r="P529" t="s">
        <v>193</v>
      </c>
      <c r="Q529" t="s">
        <v>194</v>
      </c>
      <c r="R529" t="s">
        <v>51</v>
      </c>
      <c r="S529" t="s">
        <v>52</v>
      </c>
      <c r="T529" t="s">
        <v>144</v>
      </c>
      <c r="U529">
        <v>1</v>
      </c>
      <c r="V529" t="s">
        <v>185</v>
      </c>
      <c r="W529" t="s">
        <v>46</v>
      </c>
      <c r="X529" t="s">
        <v>155</v>
      </c>
      <c r="Y529">
        <v>1</v>
      </c>
      <c r="Z529">
        <v>4</v>
      </c>
      <c r="AA529">
        <v>44.1</v>
      </c>
      <c r="AB529">
        <v>0.214</v>
      </c>
      <c r="AC529" t="s">
        <v>144</v>
      </c>
      <c r="AD529">
        <v>1</v>
      </c>
      <c r="AE529">
        <v>1</v>
      </c>
      <c r="AF529">
        <v>1</v>
      </c>
      <c r="AG529">
        <v>2.8050000000000002</v>
      </c>
      <c r="AH529">
        <v>4.8000000000000001E-2</v>
      </c>
      <c r="AI529">
        <v>0.217</v>
      </c>
    </row>
    <row r="530" spans="1:35" x14ac:dyDescent="0.25">
      <c r="A530">
        <v>259</v>
      </c>
      <c r="B530" t="s">
        <v>35</v>
      </c>
      <c r="C530">
        <v>3</v>
      </c>
      <c r="D530" t="s">
        <v>36</v>
      </c>
      <c r="E530">
        <v>3</v>
      </c>
      <c r="F530" t="s">
        <v>259</v>
      </c>
      <c r="G530">
        <v>3</v>
      </c>
      <c r="H530">
        <v>9</v>
      </c>
      <c r="I530">
        <v>2</v>
      </c>
      <c r="J530">
        <v>25</v>
      </c>
      <c r="K530">
        <v>34</v>
      </c>
      <c r="L530">
        <v>28</v>
      </c>
      <c r="M530">
        <v>1</v>
      </c>
      <c r="N530" t="s">
        <v>117</v>
      </c>
      <c r="O530" t="s">
        <v>113</v>
      </c>
      <c r="P530" t="s">
        <v>114</v>
      </c>
      <c r="Q530" t="s">
        <v>118</v>
      </c>
      <c r="R530" t="s">
        <v>114</v>
      </c>
      <c r="S530" t="s">
        <v>52</v>
      </c>
      <c r="T530" t="s">
        <v>119</v>
      </c>
      <c r="U530">
        <v>4</v>
      </c>
      <c r="V530" t="s">
        <v>214</v>
      </c>
      <c r="W530" t="s">
        <v>146</v>
      </c>
      <c r="X530" t="s">
        <v>147</v>
      </c>
      <c r="Y530">
        <v>2</v>
      </c>
      <c r="Z530">
        <v>4</v>
      </c>
      <c r="AA530">
        <v>44.1</v>
      </c>
      <c r="AB530">
        <v>-1</v>
      </c>
      <c r="AC530" t="s">
        <v>214</v>
      </c>
      <c r="AD530">
        <v>3</v>
      </c>
      <c r="AE530">
        <v>1</v>
      </c>
      <c r="AF530">
        <v>0</v>
      </c>
      <c r="AG530">
        <v>2.218</v>
      </c>
      <c r="AH530">
        <v>0.55000000000000004</v>
      </c>
      <c r="AI530">
        <v>-1</v>
      </c>
    </row>
    <row r="531" spans="1:35" x14ac:dyDescent="0.25">
      <c r="A531">
        <v>259</v>
      </c>
      <c r="B531" t="s">
        <v>35</v>
      </c>
      <c r="C531">
        <v>3</v>
      </c>
      <c r="D531" t="s">
        <v>36</v>
      </c>
      <c r="E531">
        <v>3</v>
      </c>
      <c r="F531" t="s">
        <v>259</v>
      </c>
      <c r="G531">
        <v>3</v>
      </c>
      <c r="H531">
        <v>9</v>
      </c>
      <c r="I531">
        <v>2</v>
      </c>
      <c r="J531">
        <v>26</v>
      </c>
      <c r="K531">
        <v>44</v>
      </c>
      <c r="L531">
        <v>30</v>
      </c>
      <c r="M531">
        <v>1</v>
      </c>
      <c r="N531" t="s">
        <v>233</v>
      </c>
      <c r="O531" t="s">
        <v>113</v>
      </c>
      <c r="P531" t="s">
        <v>114</v>
      </c>
      <c r="Q531" t="s">
        <v>218</v>
      </c>
      <c r="R531" t="s">
        <v>114</v>
      </c>
      <c r="S531" t="s">
        <v>43</v>
      </c>
      <c r="T531" t="s">
        <v>107</v>
      </c>
      <c r="U531">
        <v>4</v>
      </c>
      <c r="V531" t="s">
        <v>111</v>
      </c>
      <c r="W531" t="s">
        <v>155</v>
      </c>
      <c r="X531" t="s">
        <v>53</v>
      </c>
      <c r="Y531">
        <v>2</v>
      </c>
      <c r="Z531">
        <v>4</v>
      </c>
      <c r="AA531">
        <v>44.1</v>
      </c>
      <c r="AB531">
        <v>0.193</v>
      </c>
      <c r="AC531" t="s">
        <v>107</v>
      </c>
      <c r="AD531">
        <v>1</v>
      </c>
      <c r="AE531">
        <v>4</v>
      </c>
      <c r="AF531">
        <v>1</v>
      </c>
      <c r="AG531">
        <v>2.3199999999999998</v>
      </c>
      <c r="AH531">
        <v>0.433</v>
      </c>
      <c r="AI531">
        <v>0.2</v>
      </c>
    </row>
    <row r="532" spans="1:35" x14ac:dyDescent="0.25">
      <c r="A532">
        <v>259</v>
      </c>
      <c r="B532" t="s">
        <v>35</v>
      </c>
      <c r="C532">
        <v>3</v>
      </c>
      <c r="D532" t="s">
        <v>36</v>
      </c>
      <c r="E532">
        <v>3</v>
      </c>
      <c r="F532" t="s">
        <v>259</v>
      </c>
      <c r="G532">
        <v>3</v>
      </c>
      <c r="H532">
        <v>9</v>
      </c>
      <c r="I532">
        <v>2</v>
      </c>
      <c r="J532">
        <v>27</v>
      </c>
      <c r="K532">
        <v>41</v>
      </c>
      <c r="L532">
        <v>65</v>
      </c>
      <c r="M532">
        <v>2</v>
      </c>
      <c r="N532" t="s">
        <v>225</v>
      </c>
      <c r="O532" t="s">
        <v>113</v>
      </c>
      <c r="P532" t="s">
        <v>114</v>
      </c>
      <c r="Q532" t="s">
        <v>226</v>
      </c>
      <c r="R532" t="s">
        <v>114</v>
      </c>
      <c r="S532" t="s">
        <v>59</v>
      </c>
      <c r="T532" t="s">
        <v>87</v>
      </c>
      <c r="U532">
        <v>2</v>
      </c>
      <c r="V532" t="s">
        <v>209</v>
      </c>
      <c r="W532" t="s">
        <v>144</v>
      </c>
      <c r="X532" t="s">
        <v>121</v>
      </c>
      <c r="Y532">
        <v>1</v>
      </c>
      <c r="Z532">
        <v>4</v>
      </c>
      <c r="AA532">
        <v>44.1</v>
      </c>
      <c r="AB532">
        <v>-1</v>
      </c>
      <c r="AC532" t="s">
        <v>209</v>
      </c>
      <c r="AD532">
        <v>2</v>
      </c>
      <c r="AE532">
        <v>1</v>
      </c>
      <c r="AF532">
        <v>0</v>
      </c>
      <c r="AG532">
        <v>3.0590000000000002</v>
      </c>
      <c r="AH532">
        <v>0.28299999999999997</v>
      </c>
      <c r="AI532">
        <v>-1</v>
      </c>
    </row>
    <row r="533" spans="1:35" x14ac:dyDescent="0.25">
      <c r="A533">
        <v>259</v>
      </c>
      <c r="B533" t="s">
        <v>35</v>
      </c>
      <c r="C533">
        <v>3</v>
      </c>
      <c r="D533" t="s">
        <v>36</v>
      </c>
      <c r="E533">
        <v>3</v>
      </c>
      <c r="F533" t="s">
        <v>259</v>
      </c>
      <c r="G533">
        <v>3</v>
      </c>
      <c r="H533">
        <v>9</v>
      </c>
      <c r="I533">
        <v>2</v>
      </c>
      <c r="J533">
        <v>28</v>
      </c>
      <c r="K533">
        <v>27</v>
      </c>
      <c r="L533">
        <v>25</v>
      </c>
      <c r="M533">
        <v>1</v>
      </c>
      <c r="N533" t="s">
        <v>122</v>
      </c>
      <c r="O533" t="s">
        <v>113</v>
      </c>
      <c r="P533" t="s">
        <v>114</v>
      </c>
      <c r="Q533" t="s">
        <v>123</v>
      </c>
      <c r="R533" t="s">
        <v>114</v>
      </c>
      <c r="S533" t="s">
        <v>59</v>
      </c>
      <c r="T533" t="s">
        <v>124</v>
      </c>
      <c r="U533">
        <v>2</v>
      </c>
      <c r="V533" t="s">
        <v>130</v>
      </c>
      <c r="W533" t="s">
        <v>67</v>
      </c>
      <c r="X533" t="s">
        <v>187</v>
      </c>
      <c r="Y533">
        <v>1</v>
      </c>
      <c r="Z533">
        <v>4</v>
      </c>
      <c r="AA533">
        <v>44.1</v>
      </c>
      <c r="AB533">
        <v>-1</v>
      </c>
      <c r="AC533" t="s">
        <v>67</v>
      </c>
      <c r="AD533">
        <v>4</v>
      </c>
      <c r="AE533">
        <v>4</v>
      </c>
      <c r="AF533">
        <v>0</v>
      </c>
      <c r="AG533">
        <v>2.0409999999999999</v>
      </c>
      <c r="AH533">
        <v>0.316</v>
      </c>
      <c r="AI533">
        <v>-1</v>
      </c>
    </row>
    <row r="534" spans="1:35" x14ac:dyDescent="0.25">
      <c r="A534">
        <v>259</v>
      </c>
      <c r="B534" t="s">
        <v>35</v>
      </c>
      <c r="C534">
        <v>3</v>
      </c>
      <c r="D534" t="s">
        <v>36</v>
      </c>
      <c r="E534">
        <v>3</v>
      </c>
      <c r="F534" t="s">
        <v>259</v>
      </c>
      <c r="G534">
        <v>3</v>
      </c>
      <c r="H534">
        <v>9</v>
      </c>
      <c r="I534">
        <v>2</v>
      </c>
      <c r="J534">
        <v>29</v>
      </c>
      <c r="K534">
        <v>37</v>
      </c>
      <c r="L534">
        <v>35</v>
      </c>
      <c r="M534">
        <v>1</v>
      </c>
      <c r="N534" t="s">
        <v>219</v>
      </c>
      <c r="O534" t="s">
        <v>113</v>
      </c>
      <c r="P534" t="s">
        <v>114</v>
      </c>
      <c r="Q534" t="s">
        <v>220</v>
      </c>
      <c r="R534" t="s">
        <v>114</v>
      </c>
      <c r="S534" t="s">
        <v>92</v>
      </c>
      <c r="T534" t="s">
        <v>179</v>
      </c>
      <c r="U534">
        <v>4</v>
      </c>
      <c r="V534" t="s">
        <v>116</v>
      </c>
      <c r="W534" t="s">
        <v>96</v>
      </c>
      <c r="X534" t="s">
        <v>102</v>
      </c>
      <c r="Y534">
        <v>1</v>
      </c>
      <c r="Z534">
        <v>4</v>
      </c>
      <c r="AA534">
        <v>44.1</v>
      </c>
      <c r="AB534">
        <v>-1</v>
      </c>
      <c r="AC534" t="s">
        <v>179</v>
      </c>
      <c r="AD534">
        <v>1</v>
      </c>
      <c r="AE534">
        <v>4</v>
      </c>
      <c r="AF534">
        <v>1</v>
      </c>
      <c r="AG534">
        <v>1.3240000000000001</v>
      </c>
      <c r="AH534">
        <v>7.9000000000000001E-2</v>
      </c>
      <c r="AI534">
        <v>-1</v>
      </c>
    </row>
    <row r="535" spans="1:35" x14ac:dyDescent="0.25">
      <c r="A535">
        <v>259</v>
      </c>
      <c r="B535" t="s">
        <v>35</v>
      </c>
      <c r="C535">
        <v>3</v>
      </c>
      <c r="D535" t="s">
        <v>36</v>
      </c>
      <c r="E535">
        <v>3</v>
      </c>
      <c r="F535" t="s">
        <v>259</v>
      </c>
      <c r="G535">
        <v>3</v>
      </c>
      <c r="H535">
        <v>9</v>
      </c>
      <c r="I535">
        <v>2</v>
      </c>
      <c r="J535">
        <v>30</v>
      </c>
      <c r="K535">
        <v>30</v>
      </c>
      <c r="L535">
        <v>62</v>
      </c>
      <c r="M535">
        <v>2</v>
      </c>
      <c r="N535" t="s">
        <v>142</v>
      </c>
      <c r="O535" t="s">
        <v>113</v>
      </c>
      <c r="P535" t="s">
        <v>114</v>
      </c>
      <c r="Q535" t="s">
        <v>126</v>
      </c>
      <c r="R535" t="s">
        <v>114</v>
      </c>
      <c r="S535" t="s">
        <v>52</v>
      </c>
      <c r="T535" t="s">
        <v>128</v>
      </c>
      <c r="U535">
        <v>2</v>
      </c>
      <c r="V535" t="s">
        <v>127</v>
      </c>
      <c r="W535" t="s">
        <v>161</v>
      </c>
      <c r="X535" t="s">
        <v>85</v>
      </c>
      <c r="Y535">
        <v>1</v>
      </c>
      <c r="Z535">
        <v>4</v>
      </c>
      <c r="AA535">
        <v>44.1</v>
      </c>
      <c r="AB535">
        <v>0.193</v>
      </c>
      <c r="AC535" t="s">
        <v>128</v>
      </c>
      <c r="AD535">
        <v>1</v>
      </c>
      <c r="AE535">
        <v>2</v>
      </c>
      <c r="AF535">
        <v>1</v>
      </c>
      <c r="AG535">
        <v>2.5209999999999999</v>
      </c>
      <c r="AH535">
        <v>0.1</v>
      </c>
      <c r="AI535">
        <v>0.19400000000000001</v>
      </c>
    </row>
    <row r="536" spans="1:35" x14ac:dyDescent="0.25">
      <c r="A536">
        <v>259</v>
      </c>
      <c r="B536" t="s">
        <v>35</v>
      </c>
      <c r="C536">
        <v>3</v>
      </c>
      <c r="D536" t="s">
        <v>36</v>
      </c>
      <c r="E536">
        <v>3</v>
      </c>
      <c r="F536" t="s">
        <v>259</v>
      </c>
      <c r="G536">
        <v>3</v>
      </c>
      <c r="H536">
        <v>9</v>
      </c>
      <c r="I536">
        <v>2</v>
      </c>
      <c r="J536">
        <v>31</v>
      </c>
      <c r="K536">
        <v>45</v>
      </c>
      <c r="L536">
        <v>69</v>
      </c>
      <c r="M536">
        <v>2</v>
      </c>
      <c r="N536" t="s">
        <v>221</v>
      </c>
      <c r="O536" t="s">
        <v>113</v>
      </c>
      <c r="P536" t="s">
        <v>114</v>
      </c>
      <c r="Q536" t="s">
        <v>222</v>
      </c>
      <c r="R536" t="s">
        <v>114</v>
      </c>
      <c r="S536" t="s">
        <v>52</v>
      </c>
      <c r="T536" t="s">
        <v>69</v>
      </c>
      <c r="U536">
        <v>4</v>
      </c>
      <c r="V536" t="s">
        <v>81</v>
      </c>
      <c r="W536" t="s">
        <v>93</v>
      </c>
      <c r="X536" t="s">
        <v>103</v>
      </c>
      <c r="Y536">
        <v>1</v>
      </c>
      <c r="Z536">
        <v>4</v>
      </c>
      <c r="AA536">
        <v>44.1</v>
      </c>
      <c r="AB536">
        <v>-1</v>
      </c>
      <c r="AC536" t="s">
        <v>69</v>
      </c>
      <c r="AD536">
        <v>1</v>
      </c>
      <c r="AE536">
        <v>4</v>
      </c>
      <c r="AF536">
        <v>1</v>
      </c>
      <c r="AG536">
        <v>0.45400000000000001</v>
      </c>
      <c r="AH536">
        <v>6.6000000000000003E-2</v>
      </c>
      <c r="AI536">
        <v>-1</v>
      </c>
    </row>
    <row r="537" spans="1:35" x14ac:dyDescent="0.25">
      <c r="A537">
        <v>259</v>
      </c>
      <c r="B537" t="s">
        <v>35</v>
      </c>
      <c r="C537">
        <v>3</v>
      </c>
      <c r="D537" t="s">
        <v>36</v>
      </c>
      <c r="E537">
        <v>3</v>
      </c>
      <c r="F537" t="s">
        <v>259</v>
      </c>
      <c r="G537">
        <v>3</v>
      </c>
      <c r="H537">
        <v>9</v>
      </c>
      <c r="I537">
        <v>2</v>
      </c>
      <c r="J537">
        <v>32</v>
      </c>
      <c r="K537">
        <v>42</v>
      </c>
      <c r="L537">
        <v>66</v>
      </c>
      <c r="M537">
        <v>2</v>
      </c>
      <c r="N537" t="s">
        <v>229</v>
      </c>
      <c r="O537" t="s">
        <v>113</v>
      </c>
      <c r="P537" t="s">
        <v>114</v>
      </c>
      <c r="Q537" t="s">
        <v>226</v>
      </c>
      <c r="R537" t="s">
        <v>114</v>
      </c>
      <c r="S537" t="s">
        <v>92</v>
      </c>
      <c r="T537" t="s">
        <v>209</v>
      </c>
      <c r="U537">
        <v>2</v>
      </c>
      <c r="V537" t="s">
        <v>120</v>
      </c>
      <c r="W537" t="s">
        <v>172</v>
      </c>
      <c r="X537" t="s">
        <v>139</v>
      </c>
      <c r="Y537">
        <v>2</v>
      </c>
      <c r="Z537">
        <v>4</v>
      </c>
      <c r="AA537">
        <v>44.1</v>
      </c>
      <c r="AB537">
        <v>-1</v>
      </c>
      <c r="AC537" t="s">
        <v>209</v>
      </c>
      <c r="AD537">
        <v>1</v>
      </c>
      <c r="AE537">
        <v>2</v>
      </c>
      <c r="AF537">
        <v>1</v>
      </c>
      <c r="AG537">
        <v>0.88600000000000001</v>
      </c>
      <c r="AH537">
        <v>0.48299999999999998</v>
      </c>
      <c r="AI537">
        <v>-1</v>
      </c>
    </row>
    <row r="538" spans="1:35" x14ac:dyDescent="0.25">
      <c r="A538">
        <v>259</v>
      </c>
      <c r="B538" t="s">
        <v>35</v>
      </c>
      <c r="C538">
        <v>3</v>
      </c>
      <c r="D538" t="s">
        <v>36</v>
      </c>
      <c r="E538">
        <v>3</v>
      </c>
      <c r="F538" t="s">
        <v>259</v>
      </c>
      <c r="G538">
        <v>3</v>
      </c>
      <c r="H538">
        <v>9</v>
      </c>
      <c r="I538">
        <v>2</v>
      </c>
      <c r="J538">
        <v>33</v>
      </c>
      <c r="K538">
        <v>31</v>
      </c>
      <c r="L538">
        <v>63</v>
      </c>
      <c r="M538">
        <v>2</v>
      </c>
      <c r="N538" t="s">
        <v>140</v>
      </c>
      <c r="O538" t="s">
        <v>113</v>
      </c>
      <c r="P538" t="s">
        <v>114</v>
      </c>
      <c r="Q538" t="s">
        <v>134</v>
      </c>
      <c r="R538" t="s">
        <v>114</v>
      </c>
      <c r="S538" t="s">
        <v>59</v>
      </c>
      <c r="T538" t="s">
        <v>95</v>
      </c>
      <c r="U538">
        <v>5</v>
      </c>
      <c r="V538" t="s">
        <v>124</v>
      </c>
      <c r="W538" t="s">
        <v>47</v>
      </c>
      <c r="X538" t="s">
        <v>106</v>
      </c>
      <c r="Y538">
        <v>2</v>
      </c>
      <c r="Z538">
        <v>4</v>
      </c>
      <c r="AA538">
        <v>44.1</v>
      </c>
      <c r="AB538">
        <v>-1</v>
      </c>
      <c r="AC538" t="s">
        <v>95</v>
      </c>
      <c r="AD538">
        <v>1</v>
      </c>
      <c r="AE538">
        <v>5</v>
      </c>
      <c r="AF538">
        <v>1</v>
      </c>
      <c r="AG538">
        <v>1.9610000000000001</v>
      </c>
      <c r="AH538">
        <v>0.247</v>
      </c>
      <c r="AI538">
        <v>-1</v>
      </c>
    </row>
    <row r="539" spans="1:35" x14ac:dyDescent="0.25">
      <c r="A539">
        <v>259</v>
      </c>
      <c r="B539" t="s">
        <v>35</v>
      </c>
      <c r="C539">
        <v>3</v>
      </c>
      <c r="D539" t="s">
        <v>36</v>
      </c>
      <c r="E539">
        <v>3</v>
      </c>
      <c r="F539" t="s">
        <v>259</v>
      </c>
      <c r="G539">
        <v>3</v>
      </c>
      <c r="H539">
        <v>9</v>
      </c>
      <c r="I539">
        <v>2</v>
      </c>
      <c r="J539">
        <v>34</v>
      </c>
      <c r="K539">
        <v>43</v>
      </c>
      <c r="L539">
        <v>29</v>
      </c>
      <c r="M539">
        <v>1</v>
      </c>
      <c r="N539" t="s">
        <v>217</v>
      </c>
      <c r="O539" t="s">
        <v>113</v>
      </c>
      <c r="P539" t="s">
        <v>114</v>
      </c>
      <c r="Q539" t="s">
        <v>218</v>
      </c>
      <c r="R539" t="s">
        <v>114</v>
      </c>
      <c r="S539" t="s">
        <v>52</v>
      </c>
      <c r="T539" t="s">
        <v>214</v>
      </c>
      <c r="U539">
        <v>5</v>
      </c>
      <c r="V539" t="s">
        <v>107</v>
      </c>
      <c r="W539" t="s">
        <v>62</v>
      </c>
      <c r="X539" t="s">
        <v>66</v>
      </c>
      <c r="Y539">
        <v>1</v>
      </c>
      <c r="Z539">
        <v>4</v>
      </c>
      <c r="AA539">
        <v>44.1</v>
      </c>
      <c r="AB539">
        <v>0.754</v>
      </c>
      <c r="AC539" t="s">
        <v>62</v>
      </c>
      <c r="AD539">
        <v>4</v>
      </c>
      <c r="AE539">
        <v>2</v>
      </c>
      <c r="AF539">
        <v>0</v>
      </c>
      <c r="AG539">
        <v>1.889</v>
      </c>
      <c r="AH539">
        <v>0.16600000000000001</v>
      </c>
      <c r="AI539">
        <v>0.76</v>
      </c>
    </row>
    <row r="540" spans="1:35" x14ac:dyDescent="0.25">
      <c r="A540">
        <v>259</v>
      </c>
      <c r="B540" t="s">
        <v>35</v>
      </c>
      <c r="C540">
        <v>3</v>
      </c>
      <c r="D540" t="s">
        <v>36</v>
      </c>
      <c r="E540">
        <v>3</v>
      </c>
      <c r="F540" t="s">
        <v>259</v>
      </c>
      <c r="G540">
        <v>3</v>
      </c>
      <c r="H540">
        <v>9</v>
      </c>
      <c r="I540">
        <v>2</v>
      </c>
      <c r="J540">
        <v>35</v>
      </c>
      <c r="K540">
        <v>46</v>
      </c>
      <c r="L540">
        <v>70</v>
      </c>
      <c r="M540">
        <v>2</v>
      </c>
      <c r="N540" t="s">
        <v>232</v>
      </c>
      <c r="O540" t="s">
        <v>113</v>
      </c>
      <c r="P540" t="s">
        <v>114</v>
      </c>
      <c r="Q540" t="s">
        <v>222</v>
      </c>
      <c r="R540" t="s">
        <v>114</v>
      </c>
      <c r="S540" t="s">
        <v>43</v>
      </c>
      <c r="T540" t="s">
        <v>81</v>
      </c>
      <c r="U540">
        <v>2</v>
      </c>
      <c r="V540" t="s">
        <v>104</v>
      </c>
      <c r="W540" t="s">
        <v>156</v>
      </c>
      <c r="X540" t="s">
        <v>141</v>
      </c>
      <c r="Y540">
        <v>2</v>
      </c>
      <c r="Z540">
        <v>4</v>
      </c>
      <c r="AA540">
        <v>44.1</v>
      </c>
      <c r="AB540">
        <v>0.16300000000000001</v>
      </c>
      <c r="AC540" t="s">
        <v>156</v>
      </c>
      <c r="AD540">
        <v>4</v>
      </c>
      <c r="AE540">
        <v>4</v>
      </c>
      <c r="AF540">
        <v>0</v>
      </c>
      <c r="AG540">
        <v>1.2769999999999999</v>
      </c>
      <c r="AH540">
        <v>0.2</v>
      </c>
      <c r="AI540">
        <v>0.16400000000000001</v>
      </c>
    </row>
    <row r="541" spans="1:35" x14ac:dyDescent="0.25">
      <c r="A541">
        <v>259</v>
      </c>
      <c r="B541" t="s">
        <v>35</v>
      </c>
      <c r="C541">
        <v>3</v>
      </c>
      <c r="D541" t="s">
        <v>36</v>
      </c>
      <c r="E541">
        <v>3</v>
      </c>
      <c r="F541" t="s">
        <v>259</v>
      </c>
      <c r="G541">
        <v>3</v>
      </c>
      <c r="H541">
        <v>9</v>
      </c>
      <c r="I541">
        <v>2</v>
      </c>
      <c r="J541">
        <v>36</v>
      </c>
      <c r="K541">
        <v>29</v>
      </c>
      <c r="L541">
        <v>61</v>
      </c>
      <c r="M541">
        <v>2</v>
      </c>
      <c r="N541" t="s">
        <v>125</v>
      </c>
      <c r="O541" t="s">
        <v>113</v>
      </c>
      <c r="P541" t="s">
        <v>114</v>
      </c>
      <c r="Q541" t="s">
        <v>126</v>
      </c>
      <c r="R541" t="s">
        <v>114</v>
      </c>
      <c r="S541" t="s">
        <v>92</v>
      </c>
      <c r="T541" t="s">
        <v>127</v>
      </c>
      <c r="U541">
        <v>5</v>
      </c>
      <c r="V541" t="s">
        <v>179</v>
      </c>
      <c r="W541" t="s">
        <v>131</v>
      </c>
      <c r="X541" t="s">
        <v>55</v>
      </c>
      <c r="Y541">
        <v>2</v>
      </c>
      <c r="Z541">
        <v>4</v>
      </c>
      <c r="AA541">
        <v>44.1</v>
      </c>
      <c r="AB541">
        <v>-1</v>
      </c>
      <c r="AC541" t="s">
        <v>127</v>
      </c>
      <c r="AD541">
        <v>1</v>
      </c>
      <c r="AE541">
        <v>5</v>
      </c>
      <c r="AF541">
        <v>1</v>
      </c>
      <c r="AG541">
        <v>2.8610000000000002</v>
      </c>
      <c r="AH541">
        <v>6.6000000000000003E-2</v>
      </c>
      <c r="AI541">
        <v>-1</v>
      </c>
    </row>
    <row r="542" spans="1:35" x14ac:dyDescent="0.25">
      <c r="A542">
        <v>259</v>
      </c>
      <c r="B542" t="s">
        <v>35</v>
      </c>
      <c r="C542">
        <v>3</v>
      </c>
      <c r="D542" t="s">
        <v>36</v>
      </c>
      <c r="E542">
        <v>3</v>
      </c>
      <c r="F542" t="s">
        <v>259</v>
      </c>
      <c r="G542">
        <v>3</v>
      </c>
      <c r="H542">
        <v>9</v>
      </c>
      <c r="I542">
        <v>2</v>
      </c>
      <c r="J542">
        <v>37</v>
      </c>
      <c r="K542">
        <v>48</v>
      </c>
      <c r="L542">
        <v>34</v>
      </c>
      <c r="M542">
        <v>1</v>
      </c>
      <c r="N542" t="s">
        <v>228</v>
      </c>
      <c r="O542" t="s">
        <v>113</v>
      </c>
      <c r="P542" t="s">
        <v>114</v>
      </c>
      <c r="Q542" t="s">
        <v>224</v>
      </c>
      <c r="R542" t="s">
        <v>114</v>
      </c>
      <c r="S542" t="s">
        <v>52</v>
      </c>
      <c r="T542" t="s">
        <v>61</v>
      </c>
      <c r="U542">
        <v>5</v>
      </c>
      <c r="V542" t="s">
        <v>69</v>
      </c>
      <c r="W542" t="s">
        <v>108</v>
      </c>
      <c r="X542" t="s">
        <v>45</v>
      </c>
      <c r="Y542">
        <v>2</v>
      </c>
      <c r="Z542">
        <v>4</v>
      </c>
      <c r="AA542">
        <v>44.1</v>
      </c>
      <c r="AB542">
        <v>-1</v>
      </c>
      <c r="AC542" t="s">
        <v>61</v>
      </c>
      <c r="AD542">
        <v>1</v>
      </c>
      <c r="AE542">
        <v>5</v>
      </c>
      <c r="AF542">
        <v>1</v>
      </c>
      <c r="AG542">
        <v>0.68200000000000005</v>
      </c>
      <c r="AH542">
        <v>0.15</v>
      </c>
      <c r="AI542">
        <v>-1</v>
      </c>
    </row>
    <row r="543" spans="1:35" x14ac:dyDescent="0.25">
      <c r="A543">
        <v>259</v>
      </c>
      <c r="B543" t="s">
        <v>35</v>
      </c>
      <c r="C543">
        <v>3</v>
      </c>
      <c r="D543" t="s">
        <v>36</v>
      </c>
      <c r="E543">
        <v>3</v>
      </c>
      <c r="F543" t="s">
        <v>259</v>
      </c>
      <c r="G543">
        <v>3</v>
      </c>
      <c r="H543">
        <v>9</v>
      </c>
      <c r="I543">
        <v>2</v>
      </c>
      <c r="J543">
        <v>38</v>
      </c>
      <c r="K543">
        <v>26</v>
      </c>
      <c r="L543">
        <v>72</v>
      </c>
      <c r="M543">
        <v>2</v>
      </c>
      <c r="N543" t="s">
        <v>112</v>
      </c>
      <c r="O543" t="s">
        <v>113</v>
      </c>
      <c r="P543" t="s">
        <v>114</v>
      </c>
      <c r="Q543" t="s">
        <v>115</v>
      </c>
      <c r="R543" t="s">
        <v>114</v>
      </c>
      <c r="S543" t="s">
        <v>43</v>
      </c>
      <c r="T543" t="s">
        <v>104</v>
      </c>
      <c r="U543">
        <v>1</v>
      </c>
      <c r="V543" t="s">
        <v>46</v>
      </c>
      <c r="W543" t="s">
        <v>75</v>
      </c>
      <c r="X543" t="s">
        <v>79</v>
      </c>
      <c r="Y543">
        <v>1</v>
      </c>
      <c r="Z543">
        <v>4</v>
      </c>
      <c r="AA543">
        <v>44.1</v>
      </c>
      <c r="AB543">
        <v>-1</v>
      </c>
      <c r="AC543" t="s">
        <v>75</v>
      </c>
      <c r="AD543">
        <v>4</v>
      </c>
      <c r="AE543">
        <v>4</v>
      </c>
      <c r="AF543">
        <v>0</v>
      </c>
      <c r="AG543">
        <v>2.524</v>
      </c>
      <c r="AH543">
        <v>0.16600000000000001</v>
      </c>
      <c r="AI543">
        <v>-1</v>
      </c>
    </row>
    <row r="544" spans="1:35" x14ac:dyDescent="0.25">
      <c r="A544">
        <v>259</v>
      </c>
      <c r="B544" t="s">
        <v>35</v>
      </c>
      <c r="C544">
        <v>3</v>
      </c>
      <c r="D544" t="s">
        <v>36</v>
      </c>
      <c r="E544">
        <v>3</v>
      </c>
      <c r="F544" t="s">
        <v>259</v>
      </c>
      <c r="G544">
        <v>3</v>
      </c>
      <c r="H544">
        <v>9</v>
      </c>
      <c r="I544">
        <v>2</v>
      </c>
      <c r="J544">
        <v>39</v>
      </c>
      <c r="K544">
        <v>32</v>
      </c>
      <c r="L544">
        <v>64</v>
      </c>
      <c r="M544">
        <v>2</v>
      </c>
      <c r="N544" t="s">
        <v>133</v>
      </c>
      <c r="O544" t="s">
        <v>113</v>
      </c>
      <c r="P544" t="s">
        <v>114</v>
      </c>
      <c r="Q544" t="s">
        <v>134</v>
      </c>
      <c r="R544" t="s">
        <v>114</v>
      </c>
      <c r="S544" t="s">
        <v>43</v>
      </c>
      <c r="T544" t="s">
        <v>100</v>
      </c>
      <c r="U544">
        <v>4</v>
      </c>
      <c r="V544" t="s">
        <v>95</v>
      </c>
      <c r="W544" t="s">
        <v>54</v>
      </c>
      <c r="X544" t="s">
        <v>68</v>
      </c>
      <c r="Y544">
        <v>1</v>
      </c>
      <c r="Z544">
        <v>4</v>
      </c>
      <c r="AA544">
        <v>44.1</v>
      </c>
      <c r="AB544">
        <v>-1</v>
      </c>
      <c r="AC544" t="s">
        <v>100</v>
      </c>
      <c r="AD544">
        <v>1</v>
      </c>
      <c r="AE544">
        <v>4</v>
      </c>
      <c r="AF544">
        <v>1</v>
      </c>
      <c r="AG544">
        <v>0.85199999999999998</v>
      </c>
      <c r="AH544">
        <v>3.3000000000000002E-2</v>
      </c>
      <c r="AI544">
        <v>-1</v>
      </c>
    </row>
    <row r="545" spans="1:35" x14ac:dyDescent="0.25">
      <c r="A545">
        <v>259</v>
      </c>
      <c r="B545" t="s">
        <v>35</v>
      </c>
      <c r="C545">
        <v>3</v>
      </c>
      <c r="D545" t="s">
        <v>36</v>
      </c>
      <c r="E545">
        <v>3</v>
      </c>
      <c r="F545" t="s">
        <v>259</v>
      </c>
      <c r="G545">
        <v>3</v>
      </c>
      <c r="H545">
        <v>9</v>
      </c>
      <c r="I545">
        <v>2</v>
      </c>
      <c r="J545">
        <v>40</v>
      </c>
      <c r="K545">
        <v>35</v>
      </c>
      <c r="L545">
        <v>67</v>
      </c>
      <c r="M545">
        <v>2</v>
      </c>
      <c r="N545" t="s">
        <v>145</v>
      </c>
      <c r="O545" t="s">
        <v>113</v>
      </c>
      <c r="P545" t="s">
        <v>114</v>
      </c>
      <c r="Q545" t="s">
        <v>136</v>
      </c>
      <c r="R545" t="s">
        <v>114</v>
      </c>
      <c r="S545" t="s">
        <v>92</v>
      </c>
      <c r="T545" t="s">
        <v>137</v>
      </c>
      <c r="U545">
        <v>5</v>
      </c>
      <c r="V545" t="s">
        <v>74</v>
      </c>
      <c r="W545" t="s">
        <v>44</v>
      </c>
      <c r="X545" t="s">
        <v>110</v>
      </c>
      <c r="Y545">
        <v>1</v>
      </c>
      <c r="Z545">
        <v>4</v>
      </c>
      <c r="AA545">
        <v>44.1</v>
      </c>
      <c r="AB545">
        <v>-1</v>
      </c>
      <c r="AC545" t="s">
        <v>74</v>
      </c>
      <c r="AD545">
        <v>2</v>
      </c>
      <c r="AE545">
        <v>4</v>
      </c>
      <c r="AF545">
        <v>0</v>
      </c>
      <c r="AG545">
        <v>2.1859999999999999</v>
      </c>
      <c r="AH545">
        <v>0.15</v>
      </c>
      <c r="AI545">
        <v>-1</v>
      </c>
    </row>
    <row r="546" spans="1:35" x14ac:dyDescent="0.25">
      <c r="A546">
        <v>259</v>
      </c>
      <c r="B546" t="s">
        <v>35</v>
      </c>
      <c r="C546">
        <v>3</v>
      </c>
      <c r="D546" t="s">
        <v>36</v>
      </c>
      <c r="E546">
        <v>3</v>
      </c>
      <c r="F546" t="s">
        <v>259</v>
      </c>
      <c r="G546">
        <v>3</v>
      </c>
      <c r="H546">
        <v>9</v>
      </c>
      <c r="I546">
        <v>2</v>
      </c>
      <c r="J546">
        <v>41</v>
      </c>
      <c r="K546">
        <v>33</v>
      </c>
      <c r="L546">
        <v>27</v>
      </c>
      <c r="M546">
        <v>1</v>
      </c>
      <c r="N546" t="s">
        <v>129</v>
      </c>
      <c r="O546" t="s">
        <v>113</v>
      </c>
      <c r="P546" t="s">
        <v>114</v>
      </c>
      <c r="Q546" t="s">
        <v>118</v>
      </c>
      <c r="R546" t="s">
        <v>114</v>
      </c>
      <c r="S546" t="s">
        <v>92</v>
      </c>
      <c r="T546" t="s">
        <v>120</v>
      </c>
      <c r="U546">
        <v>5</v>
      </c>
      <c r="V546" t="s">
        <v>119</v>
      </c>
      <c r="W546" t="s">
        <v>204</v>
      </c>
      <c r="X546" t="s">
        <v>60</v>
      </c>
      <c r="Y546">
        <v>1</v>
      </c>
      <c r="Z546">
        <v>4</v>
      </c>
      <c r="AA546">
        <v>44.1</v>
      </c>
      <c r="AB546">
        <v>-1</v>
      </c>
      <c r="AC546" t="s">
        <v>120</v>
      </c>
      <c r="AD546">
        <v>1</v>
      </c>
      <c r="AE546">
        <v>5</v>
      </c>
      <c r="AF546">
        <v>1</v>
      </c>
      <c r="AG546">
        <v>3.2839999999999998</v>
      </c>
      <c r="AH546">
        <v>0.33300000000000002</v>
      </c>
      <c r="AI546">
        <v>-1</v>
      </c>
    </row>
    <row r="547" spans="1:35" x14ac:dyDescent="0.25">
      <c r="A547">
        <v>259</v>
      </c>
      <c r="B547" t="s">
        <v>35</v>
      </c>
      <c r="C547">
        <v>3</v>
      </c>
      <c r="D547" t="s">
        <v>36</v>
      </c>
      <c r="E547">
        <v>3</v>
      </c>
      <c r="F547" t="s">
        <v>259</v>
      </c>
      <c r="G547">
        <v>3</v>
      </c>
      <c r="H547">
        <v>9</v>
      </c>
      <c r="I547">
        <v>2</v>
      </c>
      <c r="J547">
        <v>42</v>
      </c>
      <c r="K547">
        <v>25</v>
      </c>
      <c r="L547">
        <v>71</v>
      </c>
      <c r="M547">
        <v>2</v>
      </c>
      <c r="N547" t="s">
        <v>143</v>
      </c>
      <c r="O547" t="s">
        <v>113</v>
      </c>
      <c r="P547" t="s">
        <v>114</v>
      </c>
      <c r="Q547" t="s">
        <v>115</v>
      </c>
      <c r="R547" t="s">
        <v>114</v>
      </c>
      <c r="S547" t="s">
        <v>59</v>
      </c>
      <c r="T547" t="s">
        <v>46</v>
      </c>
      <c r="U547">
        <v>2</v>
      </c>
      <c r="V547" t="s">
        <v>87</v>
      </c>
      <c r="W547" t="s">
        <v>166</v>
      </c>
      <c r="X547" t="s">
        <v>98</v>
      </c>
      <c r="Y547">
        <v>2</v>
      </c>
      <c r="Z547">
        <v>4</v>
      </c>
      <c r="AA547">
        <v>44.1</v>
      </c>
      <c r="AB547">
        <v>-1</v>
      </c>
      <c r="AC547" t="s">
        <v>166</v>
      </c>
      <c r="AD547">
        <v>4</v>
      </c>
      <c r="AE547">
        <v>1</v>
      </c>
      <c r="AF547">
        <v>0</v>
      </c>
      <c r="AG547">
        <v>2.4830000000000001</v>
      </c>
      <c r="AH547">
        <v>6.3E-2</v>
      </c>
      <c r="AI547">
        <v>-1</v>
      </c>
    </row>
    <row r="548" spans="1:35" x14ac:dyDescent="0.25">
      <c r="A548">
        <v>259</v>
      </c>
      <c r="B548" t="s">
        <v>35</v>
      </c>
      <c r="C548">
        <v>3</v>
      </c>
      <c r="D548" t="s">
        <v>36</v>
      </c>
      <c r="E548">
        <v>3</v>
      </c>
      <c r="F548" t="s">
        <v>259</v>
      </c>
      <c r="G548">
        <v>3</v>
      </c>
      <c r="H548">
        <v>9</v>
      </c>
      <c r="I548">
        <v>2</v>
      </c>
      <c r="J548">
        <v>43</v>
      </c>
      <c r="K548">
        <v>36</v>
      </c>
      <c r="L548">
        <v>68</v>
      </c>
      <c r="M548">
        <v>2</v>
      </c>
      <c r="N548" t="s">
        <v>135</v>
      </c>
      <c r="O548" t="s">
        <v>113</v>
      </c>
      <c r="P548" t="s">
        <v>114</v>
      </c>
      <c r="Q548" t="s">
        <v>136</v>
      </c>
      <c r="R548" t="s">
        <v>114</v>
      </c>
      <c r="S548" t="s">
        <v>52</v>
      </c>
      <c r="T548" t="s">
        <v>74</v>
      </c>
      <c r="U548">
        <v>2</v>
      </c>
      <c r="V548" t="s">
        <v>128</v>
      </c>
      <c r="W548" t="s">
        <v>138</v>
      </c>
      <c r="X548" t="s">
        <v>86</v>
      </c>
      <c r="Y548">
        <v>2</v>
      </c>
      <c r="Z548">
        <v>4</v>
      </c>
      <c r="AA548">
        <v>44.1</v>
      </c>
      <c r="AB548">
        <v>-1</v>
      </c>
      <c r="AC548" t="s">
        <v>74</v>
      </c>
      <c r="AD548">
        <v>1</v>
      </c>
      <c r="AE548">
        <v>2</v>
      </c>
      <c r="AF548">
        <v>1</v>
      </c>
      <c r="AG548">
        <v>3.306</v>
      </c>
      <c r="AH548">
        <v>0.25</v>
      </c>
      <c r="AI548">
        <v>-1</v>
      </c>
    </row>
    <row r="549" spans="1:35" x14ac:dyDescent="0.25">
      <c r="A549">
        <v>259</v>
      </c>
      <c r="B549" t="s">
        <v>35</v>
      </c>
      <c r="C549">
        <v>3</v>
      </c>
      <c r="D549" t="s">
        <v>36</v>
      </c>
      <c r="E549">
        <v>3</v>
      </c>
      <c r="F549" t="s">
        <v>259</v>
      </c>
      <c r="G549">
        <v>3</v>
      </c>
      <c r="H549">
        <v>9</v>
      </c>
      <c r="I549">
        <v>2</v>
      </c>
      <c r="J549">
        <v>44</v>
      </c>
      <c r="K549">
        <v>39</v>
      </c>
      <c r="L549">
        <v>31</v>
      </c>
      <c r="M549">
        <v>1</v>
      </c>
      <c r="N549" t="s">
        <v>230</v>
      </c>
      <c r="O549" t="s">
        <v>113</v>
      </c>
      <c r="P549" t="s">
        <v>114</v>
      </c>
      <c r="Q549" t="s">
        <v>231</v>
      </c>
      <c r="R549" t="s">
        <v>114</v>
      </c>
      <c r="S549" t="s">
        <v>59</v>
      </c>
      <c r="T549" t="s">
        <v>162</v>
      </c>
      <c r="U549">
        <v>2</v>
      </c>
      <c r="V549" t="s">
        <v>56</v>
      </c>
      <c r="W549" t="s">
        <v>149</v>
      </c>
      <c r="X549" t="s">
        <v>99</v>
      </c>
      <c r="Y549">
        <v>2</v>
      </c>
      <c r="Z549">
        <v>4</v>
      </c>
      <c r="AA549">
        <v>44.1</v>
      </c>
      <c r="AB549">
        <v>-1</v>
      </c>
      <c r="AC549" t="s">
        <v>56</v>
      </c>
      <c r="AD549">
        <v>3</v>
      </c>
      <c r="AE549">
        <v>5</v>
      </c>
      <c r="AF549">
        <v>0</v>
      </c>
      <c r="AG549">
        <v>3.4390000000000001</v>
      </c>
      <c r="AH549">
        <v>0.3</v>
      </c>
      <c r="AI549">
        <v>-1</v>
      </c>
    </row>
    <row r="550" spans="1:35" x14ac:dyDescent="0.25">
      <c r="A550">
        <v>259</v>
      </c>
      <c r="B550" t="s">
        <v>35</v>
      </c>
      <c r="C550">
        <v>3</v>
      </c>
      <c r="D550" t="s">
        <v>36</v>
      </c>
      <c r="E550">
        <v>3</v>
      </c>
      <c r="F550" t="s">
        <v>259</v>
      </c>
      <c r="G550">
        <v>3</v>
      </c>
      <c r="H550">
        <v>9</v>
      </c>
      <c r="I550">
        <v>2</v>
      </c>
      <c r="J550">
        <v>45</v>
      </c>
      <c r="K550">
        <v>38</v>
      </c>
      <c r="L550">
        <v>36</v>
      </c>
      <c r="M550">
        <v>1</v>
      </c>
      <c r="N550" t="s">
        <v>227</v>
      </c>
      <c r="O550" t="s">
        <v>113</v>
      </c>
      <c r="P550" t="s">
        <v>114</v>
      </c>
      <c r="Q550" t="s">
        <v>220</v>
      </c>
      <c r="R550" t="s">
        <v>114</v>
      </c>
      <c r="S550" t="s">
        <v>43</v>
      </c>
      <c r="T550" t="s">
        <v>116</v>
      </c>
      <c r="U550">
        <v>5</v>
      </c>
      <c r="V550" t="s">
        <v>100</v>
      </c>
      <c r="W550" t="s">
        <v>183</v>
      </c>
      <c r="X550" t="s">
        <v>94</v>
      </c>
      <c r="Y550">
        <v>2</v>
      </c>
      <c r="Z550">
        <v>4</v>
      </c>
      <c r="AA550">
        <v>44.1</v>
      </c>
      <c r="AB550">
        <v>0.17199999999999999</v>
      </c>
      <c r="AC550" t="s">
        <v>183</v>
      </c>
      <c r="AD550">
        <v>4</v>
      </c>
      <c r="AE550">
        <v>4</v>
      </c>
      <c r="AF550">
        <v>0</v>
      </c>
      <c r="AG550">
        <v>2.9540000000000002</v>
      </c>
      <c r="AH550">
        <v>0.245</v>
      </c>
      <c r="AI550">
        <v>0.17</v>
      </c>
    </row>
    <row r="551" spans="1:35" x14ac:dyDescent="0.25">
      <c r="A551">
        <v>259</v>
      </c>
      <c r="B551" t="s">
        <v>35</v>
      </c>
      <c r="C551">
        <v>3</v>
      </c>
      <c r="D551" t="s">
        <v>36</v>
      </c>
      <c r="E551">
        <v>3</v>
      </c>
      <c r="F551" t="s">
        <v>259</v>
      </c>
      <c r="G551">
        <v>3</v>
      </c>
      <c r="H551">
        <v>9</v>
      </c>
      <c r="I551">
        <v>2</v>
      </c>
      <c r="J551">
        <v>46</v>
      </c>
      <c r="K551">
        <v>47</v>
      </c>
      <c r="L551">
        <v>33</v>
      </c>
      <c r="M551">
        <v>1</v>
      </c>
      <c r="N551" t="s">
        <v>223</v>
      </c>
      <c r="O551" t="s">
        <v>113</v>
      </c>
      <c r="P551" t="s">
        <v>114</v>
      </c>
      <c r="Q551" t="s">
        <v>224</v>
      </c>
      <c r="R551" t="s">
        <v>114</v>
      </c>
      <c r="S551" t="s">
        <v>59</v>
      </c>
      <c r="T551" t="s">
        <v>56</v>
      </c>
      <c r="U551">
        <v>1</v>
      </c>
      <c r="V551" t="s">
        <v>61</v>
      </c>
      <c r="W551" t="s">
        <v>82</v>
      </c>
      <c r="X551" t="s">
        <v>185</v>
      </c>
      <c r="Y551">
        <v>1</v>
      </c>
      <c r="Z551">
        <v>4</v>
      </c>
      <c r="AA551">
        <v>44.1</v>
      </c>
      <c r="AB551">
        <v>-1</v>
      </c>
      <c r="AC551" t="s">
        <v>56</v>
      </c>
      <c r="AD551">
        <v>1</v>
      </c>
      <c r="AE551">
        <v>1</v>
      </c>
      <c r="AF551">
        <v>1</v>
      </c>
      <c r="AG551">
        <v>2.5720000000000001</v>
      </c>
      <c r="AH551">
        <v>8.3000000000000004E-2</v>
      </c>
      <c r="AI551">
        <v>-1</v>
      </c>
    </row>
    <row r="552" spans="1:35" x14ac:dyDescent="0.25">
      <c r="A552">
        <v>259</v>
      </c>
      <c r="B552" t="s">
        <v>35</v>
      </c>
      <c r="C552">
        <v>3</v>
      </c>
      <c r="D552" t="s">
        <v>36</v>
      </c>
      <c r="E552">
        <v>3</v>
      </c>
      <c r="F552" t="s">
        <v>259</v>
      </c>
      <c r="G552">
        <v>3</v>
      </c>
      <c r="H552">
        <v>9</v>
      </c>
      <c r="I552">
        <v>2</v>
      </c>
      <c r="J552">
        <v>47</v>
      </c>
      <c r="K552">
        <v>28</v>
      </c>
      <c r="L552">
        <v>26</v>
      </c>
      <c r="M552">
        <v>1</v>
      </c>
      <c r="N552" t="s">
        <v>148</v>
      </c>
      <c r="O552" t="s">
        <v>113</v>
      </c>
      <c r="P552" t="s">
        <v>114</v>
      </c>
      <c r="Q552" t="s">
        <v>123</v>
      </c>
      <c r="R552" t="s">
        <v>114</v>
      </c>
      <c r="S552" t="s">
        <v>92</v>
      </c>
      <c r="T552" t="s">
        <v>130</v>
      </c>
      <c r="U552">
        <v>4</v>
      </c>
      <c r="V552" t="s">
        <v>137</v>
      </c>
      <c r="W552" t="s">
        <v>73</v>
      </c>
      <c r="X552" t="s">
        <v>211</v>
      </c>
      <c r="Y552">
        <v>2</v>
      </c>
      <c r="Z552">
        <v>4</v>
      </c>
      <c r="AA552">
        <v>44.1</v>
      </c>
      <c r="AB552">
        <v>-1</v>
      </c>
      <c r="AC552" t="s">
        <v>130</v>
      </c>
      <c r="AD552">
        <v>1</v>
      </c>
      <c r="AE552">
        <v>4</v>
      </c>
      <c r="AF552">
        <v>1</v>
      </c>
      <c r="AG552">
        <v>3.2189999999999999</v>
      </c>
      <c r="AH552">
        <v>0.2</v>
      </c>
      <c r="AI552">
        <v>-1</v>
      </c>
    </row>
    <row r="553" spans="1:35" x14ac:dyDescent="0.25">
      <c r="A553">
        <v>259</v>
      </c>
      <c r="B553" t="s">
        <v>35</v>
      </c>
      <c r="C553">
        <v>3</v>
      </c>
      <c r="D553" t="s">
        <v>36</v>
      </c>
      <c r="E553">
        <v>3</v>
      </c>
      <c r="F553" t="s">
        <v>259</v>
      </c>
      <c r="G553">
        <v>3</v>
      </c>
      <c r="H553">
        <v>9</v>
      </c>
      <c r="I553">
        <v>2</v>
      </c>
      <c r="J553">
        <v>48</v>
      </c>
      <c r="K553">
        <v>40</v>
      </c>
      <c r="L553">
        <v>32</v>
      </c>
      <c r="M553">
        <v>1</v>
      </c>
      <c r="N553" t="s">
        <v>234</v>
      </c>
      <c r="O553" t="s">
        <v>113</v>
      </c>
      <c r="P553" t="s">
        <v>114</v>
      </c>
      <c r="Q553" t="s">
        <v>231</v>
      </c>
      <c r="R553" t="s">
        <v>114</v>
      </c>
      <c r="S553" t="s">
        <v>43</v>
      </c>
      <c r="T553" t="s">
        <v>111</v>
      </c>
      <c r="U553">
        <v>1</v>
      </c>
      <c r="V553" t="s">
        <v>162</v>
      </c>
      <c r="W553" t="s">
        <v>80</v>
      </c>
      <c r="X553" t="s">
        <v>132</v>
      </c>
      <c r="Y553">
        <v>1</v>
      </c>
      <c r="Z553">
        <v>4</v>
      </c>
      <c r="AA553">
        <v>44.1</v>
      </c>
      <c r="AB553">
        <v>-1</v>
      </c>
      <c r="AC553" t="s">
        <v>162</v>
      </c>
      <c r="AD553">
        <v>2</v>
      </c>
      <c r="AE553">
        <v>5</v>
      </c>
      <c r="AF553">
        <v>0</v>
      </c>
      <c r="AG553">
        <v>2.956</v>
      </c>
      <c r="AH553">
        <v>2.6840000000000002</v>
      </c>
      <c r="AI553">
        <v>-1</v>
      </c>
    </row>
    <row r="554" spans="1:35" x14ac:dyDescent="0.25">
      <c r="A554">
        <v>259</v>
      </c>
      <c r="B554" t="s">
        <v>35</v>
      </c>
      <c r="C554">
        <v>3</v>
      </c>
      <c r="D554" t="s">
        <v>36</v>
      </c>
      <c r="E554">
        <v>3</v>
      </c>
      <c r="F554" t="s">
        <v>259</v>
      </c>
      <c r="G554">
        <v>3</v>
      </c>
      <c r="H554">
        <v>9</v>
      </c>
      <c r="I554">
        <v>2</v>
      </c>
      <c r="J554">
        <v>49</v>
      </c>
      <c r="K554">
        <v>51</v>
      </c>
      <c r="L554">
        <v>13</v>
      </c>
      <c r="M554">
        <v>1</v>
      </c>
      <c r="N554" t="s">
        <v>167</v>
      </c>
      <c r="O554" t="s">
        <v>151</v>
      </c>
      <c r="P554" t="s">
        <v>168</v>
      </c>
      <c r="Q554" t="s">
        <v>169</v>
      </c>
      <c r="R554" t="s">
        <v>170</v>
      </c>
      <c r="S554" t="s">
        <v>59</v>
      </c>
      <c r="T554" t="s">
        <v>96</v>
      </c>
      <c r="U554">
        <v>4</v>
      </c>
      <c r="V554" t="s">
        <v>141</v>
      </c>
      <c r="W554" t="s">
        <v>128</v>
      </c>
      <c r="X554" t="s">
        <v>85</v>
      </c>
      <c r="Y554">
        <v>1</v>
      </c>
      <c r="Z554">
        <v>4</v>
      </c>
      <c r="AA554">
        <v>44.1</v>
      </c>
      <c r="AB554">
        <v>0.14399999999999999</v>
      </c>
      <c r="AC554" t="s">
        <v>141</v>
      </c>
      <c r="AD554">
        <v>2</v>
      </c>
      <c r="AE554">
        <v>2</v>
      </c>
      <c r="AF554">
        <v>0</v>
      </c>
      <c r="AG554">
        <v>3.278</v>
      </c>
      <c r="AH554">
        <v>0.14499999999999999</v>
      </c>
      <c r="AI554">
        <v>0.14299999999999999</v>
      </c>
    </row>
    <row r="555" spans="1:35" x14ac:dyDescent="0.25">
      <c r="A555">
        <v>259</v>
      </c>
      <c r="B555" t="s">
        <v>35</v>
      </c>
      <c r="C555">
        <v>3</v>
      </c>
      <c r="D555" t="s">
        <v>36</v>
      </c>
      <c r="E555">
        <v>3</v>
      </c>
      <c r="F555" t="s">
        <v>259</v>
      </c>
      <c r="G555">
        <v>3</v>
      </c>
      <c r="H555">
        <v>9</v>
      </c>
      <c r="I555">
        <v>2</v>
      </c>
      <c r="J555">
        <v>50</v>
      </c>
      <c r="K555">
        <v>49</v>
      </c>
      <c r="L555">
        <v>59</v>
      </c>
      <c r="M555">
        <v>2</v>
      </c>
      <c r="N555" t="s">
        <v>171</v>
      </c>
      <c r="O555" t="s">
        <v>151</v>
      </c>
      <c r="P555" t="s">
        <v>158</v>
      </c>
      <c r="Q555" t="s">
        <v>159</v>
      </c>
      <c r="R555" t="s">
        <v>170</v>
      </c>
      <c r="S555" t="s">
        <v>59</v>
      </c>
      <c r="T555" t="s">
        <v>103</v>
      </c>
      <c r="U555">
        <v>4</v>
      </c>
      <c r="V555" t="s">
        <v>146</v>
      </c>
      <c r="W555" t="s">
        <v>172</v>
      </c>
      <c r="X555" t="s">
        <v>74</v>
      </c>
      <c r="Y555">
        <v>2</v>
      </c>
      <c r="Z555">
        <v>4</v>
      </c>
      <c r="AA555">
        <v>44.1</v>
      </c>
      <c r="AB555">
        <v>-1</v>
      </c>
      <c r="AC555" t="s">
        <v>103</v>
      </c>
      <c r="AD555">
        <v>1</v>
      </c>
      <c r="AE555">
        <v>4</v>
      </c>
      <c r="AF555">
        <v>1</v>
      </c>
      <c r="AG555">
        <v>0.59799999999999998</v>
      </c>
      <c r="AH555">
        <v>0.45</v>
      </c>
      <c r="AI555">
        <v>-1</v>
      </c>
    </row>
    <row r="556" spans="1:35" x14ac:dyDescent="0.25">
      <c r="A556">
        <v>259</v>
      </c>
      <c r="B556" t="s">
        <v>35</v>
      </c>
      <c r="C556">
        <v>3</v>
      </c>
      <c r="D556" t="s">
        <v>36</v>
      </c>
      <c r="E556">
        <v>3</v>
      </c>
      <c r="F556" t="s">
        <v>259</v>
      </c>
      <c r="G556">
        <v>3</v>
      </c>
      <c r="H556">
        <v>9</v>
      </c>
      <c r="I556">
        <v>2</v>
      </c>
      <c r="J556">
        <v>51</v>
      </c>
      <c r="K556">
        <v>60</v>
      </c>
      <c r="L556">
        <v>56</v>
      </c>
      <c r="M556">
        <v>2</v>
      </c>
      <c r="N556" t="s">
        <v>175</v>
      </c>
      <c r="O556" t="s">
        <v>151</v>
      </c>
      <c r="P556" t="s">
        <v>164</v>
      </c>
      <c r="Q556" t="s">
        <v>165</v>
      </c>
      <c r="R556" t="s">
        <v>174</v>
      </c>
      <c r="S556" t="s">
        <v>52</v>
      </c>
      <c r="T556" t="s">
        <v>166</v>
      </c>
      <c r="U556">
        <v>1</v>
      </c>
      <c r="V556" t="s">
        <v>86</v>
      </c>
      <c r="W556" t="s">
        <v>44</v>
      </c>
      <c r="X556" t="s">
        <v>95</v>
      </c>
      <c r="Y556">
        <v>1</v>
      </c>
      <c r="Z556">
        <v>4</v>
      </c>
      <c r="AA556">
        <v>44.1</v>
      </c>
      <c r="AB556">
        <v>0.46400000000000002</v>
      </c>
      <c r="AC556" t="s">
        <v>86</v>
      </c>
      <c r="AD556">
        <v>2</v>
      </c>
      <c r="AE556">
        <v>5</v>
      </c>
      <c r="AF556">
        <v>0</v>
      </c>
      <c r="AG556">
        <v>1.145</v>
      </c>
      <c r="AH556">
        <v>0.28299999999999997</v>
      </c>
      <c r="AI556">
        <v>0.46100000000000002</v>
      </c>
    </row>
    <row r="557" spans="1:35" x14ac:dyDescent="0.25">
      <c r="A557">
        <v>259</v>
      </c>
      <c r="B557" t="s">
        <v>35</v>
      </c>
      <c r="C557">
        <v>3</v>
      </c>
      <c r="D557" t="s">
        <v>36</v>
      </c>
      <c r="E557">
        <v>3</v>
      </c>
      <c r="F557" t="s">
        <v>259</v>
      </c>
      <c r="G557">
        <v>3</v>
      </c>
      <c r="H557">
        <v>9</v>
      </c>
      <c r="I557">
        <v>2</v>
      </c>
      <c r="J557">
        <v>52</v>
      </c>
      <c r="K557">
        <v>71</v>
      </c>
      <c r="L557">
        <v>21</v>
      </c>
      <c r="M557">
        <v>1</v>
      </c>
      <c r="N557" t="s">
        <v>252</v>
      </c>
      <c r="O557" t="s">
        <v>151</v>
      </c>
      <c r="P557" t="s">
        <v>242</v>
      </c>
      <c r="Q557" t="s">
        <v>243</v>
      </c>
      <c r="R557" t="s">
        <v>170</v>
      </c>
      <c r="S557" t="s">
        <v>59</v>
      </c>
      <c r="T557" t="s">
        <v>146</v>
      </c>
      <c r="U557">
        <v>5</v>
      </c>
      <c r="V557" t="s">
        <v>132</v>
      </c>
      <c r="W557" t="s">
        <v>104</v>
      </c>
      <c r="X557" t="s">
        <v>185</v>
      </c>
      <c r="Y557">
        <v>1</v>
      </c>
      <c r="Z557">
        <v>4</v>
      </c>
      <c r="AA557">
        <v>44.1</v>
      </c>
      <c r="AB557">
        <v>-1</v>
      </c>
      <c r="AC557" t="s">
        <v>146</v>
      </c>
      <c r="AD557">
        <v>1</v>
      </c>
      <c r="AE557">
        <v>5</v>
      </c>
      <c r="AF557">
        <v>1</v>
      </c>
      <c r="AG557">
        <v>2.77</v>
      </c>
      <c r="AH557">
        <v>0.216</v>
      </c>
      <c r="AI557">
        <v>-1</v>
      </c>
    </row>
    <row r="558" spans="1:35" x14ac:dyDescent="0.25">
      <c r="A558">
        <v>259</v>
      </c>
      <c r="B558" t="s">
        <v>35</v>
      </c>
      <c r="C558">
        <v>3</v>
      </c>
      <c r="D558" t="s">
        <v>36</v>
      </c>
      <c r="E558">
        <v>3</v>
      </c>
      <c r="F558" t="s">
        <v>259</v>
      </c>
      <c r="G558">
        <v>3</v>
      </c>
      <c r="H558">
        <v>9</v>
      </c>
      <c r="I558">
        <v>2</v>
      </c>
      <c r="J558">
        <v>53</v>
      </c>
      <c r="K558">
        <v>61</v>
      </c>
      <c r="L558">
        <v>23</v>
      </c>
      <c r="M558">
        <v>1</v>
      </c>
      <c r="N558" t="s">
        <v>244</v>
      </c>
      <c r="O558" t="s">
        <v>151</v>
      </c>
      <c r="P558" t="s">
        <v>245</v>
      </c>
      <c r="Q558" t="s">
        <v>246</v>
      </c>
      <c r="R558" t="s">
        <v>154</v>
      </c>
      <c r="S558" t="s">
        <v>92</v>
      </c>
      <c r="T558" t="s">
        <v>62</v>
      </c>
      <c r="U558">
        <v>5</v>
      </c>
      <c r="V558" t="s">
        <v>121</v>
      </c>
      <c r="W558" t="s">
        <v>156</v>
      </c>
      <c r="X558" t="s">
        <v>46</v>
      </c>
      <c r="Y558">
        <v>1</v>
      </c>
      <c r="Z558">
        <v>4</v>
      </c>
      <c r="AA558">
        <v>44.1</v>
      </c>
      <c r="AB558">
        <v>0.24199999999999999</v>
      </c>
      <c r="AC558" t="s">
        <v>62</v>
      </c>
      <c r="AD558">
        <v>1</v>
      </c>
      <c r="AE558">
        <v>5</v>
      </c>
      <c r="AF558">
        <v>1</v>
      </c>
      <c r="AG558">
        <v>2.6930000000000001</v>
      </c>
      <c r="AH558">
        <v>0.45</v>
      </c>
      <c r="AI558">
        <v>0.246</v>
      </c>
    </row>
    <row r="559" spans="1:35" x14ac:dyDescent="0.25">
      <c r="A559">
        <v>259</v>
      </c>
      <c r="B559" t="s">
        <v>35</v>
      </c>
      <c r="C559">
        <v>3</v>
      </c>
      <c r="D559" t="s">
        <v>36</v>
      </c>
      <c r="E559">
        <v>3</v>
      </c>
      <c r="F559" t="s">
        <v>259</v>
      </c>
      <c r="G559">
        <v>3</v>
      </c>
      <c r="H559">
        <v>9</v>
      </c>
      <c r="I559">
        <v>2</v>
      </c>
      <c r="J559">
        <v>54</v>
      </c>
      <c r="K559">
        <v>52</v>
      </c>
      <c r="L559">
        <v>14</v>
      </c>
      <c r="M559">
        <v>1</v>
      </c>
      <c r="N559" t="s">
        <v>184</v>
      </c>
      <c r="O559" t="s">
        <v>151</v>
      </c>
      <c r="P559" t="s">
        <v>168</v>
      </c>
      <c r="Q559" t="s">
        <v>169</v>
      </c>
      <c r="R559" t="s">
        <v>154</v>
      </c>
      <c r="S559" t="s">
        <v>92</v>
      </c>
      <c r="T559" t="s">
        <v>141</v>
      </c>
      <c r="U559">
        <v>5</v>
      </c>
      <c r="V559" t="s">
        <v>62</v>
      </c>
      <c r="W559" t="s">
        <v>111</v>
      </c>
      <c r="X559" t="s">
        <v>102</v>
      </c>
      <c r="Y559">
        <v>2</v>
      </c>
      <c r="Z559">
        <v>4</v>
      </c>
      <c r="AA559">
        <v>44.1</v>
      </c>
      <c r="AB559">
        <v>-1</v>
      </c>
      <c r="AC559" t="s">
        <v>141</v>
      </c>
      <c r="AD559">
        <v>1</v>
      </c>
      <c r="AE559">
        <v>5</v>
      </c>
      <c r="AF559">
        <v>1</v>
      </c>
      <c r="AG559">
        <v>2.1840000000000002</v>
      </c>
      <c r="AH559">
        <v>0.18099999999999999</v>
      </c>
      <c r="AI559">
        <v>-1</v>
      </c>
    </row>
    <row r="560" spans="1:35" x14ac:dyDescent="0.25">
      <c r="A560">
        <v>259</v>
      </c>
      <c r="B560" t="s">
        <v>35</v>
      </c>
      <c r="C560">
        <v>3</v>
      </c>
      <c r="D560" t="s">
        <v>36</v>
      </c>
      <c r="E560">
        <v>3</v>
      </c>
      <c r="F560" t="s">
        <v>259</v>
      </c>
      <c r="G560">
        <v>3</v>
      </c>
      <c r="H560">
        <v>9</v>
      </c>
      <c r="I560">
        <v>2</v>
      </c>
      <c r="J560">
        <v>55</v>
      </c>
      <c r="K560">
        <v>72</v>
      </c>
      <c r="L560">
        <v>22</v>
      </c>
      <c r="M560">
        <v>1</v>
      </c>
      <c r="N560" t="s">
        <v>241</v>
      </c>
      <c r="O560" t="s">
        <v>151</v>
      </c>
      <c r="P560" t="s">
        <v>242</v>
      </c>
      <c r="Q560" t="s">
        <v>243</v>
      </c>
      <c r="R560" t="s">
        <v>174</v>
      </c>
      <c r="S560" t="s">
        <v>52</v>
      </c>
      <c r="T560" t="s">
        <v>132</v>
      </c>
      <c r="U560">
        <v>1</v>
      </c>
      <c r="V560" t="s">
        <v>166</v>
      </c>
      <c r="W560" t="s">
        <v>131</v>
      </c>
      <c r="X560" t="s">
        <v>107</v>
      </c>
      <c r="Y560">
        <v>2</v>
      </c>
      <c r="Z560">
        <v>4</v>
      </c>
      <c r="AA560">
        <v>44.1</v>
      </c>
      <c r="AB560">
        <v>-1</v>
      </c>
      <c r="AC560" t="s">
        <v>107</v>
      </c>
      <c r="AD560">
        <v>4</v>
      </c>
      <c r="AE560">
        <v>5</v>
      </c>
      <c r="AF560">
        <v>0</v>
      </c>
      <c r="AG560">
        <v>2.0880000000000001</v>
      </c>
      <c r="AH560">
        <v>0.56599999999999995</v>
      </c>
      <c r="AI560">
        <v>-1</v>
      </c>
    </row>
    <row r="561" spans="1:35" x14ac:dyDescent="0.25">
      <c r="A561">
        <v>259</v>
      </c>
      <c r="B561" t="s">
        <v>35</v>
      </c>
      <c r="C561">
        <v>3</v>
      </c>
      <c r="D561" t="s">
        <v>36</v>
      </c>
      <c r="E561">
        <v>3</v>
      </c>
      <c r="F561" t="s">
        <v>259</v>
      </c>
      <c r="G561">
        <v>3</v>
      </c>
      <c r="H561">
        <v>9</v>
      </c>
      <c r="I561">
        <v>2</v>
      </c>
      <c r="J561">
        <v>56</v>
      </c>
      <c r="K561">
        <v>70</v>
      </c>
      <c r="L561">
        <v>58</v>
      </c>
      <c r="M561">
        <v>2</v>
      </c>
      <c r="N561" t="s">
        <v>235</v>
      </c>
      <c r="O561" t="s">
        <v>151</v>
      </c>
      <c r="P561" t="s">
        <v>236</v>
      </c>
      <c r="Q561" t="s">
        <v>237</v>
      </c>
      <c r="R561" t="s">
        <v>160</v>
      </c>
      <c r="S561" t="s">
        <v>43</v>
      </c>
      <c r="T561" t="s">
        <v>55</v>
      </c>
      <c r="U561">
        <v>1</v>
      </c>
      <c r="V561" t="s">
        <v>108</v>
      </c>
      <c r="W561" t="s">
        <v>120</v>
      </c>
      <c r="X561" t="s">
        <v>66</v>
      </c>
      <c r="Y561">
        <v>2</v>
      </c>
      <c r="Z561">
        <v>4</v>
      </c>
      <c r="AA561">
        <v>44.1</v>
      </c>
      <c r="AB561">
        <v>-1</v>
      </c>
      <c r="AC561" t="s">
        <v>120</v>
      </c>
      <c r="AD561">
        <v>4</v>
      </c>
      <c r="AE561">
        <v>2</v>
      </c>
      <c r="AF561">
        <v>0</v>
      </c>
      <c r="AG561">
        <v>3.38</v>
      </c>
      <c r="AH561">
        <v>6.6000000000000003E-2</v>
      </c>
      <c r="AI561">
        <v>-1</v>
      </c>
    </row>
    <row r="562" spans="1:35" x14ac:dyDescent="0.25">
      <c r="A562">
        <v>259</v>
      </c>
      <c r="B562" t="s">
        <v>35</v>
      </c>
      <c r="C562">
        <v>3</v>
      </c>
      <c r="D562" t="s">
        <v>36</v>
      </c>
      <c r="E562">
        <v>3</v>
      </c>
      <c r="F562" t="s">
        <v>259</v>
      </c>
      <c r="G562">
        <v>3</v>
      </c>
      <c r="H562">
        <v>9</v>
      </c>
      <c r="I562">
        <v>2</v>
      </c>
      <c r="J562">
        <v>57</v>
      </c>
      <c r="K562">
        <v>57</v>
      </c>
      <c r="L562">
        <v>15</v>
      </c>
      <c r="M562">
        <v>1</v>
      </c>
      <c r="N562" t="s">
        <v>150</v>
      </c>
      <c r="O562" t="s">
        <v>151</v>
      </c>
      <c r="P562" t="s">
        <v>152</v>
      </c>
      <c r="Q562" t="s">
        <v>153</v>
      </c>
      <c r="R562" t="s">
        <v>154</v>
      </c>
      <c r="S562" t="s">
        <v>92</v>
      </c>
      <c r="T562" t="s">
        <v>155</v>
      </c>
      <c r="U562">
        <v>5</v>
      </c>
      <c r="V562" t="s">
        <v>99</v>
      </c>
      <c r="W562" t="s">
        <v>87</v>
      </c>
      <c r="X562" t="s">
        <v>147</v>
      </c>
      <c r="Y562">
        <v>1</v>
      </c>
      <c r="Z562">
        <v>4</v>
      </c>
      <c r="AA562">
        <v>44.1</v>
      </c>
      <c r="AB562">
        <v>0.501</v>
      </c>
      <c r="AC562" t="s">
        <v>99</v>
      </c>
      <c r="AD562">
        <v>2</v>
      </c>
      <c r="AE562">
        <v>1</v>
      </c>
      <c r="AF562">
        <v>0</v>
      </c>
      <c r="AG562">
        <v>3.0190000000000001</v>
      </c>
      <c r="AH562">
        <v>4.4999999999999998E-2</v>
      </c>
      <c r="AI562">
        <v>0.50600000000000001</v>
      </c>
    </row>
    <row r="563" spans="1:35" x14ac:dyDescent="0.25">
      <c r="A563">
        <v>259</v>
      </c>
      <c r="B563" t="s">
        <v>35</v>
      </c>
      <c r="C563">
        <v>3</v>
      </c>
      <c r="D563" t="s">
        <v>36</v>
      </c>
      <c r="E563">
        <v>3</v>
      </c>
      <c r="F563" t="s">
        <v>259</v>
      </c>
      <c r="G563">
        <v>3</v>
      </c>
      <c r="H563">
        <v>9</v>
      </c>
      <c r="I563">
        <v>2</v>
      </c>
      <c r="J563">
        <v>58</v>
      </c>
      <c r="K563">
        <v>68</v>
      </c>
      <c r="L563">
        <v>18</v>
      </c>
      <c r="M563">
        <v>1</v>
      </c>
      <c r="N563" t="s">
        <v>258</v>
      </c>
      <c r="O563" t="s">
        <v>151</v>
      </c>
      <c r="P563" t="s">
        <v>255</v>
      </c>
      <c r="Q563" t="s">
        <v>256</v>
      </c>
      <c r="R563" t="s">
        <v>160</v>
      </c>
      <c r="S563" t="s">
        <v>43</v>
      </c>
      <c r="T563" t="s">
        <v>110</v>
      </c>
      <c r="U563">
        <v>1</v>
      </c>
      <c r="V563" t="s">
        <v>82</v>
      </c>
      <c r="W563" t="s">
        <v>138</v>
      </c>
      <c r="X563" t="s">
        <v>61</v>
      </c>
      <c r="Y563">
        <v>2</v>
      </c>
      <c r="Z563">
        <v>4</v>
      </c>
      <c r="AA563">
        <v>44.1</v>
      </c>
      <c r="AB563">
        <v>0.312</v>
      </c>
      <c r="AC563" t="s">
        <v>110</v>
      </c>
      <c r="AD563">
        <v>1</v>
      </c>
      <c r="AE563">
        <v>1</v>
      </c>
      <c r="AF563">
        <v>1</v>
      </c>
      <c r="AG563">
        <v>1.722</v>
      </c>
      <c r="AH563">
        <v>0.3</v>
      </c>
      <c r="AI563">
        <v>0.311</v>
      </c>
    </row>
    <row r="564" spans="1:35" x14ac:dyDescent="0.25">
      <c r="A564">
        <v>259</v>
      </c>
      <c r="B564" t="s">
        <v>35</v>
      </c>
      <c r="C564">
        <v>3</v>
      </c>
      <c r="D564" t="s">
        <v>36</v>
      </c>
      <c r="E564">
        <v>3</v>
      </c>
      <c r="F564" t="s">
        <v>259</v>
      </c>
      <c r="G564">
        <v>3</v>
      </c>
      <c r="H564">
        <v>9</v>
      </c>
      <c r="I564">
        <v>2</v>
      </c>
      <c r="J564">
        <v>59</v>
      </c>
      <c r="K564">
        <v>65</v>
      </c>
      <c r="L564">
        <v>53</v>
      </c>
      <c r="M564">
        <v>2</v>
      </c>
      <c r="N564" t="s">
        <v>257</v>
      </c>
      <c r="O564" t="s">
        <v>151</v>
      </c>
      <c r="P564" t="s">
        <v>249</v>
      </c>
      <c r="Q564" t="s">
        <v>250</v>
      </c>
      <c r="R564" t="s">
        <v>170</v>
      </c>
      <c r="S564" t="s">
        <v>59</v>
      </c>
      <c r="T564" t="s">
        <v>204</v>
      </c>
      <c r="U564">
        <v>5</v>
      </c>
      <c r="V564" t="s">
        <v>68</v>
      </c>
      <c r="W564" t="s">
        <v>69</v>
      </c>
      <c r="X564" t="s">
        <v>79</v>
      </c>
      <c r="Y564">
        <v>1</v>
      </c>
      <c r="Z564">
        <v>4</v>
      </c>
      <c r="AA564">
        <v>44.1</v>
      </c>
      <c r="AB564">
        <v>0.191</v>
      </c>
      <c r="AC564" t="s">
        <v>204</v>
      </c>
      <c r="AD564">
        <v>1</v>
      </c>
      <c r="AE564">
        <v>5</v>
      </c>
      <c r="AF564">
        <v>1</v>
      </c>
      <c r="AG564">
        <v>1.8879999999999999</v>
      </c>
      <c r="AH564">
        <v>0.29799999999999999</v>
      </c>
      <c r="AI564">
        <v>0.19400000000000001</v>
      </c>
    </row>
    <row r="565" spans="1:35" x14ac:dyDescent="0.25">
      <c r="A565">
        <v>259</v>
      </c>
      <c r="B565" t="s">
        <v>35</v>
      </c>
      <c r="C565">
        <v>3</v>
      </c>
      <c r="D565" t="s">
        <v>36</v>
      </c>
      <c r="E565">
        <v>3</v>
      </c>
      <c r="F565" t="s">
        <v>259</v>
      </c>
      <c r="G565">
        <v>3</v>
      </c>
      <c r="H565">
        <v>9</v>
      </c>
      <c r="I565">
        <v>2</v>
      </c>
      <c r="J565">
        <v>60</v>
      </c>
      <c r="K565">
        <v>59</v>
      </c>
      <c r="L565">
        <v>55</v>
      </c>
      <c r="M565">
        <v>2</v>
      </c>
      <c r="N565" t="s">
        <v>163</v>
      </c>
      <c r="O565" t="s">
        <v>151</v>
      </c>
      <c r="P565" t="s">
        <v>164</v>
      </c>
      <c r="Q565" t="s">
        <v>165</v>
      </c>
      <c r="R565" t="s">
        <v>154</v>
      </c>
      <c r="S565" t="s">
        <v>92</v>
      </c>
      <c r="T565" t="s">
        <v>86</v>
      </c>
      <c r="U565">
        <v>2</v>
      </c>
      <c r="V565" t="s">
        <v>155</v>
      </c>
      <c r="W565" t="s">
        <v>73</v>
      </c>
      <c r="X565" t="s">
        <v>81</v>
      </c>
      <c r="Y565">
        <v>2</v>
      </c>
      <c r="Z565">
        <v>4</v>
      </c>
      <c r="AA565">
        <v>44.1</v>
      </c>
      <c r="AB565">
        <v>0.47399999999999998</v>
      </c>
      <c r="AC565" t="s">
        <v>86</v>
      </c>
      <c r="AD565">
        <v>1</v>
      </c>
      <c r="AE565">
        <v>2</v>
      </c>
      <c r="AF565">
        <v>1</v>
      </c>
      <c r="AG565">
        <v>2.403</v>
      </c>
      <c r="AH565">
        <v>0.216</v>
      </c>
      <c r="AI565">
        <v>0.47099999999999997</v>
      </c>
    </row>
    <row r="566" spans="1:35" x14ac:dyDescent="0.25">
      <c r="A566">
        <v>259</v>
      </c>
      <c r="B566" t="s">
        <v>35</v>
      </c>
      <c r="C566">
        <v>3</v>
      </c>
      <c r="D566" t="s">
        <v>36</v>
      </c>
      <c r="E566">
        <v>3</v>
      </c>
      <c r="F566" t="s">
        <v>259</v>
      </c>
      <c r="G566">
        <v>3</v>
      </c>
      <c r="H566">
        <v>9</v>
      </c>
      <c r="I566">
        <v>2</v>
      </c>
      <c r="J566">
        <v>61</v>
      </c>
      <c r="K566">
        <v>55</v>
      </c>
      <c r="L566">
        <v>51</v>
      </c>
      <c r="M566">
        <v>2</v>
      </c>
      <c r="N566" t="s">
        <v>176</v>
      </c>
      <c r="O566" t="s">
        <v>151</v>
      </c>
      <c r="P566" t="s">
        <v>177</v>
      </c>
      <c r="Q566" t="s">
        <v>178</v>
      </c>
      <c r="R566" t="s">
        <v>170</v>
      </c>
      <c r="S566" t="s">
        <v>59</v>
      </c>
      <c r="T566" t="s">
        <v>139</v>
      </c>
      <c r="U566">
        <v>2</v>
      </c>
      <c r="V566" t="s">
        <v>204</v>
      </c>
      <c r="W566" t="s">
        <v>80</v>
      </c>
      <c r="X566" t="s">
        <v>127</v>
      </c>
      <c r="Y566">
        <v>2</v>
      </c>
      <c r="Z566">
        <v>4</v>
      </c>
      <c r="AA566">
        <v>44.1</v>
      </c>
      <c r="AB566">
        <v>-1</v>
      </c>
      <c r="AC566" t="s">
        <v>139</v>
      </c>
      <c r="AD566">
        <v>1</v>
      </c>
      <c r="AE566">
        <v>2</v>
      </c>
      <c r="AF566">
        <v>1</v>
      </c>
      <c r="AG566">
        <v>2.782</v>
      </c>
      <c r="AH566">
        <v>0.216</v>
      </c>
      <c r="AI566">
        <v>-1</v>
      </c>
    </row>
    <row r="567" spans="1:35" x14ac:dyDescent="0.25">
      <c r="A567">
        <v>259</v>
      </c>
      <c r="B567" t="s">
        <v>35</v>
      </c>
      <c r="C567">
        <v>3</v>
      </c>
      <c r="D567" t="s">
        <v>36</v>
      </c>
      <c r="E567">
        <v>3</v>
      </c>
      <c r="F567" t="s">
        <v>259</v>
      </c>
      <c r="G567">
        <v>3</v>
      </c>
      <c r="H567">
        <v>9</v>
      </c>
      <c r="I567">
        <v>2</v>
      </c>
      <c r="J567">
        <v>62</v>
      </c>
      <c r="K567">
        <v>62</v>
      </c>
      <c r="L567">
        <v>24</v>
      </c>
      <c r="M567">
        <v>1</v>
      </c>
      <c r="N567" t="s">
        <v>251</v>
      </c>
      <c r="O567" t="s">
        <v>151</v>
      </c>
      <c r="P567" t="s">
        <v>245</v>
      </c>
      <c r="Q567" t="s">
        <v>246</v>
      </c>
      <c r="R567" t="s">
        <v>160</v>
      </c>
      <c r="S567" t="s">
        <v>43</v>
      </c>
      <c r="T567" t="s">
        <v>121</v>
      </c>
      <c r="U567">
        <v>1</v>
      </c>
      <c r="V567" t="s">
        <v>161</v>
      </c>
      <c r="W567" t="s">
        <v>214</v>
      </c>
      <c r="X567" t="s">
        <v>60</v>
      </c>
      <c r="Y567">
        <v>2</v>
      </c>
      <c r="Z567">
        <v>4</v>
      </c>
      <c r="AA567">
        <v>44.1</v>
      </c>
      <c r="AB567">
        <v>0.30199999999999999</v>
      </c>
      <c r="AC567" t="s">
        <v>214</v>
      </c>
      <c r="AD567">
        <v>4</v>
      </c>
      <c r="AE567">
        <v>4</v>
      </c>
      <c r="AF567">
        <v>0</v>
      </c>
      <c r="AG567">
        <v>2.3919999999999999</v>
      </c>
      <c r="AH567">
        <v>0.11700000000000001</v>
      </c>
      <c r="AI567">
        <v>0.3</v>
      </c>
    </row>
    <row r="568" spans="1:35" x14ac:dyDescent="0.25">
      <c r="A568">
        <v>259</v>
      </c>
      <c r="B568" t="s">
        <v>35</v>
      </c>
      <c r="C568">
        <v>3</v>
      </c>
      <c r="D568" t="s">
        <v>36</v>
      </c>
      <c r="E568">
        <v>3</v>
      </c>
      <c r="F568" t="s">
        <v>259</v>
      </c>
      <c r="G568">
        <v>3</v>
      </c>
      <c r="H568">
        <v>9</v>
      </c>
      <c r="I568">
        <v>2</v>
      </c>
      <c r="J568">
        <v>63</v>
      </c>
      <c r="K568">
        <v>67</v>
      </c>
      <c r="L568">
        <v>17</v>
      </c>
      <c r="M568">
        <v>1</v>
      </c>
      <c r="N568" t="s">
        <v>254</v>
      </c>
      <c r="O568" t="s">
        <v>151</v>
      </c>
      <c r="P568" t="s">
        <v>255</v>
      </c>
      <c r="Q568" t="s">
        <v>256</v>
      </c>
      <c r="R568" t="s">
        <v>174</v>
      </c>
      <c r="S568" t="s">
        <v>52</v>
      </c>
      <c r="T568" t="s">
        <v>47</v>
      </c>
      <c r="U568">
        <v>2</v>
      </c>
      <c r="V568" t="s">
        <v>110</v>
      </c>
      <c r="W568" t="s">
        <v>124</v>
      </c>
      <c r="X568" t="s">
        <v>106</v>
      </c>
      <c r="Y568">
        <v>1</v>
      </c>
      <c r="Z568">
        <v>4</v>
      </c>
      <c r="AA568">
        <v>44.1</v>
      </c>
      <c r="AB568">
        <v>0.26300000000000001</v>
      </c>
      <c r="AC568" t="s">
        <v>83</v>
      </c>
      <c r="AD568">
        <v>0</v>
      </c>
      <c r="AE568">
        <v>0</v>
      </c>
      <c r="AF568">
        <v>0</v>
      </c>
      <c r="AG568">
        <v>-1</v>
      </c>
      <c r="AH568">
        <v>0.56699999999999995</v>
      </c>
      <c r="AI568">
        <v>0.26800000000000002</v>
      </c>
    </row>
    <row r="569" spans="1:35" x14ac:dyDescent="0.25">
      <c r="A569">
        <v>259</v>
      </c>
      <c r="B569" t="s">
        <v>35</v>
      </c>
      <c r="C569">
        <v>3</v>
      </c>
      <c r="D569" t="s">
        <v>36</v>
      </c>
      <c r="E569">
        <v>3</v>
      </c>
      <c r="F569" t="s">
        <v>259</v>
      </c>
      <c r="G569">
        <v>3</v>
      </c>
      <c r="H569">
        <v>9</v>
      </c>
      <c r="I569">
        <v>2</v>
      </c>
      <c r="J569">
        <v>64</v>
      </c>
      <c r="K569">
        <v>64</v>
      </c>
      <c r="L569">
        <v>20</v>
      </c>
      <c r="M569">
        <v>1</v>
      </c>
      <c r="N569" t="s">
        <v>238</v>
      </c>
      <c r="O569" t="s">
        <v>151</v>
      </c>
      <c r="P569" t="s">
        <v>239</v>
      </c>
      <c r="Q569" t="s">
        <v>240</v>
      </c>
      <c r="R569" t="s">
        <v>160</v>
      </c>
      <c r="S569" t="s">
        <v>43</v>
      </c>
      <c r="T569" t="s">
        <v>82</v>
      </c>
      <c r="U569">
        <v>4</v>
      </c>
      <c r="V569" t="s">
        <v>211</v>
      </c>
      <c r="W569" t="s">
        <v>54</v>
      </c>
      <c r="X569" t="s">
        <v>130</v>
      </c>
      <c r="Y569">
        <v>1</v>
      </c>
      <c r="Z569">
        <v>4</v>
      </c>
      <c r="AA569">
        <v>44.1</v>
      </c>
      <c r="AB569">
        <v>-1</v>
      </c>
      <c r="AC569" t="s">
        <v>82</v>
      </c>
      <c r="AD569">
        <v>1</v>
      </c>
      <c r="AE569">
        <v>4</v>
      </c>
      <c r="AF569">
        <v>1</v>
      </c>
      <c r="AG569">
        <v>0.625</v>
      </c>
      <c r="AH569">
        <v>0.28299999999999997</v>
      </c>
      <c r="AI569">
        <v>-1</v>
      </c>
    </row>
    <row r="570" spans="1:35" x14ac:dyDescent="0.25">
      <c r="A570">
        <v>259</v>
      </c>
      <c r="B570" t="s">
        <v>35</v>
      </c>
      <c r="C570">
        <v>3</v>
      </c>
      <c r="D570" t="s">
        <v>36</v>
      </c>
      <c r="E570">
        <v>3</v>
      </c>
      <c r="F570" t="s">
        <v>259</v>
      </c>
      <c r="G570">
        <v>3</v>
      </c>
      <c r="H570">
        <v>9</v>
      </c>
      <c r="I570">
        <v>2</v>
      </c>
      <c r="J570">
        <v>65</v>
      </c>
      <c r="K570">
        <v>54</v>
      </c>
      <c r="L570">
        <v>50</v>
      </c>
      <c r="M570">
        <v>2</v>
      </c>
      <c r="N570" t="s">
        <v>186</v>
      </c>
      <c r="O570" t="s">
        <v>151</v>
      </c>
      <c r="P570" t="s">
        <v>181</v>
      </c>
      <c r="Q570" t="s">
        <v>182</v>
      </c>
      <c r="R570" t="s">
        <v>174</v>
      </c>
      <c r="S570" t="s">
        <v>52</v>
      </c>
      <c r="T570" t="s">
        <v>187</v>
      </c>
      <c r="U570">
        <v>5</v>
      </c>
      <c r="V570" t="s">
        <v>47</v>
      </c>
      <c r="W570" t="s">
        <v>179</v>
      </c>
      <c r="X570" t="s">
        <v>94</v>
      </c>
      <c r="Y570">
        <v>2</v>
      </c>
      <c r="Z570">
        <v>4</v>
      </c>
      <c r="AA570">
        <v>44.1</v>
      </c>
      <c r="AB570">
        <v>-1</v>
      </c>
      <c r="AC570" t="s">
        <v>187</v>
      </c>
      <c r="AD570">
        <v>1</v>
      </c>
      <c r="AE570">
        <v>5</v>
      </c>
      <c r="AF570">
        <v>1</v>
      </c>
      <c r="AG570">
        <v>2.9780000000000002</v>
      </c>
      <c r="AH570">
        <v>3.4000000000000002E-2</v>
      </c>
      <c r="AI570">
        <v>-1</v>
      </c>
    </row>
    <row r="571" spans="1:35" x14ac:dyDescent="0.25">
      <c r="A571">
        <v>259</v>
      </c>
      <c r="B571" t="s">
        <v>35</v>
      </c>
      <c r="C571">
        <v>3</v>
      </c>
      <c r="D571" t="s">
        <v>36</v>
      </c>
      <c r="E571">
        <v>3</v>
      </c>
      <c r="F571" t="s">
        <v>259</v>
      </c>
      <c r="G571">
        <v>3</v>
      </c>
      <c r="H571">
        <v>9</v>
      </c>
      <c r="I571">
        <v>2</v>
      </c>
      <c r="J571">
        <v>66</v>
      </c>
      <c r="K571">
        <v>69</v>
      </c>
      <c r="L571">
        <v>57</v>
      </c>
      <c r="M571">
        <v>2</v>
      </c>
      <c r="N571" t="s">
        <v>247</v>
      </c>
      <c r="O571" t="s">
        <v>151</v>
      </c>
      <c r="P571" t="s">
        <v>236</v>
      </c>
      <c r="Q571" t="s">
        <v>237</v>
      </c>
      <c r="R571" t="s">
        <v>174</v>
      </c>
      <c r="S571" t="s">
        <v>52</v>
      </c>
      <c r="T571" t="s">
        <v>75</v>
      </c>
      <c r="U571">
        <v>1</v>
      </c>
      <c r="V571" t="s">
        <v>55</v>
      </c>
      <c r="W571" t="s">
        <v>93</v>
      </c>
      <c r="X571" t="s">
        <v>162</v>
      </c>
      <c r="Y571">
        <v>1</v>
      </c>
      <c r="Z571">
        <v>4</v>
      </c>
      <c r="AA571">
        <v>44.1</v>
      </c>
      <c r="AB571">
        <v>0.42399999999999999</v>
      </c>
      <c r="AC571" t="s">
        <v>162</v>
      </c>
      <c r="AD571">
        <v>4</v>
      </c>
      <c r="AE571">
        <v>2</v>
      </c>
      <c r="AF571">
        <v>0</v>
      </c>
      <c r="AG571">
        <v>2.819</v>
      </c>
      <c r="AH571">
        <v>0.21299999999999999</v>
      </c>
      <c r="AI571">
        <v>0.42199999999999999</v>
      </c>
    </row>
    <row r="572" spans="1:35" x14ac:dyDescent="0.25">
      <c r="A572">
        <v>259</v>
      </c>
      <c r="B572" t="s">
        <v>35</v>
      </c>
      <c r="C572">
        <v>3</v>
      </c>
      <c r="D572" t="s">
        <v>36</v>
      </c>
      <c r="E572">
        <v>3</v>
      </c>
      <c r="F572" t="s">
        <v>259</v>
      </c>
      <c r="G572">
        <v>3</v>
      </c>
      <c r="H572">
        <v>9</v>
      </c>
      <c r="I572">
        <v>2</v>
      </c>
      <c r="J572">
        <v>67</v>
      </c>
      <c r="K572">
        <v>56</v>
      </c>
      <c r="L572">
        <v>52</v>
      </c>
      <c r="M572">
        <v>2</v>
      </c>
      <c r="N572" t="s">
        <v>188</v>
      </c>
      <c r="O572" t="s">
        <v>151</v>
      </c>
      <c r="P572" t="s">
        <v>177</v>
      </c>
      <c r="Q572" t="s">
        <v>178</v>
      </c>
      <c r="R572" t="s">
        <v>160</v>
      </c>
      <c r="S572" t="s">
        <v>43</v>
      </c>
      <c r="T572" t="s">
        <v>108</v>
      </c>
      <c r="U572">
        <v>5</v>
      </c>
      <c r="V572" t="s">
        <v>139</v>
      </c>
      <c r="W572" t="s">
        <v>137</v>
      </c>
      <c r="X572" t="s">
        <v>53</v>
      </c>
      <c r="Y572">
        <v>1</v>
      </c>
      <c r="Z572">
        <v>4</v>
      </c>
      <c r="AA572">
        <v>44.1</v>
      </c>
      <c r="AB572">
        <v>-1</v>
      </c>
      <c r="AC572" t="s">
        <v>108</v>
      </c>
      <c r="AD572">
        <v>1</v>
      </c>
      <c r="AE572">
        <v>5</v>
      </c>
      <c r="AF572">
        <v>1</v>
      </c>
      <c r="AG572">
        <v>1.0840000000000001</v>
      </c>
      <c r="AH572">
        <v>0.23300000000000001</v>
      </c>
      <c r="AI572">
        <v>-1</v>
      </c>
    </row>
    <row r="573" spans="1:35" x14ac:dyDescent="0.25">
      <c r="A573">
        <v>259</v>
      </c>
      <c r="B573" t="s">
        <v>35</v>
      </c>
      <c r="C573">
        <v>3</v>
      </c>
      <c r="D573" t="s">
        <v>36</v>
      </c>
      <c r="E573">
        <v>3</v>
      </c>
      <c r="F573" t="s">
        <v>259</v>
      </c>
      <c r="G573">
        <v>3</v>
      </c>
      <c r="H573">
        <v>9</v>
      </c>
      <c r="I573">
        <v>2</v>
      </c>
      <c r="J573">
        <v>68</v>
      </c>
      <c r="K573">
        <v>63</v>
      </c>
      <c r="L573">
        <v>19</v>
      </c>
      <c r="M573">
        <v>1</v>
      </c>
      <c r="N573" t="s">
        <v>253</v>
      </c>
      <c r="O573" t="s">
        <v>151</v>
      </c>
      <c r="P573" t="s">
        <v>239</v>
      </c>
      <c r="Q573" t="s">
        <v>240</v>
      </c>
      <c r="R573" t="s">
        <v>170</v>
      </c>
      <c r="S573" t="s">
        <v>59</v>
      </c>
      <c r="T573" t="s">
        <v>211</v>
      </c>
      <c r="U573">
        <v>4</v>
      </c>
      <c r="V573" t="s">
        <v>96</v>
      </c>
      <c r="W573" t="s">
        <v>144</v>
      </c>
      <c r="X573" t="s">
        <v>119</v>
      </c>
      <c r="Y573">
        <v>2</v>
      </c>
      <c r="Z573">
        <v>4</v>
      </c>
      <c r="AA573">
        <v>44.1</v>
      </c>
      <c r="AB573">
        <v>-1</v>
      </c>
      <c r="AC573" t="s">
        <v>211</v>
      </c>
      <c r="AD573">
        <v>1</v>
      </c>
      <c r="AE573">
        <v>4</v>
      </c>
      <c r="AF573">
        <v>1</v>
      </c>
      <c r="AG573">
        <v>1.972</v>
      </c>
      <c r="AH573">
        <v>0.28299999999999997</v>
      </c>
      <c r="AI573">
        <v>-1</v>
      </c>
    </row>
    <row r="574" spans="1:35" x14ac:dyDescent="0.25">
      <c r="A574">
        <v>259</v>
      </c>
      <c r="B574" t="s">
        <v>35</v>
      </c>
      <c r="C574">
        <v>3</v>
      </c>
      <c r="D574" t="s">
        <v>36</v>
      </c>
      <c r="E574">
        <v>3</v>
      </c>
      <c r="F574" t="s">
        <v>259</v>
      </c>
      <c r="G574">
        <v>3</v>
      </c>
      <c r="H574">
        <v>9</v>
      </c>
      <c r="I574">
        <v>2</v>
      </c>
      <c r="J574">
        <v>69</v>
      </c>
      <c r="K574">
        <v>53</v>
      </c>
      <c r="L574">
        <v>49</v>
      </c>
      <c r="M574">
        <v>2</v>
      </c>
      <c r="N574" t="s">
        <v>180</v>
      </c>
      <c r="O574" t="s">
        <v>151</v>
      </c>
      <c r="P574" t="s">
        <v>181</v>
      </c>
      <c r="Q574" t="s">
        <v>182</v>
      </c>
      <c r="R574" t="s">
        <v>154</v>
      </c>
      <c r="S574" t="s">
        <v>92</v>
      </c>
      <c r="T574" t="s">
        <v>183</v>
      </c>
      <c r="U574">
        <v>5</v>
      </c>
      <c r="V574" t="s">
        <v>187</v>
      </c>
      <c r="W574" t="s">
        <v>100</v>
      </c>
      <c r="X574" t="s">
        <v>45</v>
      </c>
      <c r="Y574">
        <v>1</v>
      </c>
      <c r="Z574">
        <v>4</v>
      </c>
      <c r="AA574">
        <v>44.1</v>
      </c>
      <c r="AB574">
        <v>-1</v>
      </c>
      <c r="AC574" t="s">
        <v>83</v>
      </c>
      <c r="AD574">
        <v>0</v>
      </c>
      <c r="AE574">
        <v>0</v>
      </c>
      <c r="AF574">
        <v>0</v>
      </c>
      <c r="AG574">
        <v>-1</v>
      </c>
      <c r="AH574">
        <v>0.03</v>
      </c>
      <c r="AI574">
        <v>-1</v>
      </c>
    </row>
    <row r="575" spans="1:35" x14ac:dyDescent="0.25">
      <c r="A575">
        <v>259</v>
      </c>
      <c r="B575" t="s">
        <v>35</v>
      </c>
      <c r="C575">
        <v>3</v>
      </c>
      <c r="D575" t="s">
        <v>36</v>
      </c>
      <c r="E575">
        <v>3</v>
      </c>
      <c r="F575" t="s">
        <v>259</v>
      </c>
      <c r="G575">
        <v>3</v>
      </c>
      <c r="H575">
        <v>9</v>
      </c>
      <c r="I575">
        <v>2</v>
      </c>
      <c r="J575">
        <v>70</v>
      </c>
      <c r="K575">
        <v>58</v>
      </c>
      <c r="L575">
        <v>16</v>
      </c>
      <c r="M575">
        <v>1</v>
      </c>
      <c r="N575" t="s">
        <v>173</v>
      </c>
      <c r="O575" t="s">
        <v>151</v>
      </c>
      <c r="P575" t="s">
        <v>152</v>
      </c>
      <c r="Q575" t="s">
        <v>153</v>
      </c>
      <c r="R575" t="s">
        <v>174</v>
      </c>
      <c r="S575" t="s">
        <v>52</v>
      </c>
      <c r="T575" t="s">
        <v>99</v>
      </c>
      <c r="U575">
        <v>5</v>
      </c>
      <c r="V575" t="s">
        <v>75</v>
      </c>
      <c r="W575" t="s">
        <v>56</v>
      </c>
      <c r="X575" t="s">
        <v>98</v>
      </c>
      <c r="Y575">
        <v>2</v>
      </c>
      <c r="Z575">
        <v>4</v>
      </c>
      <c r="AA575">
        <v>44.1</v>
      </c>
      <c r="AB575">
        <v>-1</v>
      </c>
      <c r="AC575" t="s">
        <v>99</v>
      </c>
      <c r="AD575">
        <v>1</v>
      </c>
      <c r="AE575">
        <v>5</v>
      </c>
      <c r="AF575">
        <v>1</v>
      </c>
      <c r="AG575">
        <v>0.88100000000000001</v>
      </c>
      <c r="AH575">
        <v>0.183</v>
      </c>
      <c r="AI575">
        <v>-1</v>
      </c>
    </row>
    <row r="576" spans="1:35" x14ac:dyDescent="0.25">
      <c r="A576">
        <v>259</v>
      </c>
      <c r="B576" t="s">
        <v>35</v>
      </c>
      <c r="C576">
        <v>3</v>
      </c>
      <c r="D576" t="s">
        <v>36</v>
      </c>
      <c r="E576">
        <v>3</v>
      </c>
      <c r="F576" t="s">
        <v>259</v>
      </c>
      <c r="G576">
        <v>3</v>
      </c>
      <c r="H576">
        <v>9</v>
      </c>
      <c r="I576">
        <v>2</v>
      </c>
      <c r="J576">
        <v>71</v>
      </c>
      <c r="K576">
        <v>66</v>
      </c>
      <c r="L576">
        <v>54</v>
      </c>
      <c r="M576">
        <v>2</v>
      </c>
      <c r="N576" t="s">
        <v>248</v>
      </c>
      <c r="O576" t="s">
        <v>151</v>
      </c>
      <c r="P576" t="s">
        <v>249</v>
      </c>
      <c r="Q576" t="s">
        <v>250</v>
      </c>
      <c r="R576" t="s">
        <v>154</v>
      </c>
      <c r="S576" t="s">
        <v>92</v>
      </c>
      <c r="T576" t="s">
        <v>68</v>
      </c>
      <c r="U576">
        <v>5</v>
      </c>
      <c r="V576" t="s">
        <v>183</v>
      </c>
      <c r="W576" t="s">
        <v>67</v>
      </c>
      <c r="X576" t="s">
        <v>116</v>
      </c>
      <c r="Y576">
        <v>2</v>
      </c>
      <c r="Z576">
        <v>4</v>
      </c>
      <c r="AA576">
        <v>44.1</v>
      </c>
      <c r="AB576">
        <v>-1</v>
      </c>
      <c r="AC576" t="s">
        <v>67</v>
      </c>
      <c r="AD576">
        <v>4</v>
      </c>
      <c r="AE576">
        <v>1</v>
      </c>
      <c r="AF576">
        <v>0</v>
      </c>
      <c r="AG576">
        <v>1.6850000000000001</v>
      </c>
      <c r="AH576">
        <v>0.1</v>
      </c>
      <c r="AI576">
        <v>-1</v>
      </c>
    </row>
    <row r="577" spans="1:35" x14ac:dyDescent="0.25">
      <c r="A577">
        <v>259</v>
      </c>
      <c r="B577" t="s">
        <v>35</v>
      </c>
      <c r="C577">
        <v>3</v>
      </c>
      <c r="D577" t="s">
        <v>36</v>
      </c>
      <c r="E577">
        <v>3</v>
      </c>
      <c r="F577" t="s">
        <v>259</v>
      </c>
      <c r="G577">
        <v>3</v>
      </c>
      <c r="H577">
        <v>9</v>
      </c>
      <c r="I577">
        <v>2</v>
      </c>
      <c r="J577">
        <v>72</v>
      </c>
      <c r="K577">
        <v>50</v>
      </c>
      <c r="L577">
        <v>60</v>
      </c>
      <c r="M577">
        <v>2</v>
      </c>
      <c r="N577" t="s">
        <v>157</v>
      </c>
      <c r="O577" t="s">
        <v>151</v>
      </c>
      <c r="P577" t="s">
        <v>158</v>
      </c>
      <c r="Q577" t="s">
        <v>159</v>
      </c>
      <c r="R577" t="s">
        <v>160</v>
      </c>
      <c r="S577" t="s">
        <v>43</v>
      </c>
      <c r="T577" t="s">
        <v>161</v>
      </c>
      <c r="U577">
        <v>4</v>
      </c>
      <c r="V577" t="s">
        <v>103</v>
      </c>
      <c r="W577" t="s">
        <v>149</v>
      </c>
      <c r="X577" t="s">
        <v>209</v>
      </c>
      <c r="Y577">
        <v>1</v>
      </c>
      <c r="Z577">
        <v>4</v>
      </c>
      <c r="AA577">
        <v>44.1</v>
      </c>
      <c r="AB577">
        <v>-1</v>
      </c>
      <c r="AC577" t="s">
        <v>161</v>
      </c>
      <c r="AD577">
        <v>1</v>
      </c>
      <c r="AE577">
        <v>4</v>
      </c>
      <c r="AF577">
        <v>1</v>
      </c>
      <c r="AG577">
        <v>0.64700000000000002</v>
      </c>
      <c r="AH577">
        <v>0.23300000000000001</v>
      </c>
      <c r="AI577">
        <v>-1</v>
      </c>
    </row>
    <row r="578" spans="1:35" x14ac:dyDescent="0.25">
      <c r="A578">
        <v>259</v>
      </c>
      <c r="B578" t="s">
        <v>35</v>
      </c>
      <c r="C578">
        <v>3</v>
      </c>
      <c r="D578" t="s">
        <v>36</v>
      </c>
      <c r="E578">
        <v>3</v>
      </c>
      <c r="F578" t="s">
        <v>259</v>
      </c>
      <c r="G578">
        <v>3</v>
      </c>
      <c r="H578">
        <v>9</v>
      </c>
      <c r="I578">
        <v>3</v>
      </c>
      <c r="J578">
        <v>1</v>
      </c>
      <c r="K578">
        <v>20</v>
      </c>
      <c r="L578">
        <v>6</v>
      </c>
      <c r="M578">
        <v>1</v>
      </c>
      <c r="N578" t="s">
        <v>215</v>
      </c>
      <c r="O578" t="s">
        <v>39</v>
      </c>
      <c r="P578" t="s">
        <v>193</v>
      </c>
      <c r="Q578" t="s">
        <v>194</v>
      </c>
      <c r="R578" t="s">
        <v>42</v>
      </c>
      <c r="S578" t="s">
        <v>43</v>
      </c>
      <c r="T578" t="s">
        <v>185</v>
      </c>
      <c r="U578">
        <v>4</v>
      </c>
      <c r="V578" t="s">
        <v>144</v>
      </c>
      <c r="W578" t="s">
        <v>127</v>
      </c>
      <c r="X578" t="s">
        <v>146</v>
      </c>
      <c r="Y578">
        <v>1</v>
      </c>
      <c r="Z578">
        <v>1</v>
      </c>
      <c r="AA578">
        <v>44.1</v>
      </c>
      <c r="AB578">
        <v>0.17299999999999999</v>
      </c>
      <c r="AC578" t="s">
        <v>185</v>
      </c>
      <c r="AD578">
        <v>1</v>
      </c>
      <c r="AE578">
        <v>4</v>
      </c>
      <c r="AF578">
        <v>1</v>
      </c>
      <c r="AG578">
        <v>2.78</v>
      </c>
      <c r="AH578">
        <v>3.0339999999999998</v>
      </c>
      <c r="AI578">
        <v>0.17699999999999999</v>
      </c>
    </row>
    <row r="579" spans="1:35" x14ac:dyDescent="0.25">
      <c r="A579">
        <v>259</v>
      </c>
      <c r="B579" t="s">
        <v>35</v>
      </c>
      <c r="C579">
        <v>3</v>
      </c>
      <c r="D579" t="s">
        <v>36</v>
      </c>
      <c r="E579">
        <v>3</v>
      </c>
      <c r="F579" t="s">
        <v>259</v>
      </c>
      <c r="G579">
        <v>3</v>
      </c>
      <c r="H579">
        <v>9</v>
      </c>
      <c r="I579">
        <v>3</v>
      </c>
      <c r="J579">
        <v>2</v>
      </c>
      <c r="K579">
        <v>23</v>
      </c>
      <c r="L579">
        <v>9</v>
      </c>
      <c r="M579">
        <v>1</v>
      </c>
      <c r="N579" t="s">
        <v>212</v>
      </c>
      <c r="O579" t="s">
        <v>39</v>
      </c>
      <c r="P579" t="s">
        <v>202</v>
      </c>
      <c r="Q579" t="s">
        <v>203</v>
      </c>
      <c r="R579" t="s">
        <v>58</v>
      </c>
      <c r="S579" t="s">
        <v>59</v>
      </c>
      <c r="T579" t="s">
        <v>147</v>
      </c>
      <c r="U579">
        <v>4</v>
      </c>
      <c r="V579" t="s">
        <v>172</v>
      </c>
      <c r="W579" t="s">
        <v>141</v>
      </c>
      <c r="X579" t="s">
        <v>179</v>
      </c>
      <c r="Y579">
        <v>1</v>
      </c>
      <c r="Z579">
        <v>1</v>
      </c>
      <c r="AA579">
        <v>44.1</v>
      </c>
      <c r="AB579">
        <v>-1</v>
      </c>
      <c r="AC579" t="s">
        <v>172</v>
      </c>
      <c r="AD579">
        <v>2</v>
      </c>
      <c r="AE579">
        <v>2</v>
      </c>
      <c r="AF579">
        <v>0</v>
      </c>
      <c r="AG579">
        <v>1.3140000000000001</v>
      </c>
      <c r="AH579">
        <v>0.6</v>
      </c>
      <c r="AI579">
        <v>-1</v>
      </c>
    </row>
    <row r="580" spans="1:35" x14ac:dyDescent="0.25">
      <c r="A580">
        <v>259</v>
      </c>
      <c r="B580" t="s">
        <v>35</v>
      </c>
      <c r="C580">
        <v>3</v>
      </c>
      <c r="D580" t="s">
        <v>36</v>
      </c>
      <c r="E580">
        <v>3</v>
      </c>
      <c r="F580" t="s">
        <v>259</v>
      </c>
      <c r="G580">
        <v>3</v>
      </c>
      <c r="H580">
        <v>9</v>
      </c>
      <c r="I580">
        <v>3</v>
      </c>
      <c r="J580">
        <v>3</v>
      </c>
      <c r="K580">
        <v>5</v>
      </c>
      <c r="L580">
        <v>37</v>
      </c>
      <c r="M580">
        <v>2</v>
      </c>
      <c r="N580" t="s">
        <v>97</v>
      </c>
      <c r="O580" t="s">
        <v>39</v>
      </c>
      <c r="P580" t="s">
        <v>49</v>
      </c>
      <c r="Q580" t="s">
        <v>50</v>
      </c>
      <c r="R580" t="s">
        <v>91</v>
      </c>
      <c r="S580" t="s">
        <v>92</v>
      </c>
      <c r="T580" t="s">
        <v>54</v>
      </c>
      <c r="U580">
        <v>2</v>
      </c>
      <c r="V580" t="s">
        <v>98</v>
      </c>
      <c r="W580" t="s">
        <v>99</v>
      </c>
      <c r="X580" t="s">
        <v>100</v>
      </c>
      <c r="Y580">
        <v>2</v>
      </c>
      <c r="Z580">
        <v>1</v>
      </c>
      <c r="AA580">
        <v>44.1</v>
      </c>
      <c r="AB580">
        <v>-1</v>
      </c>
      <c r="AC580" t="s">
        <v>99</v>
      </c>
      <c r="AD580">
        <v>4</v>
      </c>
      <c r="AE580">
        <v>1</v>
      </c>
      <c r="AF580">
        <v>0</v>
      </c>
      <c r="AG580">
        <v>2.8769999999999998</v>
      </c>
      <c r="AH580">
        <v>0.1</v>
      </c>
      <c r="AI580">
        <v>-1</v>
      </c>
    </row>
    <row r="581" spans="1:35" x14ac:dyDescent="0.25">
      <c r="A581">
        <v>259</v>
      </c>
      <c r="B581" t="s">
        <v>35</v>
      </c>
      <c r="C581">
        <v>3</v>
      </c>
      <c r="D581" t="s">
        <v>36</v>
      </c>
      <c r="E581">
        <v>3</v>
      </c>
      <c r="F581" t="s">
        <v>259</v>
      </c>
      <c r="G581">
        <v>3</v>
      </c>
      <c r="H581">
        <v>9</v>
      </c>
      <c r="I581">
        <v>3</v>
      </c>
      <c r="J581">
        <v>4</v>
      </c>
      <c r="K581">
        <v>11</v>
      </c>
      <c r="L581">
        <v>43</v>
      </c>
      <c r="M581">
        <v>2</v>
      </c>
      <c r="N581" t="s">
        <v>105</v>
      </c>
      <c r="O581" t="s">
        <v>39</v>
      </c>
      <c r="P581" t="s">
        <v>77</v>
      </c>
      <c r="Q581" t="s">
        <v>78</v>
      </c>
      <c r="R581" t="s">
        <v>91</v>
      </c>
      <c r="S581" t="s">
        <v>92</v>
      </c>
      <c r="T581" t="s">
        <v>80</v>
      </c>
      <c r="U581">
        <v>5</v>
      </c>
      <c r="V581" t="s">
        <v>106</v>
      </c>
      <c r="W581" t="s">
        <v>107</v>
      </c>
      <c r="X581" t="s">
        <v>108</v>
      </c>
      <c r="Y581">
        <v>2</v>
      </c>
      <c r="Z581">
        <v>1</v>
      </c>
      <c r="AA581">
        <v>44.1</v>
      </c>
      <c r="AB581">
        <v>0.111</v>
      </c>
      <c r="AC581" t="s">
        <v>80</v>
      </c>
      <c r="AD581">
        <v>1</v>
      </c>
      <c r="AE581">
        <v>5</v>
      </c>
      <c r="AF581">
        <v>1</v>
      </c>
      <c r="AG581">
        <v>1.347</v>
      </c>
      <c r="AH581">
        <v>0.19500000000000001</v>
      </c>
      <c r="AI581">
        <v>0.11</v>
      </c>
    </row>
    <row r="582" spans="1:35" x14ac:dyDescent="0.25">
      <c r="A582">
        <v>259</v>
      </c>
      <c r="B582" t="s">
        <v>35</v>
      </c>
      <c r="C582">
        <v>3</v>
      </c>
      <c r="D582" t="s">
        <v>36</v>
      </c>
      <c r="E582">
        <v>3</v>
      </c>
      <c r="F582" t="s">
        <v>259</v>
      </c>
      <c r="G582">
        <v>3</v>
      </c>
      <c r="H582">
        <v>9</v>
      </c>
      <c r="I582">
        <v>3</v>
      </c>
      <c r="J582">
        <v>5</v>
      </c>
      <c r="K582">
        <v>21</v>
      </c>
      <c r="L582">
        <v>45</v>
      </c>
      <c r="M582">
        <v>2</v>
      </c>
      <c r="N582" t="s">
        <v>210</v>
      </c>
      <c r="O582" t="s">
        <v>39</v>
      </c>
      <c r="P582" t="s">
        <v>190</v>
      </c>
      <c r="Q582" t="s">
        <v>191</v>
      </c>
      <c r="R582" t="s">
        <v>51</v>
      </c>
      <c r="S582" t="s">
        <v>52</v>
      </c>
      <c r="T582" t="s">
        <v>149</v>
      </c>
      <c r="U582">
        <v>1</v>
      </c>
      <c r="V582" t="s">
        <v>79</v>
      </c>
      <c r="W582" t="s">
        <v>211</v>
      </c>
      <c r="X582" t="s">
        <v>120</v>
      </c>
      <c r="Y582">
        <v>2</v>
      </c>
      <c r="Z582">
        <v>1</v>
      </c>
      <c r="AA582">
        <v>44.1</v>
      </c>
      <c r="AB582">
        <v>-1</v>
      </c>
      <c r="AC582" t="s">
        <v>149</v>
      </c>
      <c r="AD582">
        <v>1</v>
      </c>
      <c r="AE582">
        <v>1</v>
      </c>
      <c r="AF582">
        <v>1</v>
      </c>
      <c r="AG582">
        <v>2.4220000000000002</v>
      </c>
      <c r="AH582">
        <v>6.6000000000000003E-2</v>
      </c>
      <c r="AI582">
        <v>-1</v>
      </c>
    </row>
    <row r="583" spans="1:35" x14ac:dyDescent="0.25">
      <c r="A583">
        <v>259</v>
      </c>
      <c r="B583" t="s">
        <v>35</v>
      </c>
      <c r="C583">
        <v>3</v>
      </c>
      <c r="D583" t="s">
        <v>36</v>
      </c>
      <c r="E583">
        <v>3</v>
      </c>
      <c r="F583" t="s">
        <v>259</v>
      </c>
      <c r="G583">
        <v>3</v>
      </c>
      <c r="H583">
        <v>9</v>
      </c>
      <c r="I583">
        <v>3</v>
      </c>
      <c r="J583">
        <v>6</v>
      </c>
      <c r="K583">
        <v>3</v>
      </c>
      <c r="L583">
        <v>1</v>
      </c>
      <c r="M583">
        <v>1</v>
      </c>
      <c r="N583" t="s">
        <v>70</v>
      </c>
      <c r="O583" t="s">
        <v>39</v>
      </c>
      <c r="P583" t="s">
        <v>71</v>
      </c>
      <c r="Q583" t="s">
        <v>72</v>
      </c>
      <c r="R583" t="s">
        <v>58</v>
      </c>
      <c r="S583" t="s">
        <v>59</v>
      </c>
      <c r="T583" t="s">
        <v>73</v>
      </c>
      <c r="U583">
        <v>1</v>
      </c>
      <c r="V583" t="s">
        <v>60</v>
      </c>
      <c r="W583" t="s">
        <v>74</v>
      </c>
      <c r="X583" t="s">
        <v>75</v>
      </c>
      <c r="Y583">
        <v>2</v>
      </c>
      <c r="Z583">
        <v>1</v>
      </c>
      <c r="AA583">
        <v>44.1</v>
      </c>
      <c r="AB583">
        <v>-1</v>
      </c>
      <c r="AC583" t="s">
        <v>73</v>
      </c>
      <c r="AD583">
        <v>1</v>
      </c>
      <c r="AE583">
        <v>1</v>
      </c>
      <c r="AF583">
        <v>1</v>
      </c>
      <c r="AG583">
        <v>1.93</v>
      </c>
      <c r="AH583">
        <v>3.4000000000000002E-2</v>
      </c>
      <c r="AI583">
        <v>-1</v>
      </c>
    </row>
    <row r="584" spans="1:35" x14ac:dyDescent="0.25">
      <c r="A584">
        <v>259</v>
      </c>
      <c r="B584" t="s">
        <v>35</v>
      </c>
      <c r="C584">
        <v>3</v>
      </c>
      <c r="D584" t="s">
        <v>36</v>
      </c>
      <c r="E584">
        <v>3</v>
      </c>
      <c r="F584" t="s">
        <v>259</v>
      </c>
      <c r="G584">
        <v>3</v>
      </c>
      <c r="H584">
        <v>9</v>
      </c>
      <c r="I584">
        <v>3</v>
      </c>
      <c r="J584">
        <v>7</v>
      </c>
      <c r="K584">
        <v>14</v>
      </c>
      <c r="L584">
        <v>12</v>
      </c>
      <c r="M584">
        <v>1</v>
      </c>
      <c r="N584" t="s">
        <v>206</v>
      </c>
      <c r="O584" t="s">
        <v>39</v>
      </c>
      <c r="P584" t="s">
        <v>207</v>
      </c>
      <c r="Q584" t="s">
        <v>208</v>
      </c>
      <c r="R584" t="s">
        <v>42</v>
      </c>
      <c r="S584" t="s">
        <v>43</v>
      </c>
      <c r="T584" t="s">
        <v>131</v>
      </c>
      <c r="U584">
        <v>1</v>
      </c>
      <c r="V584" t="s">
        <v>185</v>
      </c>
      <c r="W584" t="s">
        <v>209</v>
      </c>
      <c r="X584" t="s">
        <v>183</v>
      </c>
      <c r="Y584">
        <v>2</v>
      </c>
      <c r="Z584">
        <v>1</v>
      </c>
      <c r="AA584">
        <v>44.1</v>
      </c>
      <c r="AB584">
        <v>-1</v>
      </c>
      <c r="AC584" t="s">
        <v>131</v>
      </c>
      <c r="AD584">
        <v>1</v>
      </c>
      <c r="AE584">
        <v>1</v>
      </c>
      <c r="AF584">
        <v>1</v>
      </c>
      <c r="AG584">
        <v>0.877</v>
      </c>
      <c r="AH584">
        <v>0.28299999999999997</v>
      </c>
      <c r="AI584">
        <v>-1</v>
      </c>
    </row>
    <row r="585" spans="1:35" x14ac:dyDescent="0.25">
      <c r="A585">
        <v>259</v>
      </c>
      <c r="B585" t="s">
        <v>35</v>
      </c>
      <c r="C585">
        <v>3</v>
      </c>
      <c r="D585" t="s">
        <v>36</v>
      </c>
      <c r="E585">
        <v>3</v>
      </c>
      <c r="F585" t="s">
        <v>259</v>
      </c>
      <c r="G585">
        <v>3</v>
      </c>
      <c r="H585">
        <v>9</v>
      </c>
      <c r="I585">
        <v>3</v>
      </c>
      <c r="J585">
        <v>8</v>
      </c>
      <c r="K585">
        <v>8</v>
      </c>
      <c r="L585">
        <v>40</v>
      </c>
      <c r="M585">
        <v>2</v>
      </c>
      <c r="N585" t="s">
        <v>84</v>
      </c>
      <c r="O585" t="s">
        <v>39</v>
      </c>
      <c r="P585" t="s">
        <v>64</v>
      </c>
      <c r="Q585" t="s">
        <v>65</v>
      </c>
      <c r="R585" t="s">
        <v>42</v>
      </c>
      <c r="S585" t="s">
        <v>43</v>
      </c>
      <c r="T585" t="s">
        <v>67</v>
      </c>
      <c r="U585">
        <v>2</v>
      </c>
      <c r="V585" t="s">
        <v>85</v>
      </c>
      <c r="W585" t="s">
        <v>86</v>
      </c>
      <c r="X585" t="s">
        <v>87</v>
      </c>
      <c r="Y585">
        <v>2</v>
      </c>
      <c r="Z585">
        <v>1</v>
      </c>
      <c r="AA585">
        <v>44.1</v>
      </c>
      <c r="AB585">
        <v>0.17399999999999999</v>
      </c>
      <c r="AC585" t="s">
        <v>67</v>
      </c>
      <c r="AD585">
        <v>1</v>
      </c>
      <c r="AE585">
        <v>2</v>
      </c>
      <c r="AF585">
        <v>1</v>
      </c>
      <c r="AG585">
        <v>2.9249999999999998</v>
      </c>
      <c r="AH585">
        <v>0.13</v>
      </c>
      <c r="AI585">
        <v>0.17100000000000001</v>
      </c>
    </row>
    <row r="586" spans="1:35" x14ac:dyDescent="0.25">
      <c r="A586">
        <v>259</v>
      </c>
      <c r="B586" t="s">
        <v>35</v>
      </c>
      <c r="C586">
        <v>3</v>
      </c>
      <c r="D586" t="s">
        <v>36</v>
      </c>
      <c r="E586">
        <v>3</v>
      </c>
      <c r="F586" t="s">
        <v>259</v>
      </c>
      <c r="G586">
        <v>3</v>
      </c>
      <c r="H586">
        <v>9</v>
      </c>
      <c r="I586">
        <v>3</v>
      </c>
      <c r="J586">
        <v>9</v>
      </c>
      <c r="K586">
        <v>2</v>
      </c>
      <c r="L586">
        <v>48</v>
      </c>
      <c r="M586">
        <v>2</v>
      </c>
      <c r="N586" t="s">
        <v>38</v>
      </c>
      <c r="O586" t="s">
        <v>39</v>
      </c>
      <c r="P586" t="s">
        <v>40</v>
      </c>
      <c r="Q586" t="s">
        <v>41</v>
      </c>
      <c r="R586" t="s">
        <v>42</v>
      </c>
      <c r="S586" t="s">
        <v>43</v>
      </c>
      <c r="T586" t="s">
        <v>44</v>
      </c>
      <c r="U586">
        <v>4</v>
      </c>
      <c r="V586" t="s">
        <v>45</v>
      </c>
      <c r="W586" t="s">
        <v>46</v>
      </c>
      <c r="X586" t="s">
        <v>47</v>
      </c>
      <c r="Y586">
        <v>2</v>
      </c>
      <c r="Z586">
        <v>1</v>
      </c>
      <c r="AA586">
        <v>44.1</v>
      </c>
      <c r="AB586">
        <v>2.1999999999999999E-2</v>
      </c>
      <c r="AC586" t="s">
        <v>45</v>
      </c>
      <c r="AD586">
        <v>3</v>
      </c>
      <c r="AE586">
        <v>2</v>
      </c>
      <c r="AF586">
        <v>0</v>
      </c>
      <c r="AG586">
        <v>1.9710000000000001</v>
      </c>
      <c r="AH586">
        <v>6.6000000000000003E-2</v>
      </c>
      <c r="AI586">
        <v>2.4E-2</v>
      </c>
    </row>
    <row r="587" spans="1:35" x14ac:dyDescent="0.25">
      <c r="A587">
        <v>259</v>
      </c>
      <c r="B587" t="s">
        <v>35</v>
      </c>
      <c r="C587">
        <v>3</v>
      </c>
      <c r="D587" t="s">
        <v>36</v>
      </c>
      <c r="E587">
        <v>3</v>
      </c>
      <c r="F587" t="s">
        <v>259</v>
      </c>
      <c r="G587">
        <v>3</v>
      </c>
      <c r="H587">
        <v>9</v>
      </c>
      <c r="I587">
        <v>3</v>
      </c>
      <c r="J587">
        <v>10</v>
      </c>
      <c r="K587">
        <v>7</v>
      </c>
      <c r="L587">
        <v>39</v>
      </c>
      <c r="M587">
        <v>2</v>
      </c>
      <c r="N587" t="s">
        <v>63</v>
      </c>
      <c r="O587" t="s">
        <v>39</v>
      </c>
      <c r="P587" t="s">
        <v>64</v>
      </c>
      <c r="Q587" t="s">
        <v>65</v>
      </c>
      <c r="R587" t="s">
        <v>58</v>
      </c>
      <c r="S587" t="s">
        <v>59</v>
      </c>
      <c r="T587" t="s">
        <v>66</v>
      </c>
      <c r="U587">
        <v>4</v>
      </c>
      <c r="V587" t="s">
        <v>67</v>
      </c>
      <c r="W587" t="s">
        <v>68</v>
      </c>
      <c r="X587" t="s">
        <v>69</v>
      </c>
      <c r="Y587">
        <v>1</v>
      </c>
      <c r="Z587">
        <v>1</v>
      </c>
      <c r="AA587">
        <v>44.1</v>
      </c>
      <c r="AB587">
        <v>6.0000000000000001E-3</v>
      </c>
      <c r="AC587" t="s">
        <v>67</v>
      </c>
      <c r="AD587">
        <v>2</v>
      </c>
      <c r="AE587">
        <v>5</v>
      </c>
      <c r="AF587">
        <v>0</v>
      </c>
      <c r="AG587">
        <v>2.657</v>
      </c>
      <c r="AH587">
        <v>3.0339999999999998</v>
      </c>
      <c r="AI587">
        <v>0</v>
      </c>
    </row>
    <row r="588" spans="1:35" x14ac:dyDescent="0.25">
      <c r="A588">
        <v>259</v>
      </c>
      <c r="B588" t="s">
        <v>35</v>
      </c>
      <c r="C588">
        <v>3</v>
      </c>
      <c r="D588" t="s">
        <v>36</v>
      </c>
      <c r="E588">
        <v>3</v>
      </c>
      <c r="F588" t="s">
        <v>259</v>
      </c>
      <c r="G588">
        <v>3</v>
      </c>
      <c r="H588">
        <v>9</v>
      </c>
      <c r="I588">
        <v>3</v>
      </c>
      <c r="J588">
        <v>11</v>
      </c>
      <c r="K588">
        <v>16</v>
      </c>
      <c r="L588">
        <v>8</v>
      </c>
      <c r="M588">
        <v>1</v>
      </c>
      <c r="N588" t="s">
        <v>195</v>
      </c>
      <c r="O588" t="s">
        <v>39</v>
      </c>
      <c r="P588" t="s">
        <v>196</v>
      </c>
      <c r="Q588" t="s">
        <v>197</v>
      </c>
      <c r="R588" t="s">
        <v>42</v>
      </c>
      <c r="S588" t="s">
        <v>43</v>
      </c>
      <c r="T588" t="s">
        <v>85</v>
      </c>
      <c r="U588">
        <v>2</v>
      </c>
      <c r="V588" t="s">
        <v>156</v>
      </c>
      <c r="W588" t="s">
        <v>119</v>
      </c>
      <c r="X588" t="s">
        <v>155</v>
      </c>
      <c r="Y588">
        <v>1</v>
      </c>
      <c r="Z588">
        <v>1</v>
      </c>
      <c r="AA588">
        <v>44.1</v>
      </c>
      <c r="AB588">
        <v>-1</v>
      </c>
      <c r="AC588" t="s">
        <v>85</v>
      </c>
      <c r="AD588">
        <v>1</v>
      </c>
      <c r="AE588">
        <v>2</v>
      </c>
      <c r="AF588">
        <v>1</v>
      </c>
      <c r="AG588">
        <v>2.1749999999999998</v>
      </c>
      <c r="AH588">
        <v>3.0339999999999998</v>
      </c>
      <c r="AI588">
        <v>-1</v>
      </c>
    </row>
    <row r="589" spans="1:35" x14ac:dyDescent="0.25">
      <c r="A589">
        <v>259</v>
      </c>
      <c r="B589" t="s">
        <v>35</v>
      </c>
      <c r="C589">
        <v>3</v>
      </c>
      <c r="D589" t="s">
        <v>36</v>
      </c>
      <c r="E589">
        <v>3</v>
      </c>
      <c r="F589" t="s">
        <v>259</v>
      </c>
      <c r="G589">
        <v>3</v>
      </c>
      <c r="H589">
        <v>9</v>
      </c>
      <c r="I589">
        <v>3</v>
      </c>
      <c r="J589">
        <v>12</v>
      </c>
      <c r="K589">
        <v>18</v>
      </c>
      <c r="L589">
        <v>42</v>
      </c>
      <c r="M589">
        <v>2</v>
      </c>
      <c r="N589" t="s">
        <v>216</v>
      </c>
      <c r="O589" t="s">
        <v>39</v>
      </c>
      <c r="P589" t="s">
        <v>199</v>
      </c>
      <c r="Q589" t="s">
        <v>200</v>
      </c>
      <c r="R589" t="s">
        <v>91</v>
      </c>
      <c r="S589" t="s">
        <v>92</v>
      </c>
      <c r="T589" t="s">
        <v>98</v>
      </c>
      <c r="U589">
        <v>4</v>
      </c>
      <c r="V589" t="s">
        <v>138</v>
      </c>
      <c r="W589" t="s">
        <v>132</v>
      </c>
      <c r="X589" t="s">
        <v>128</v>
      </c>
      <c r="Y589">
        <v>1</v>
      </c>
      <c r="Z589">
        <v>1</v>
      </c>
      <c r="AA589">
        <v>44.1</v>
      </c>
      <c r="AB589">
        <v>-1</v>
      </c>
      <c r="AC589" t="s">
        <v>98</v>
      </c>
      <c r="AD589">
        <v>1</v>
      </c>
      <c r="AE589">
        <v>4</v>
      </c>
      <c r="AF589">
        <v>1</v>
      </c>
      <c r="AG589">
        <v>0.97699999999999998</v>
      </c>
      <c r="AH589">
        <v>0.13300000000000001</v>
      </c>
      <c r="AI589">
        <v>-1</v>
      </c>
    </row>
    <row r="590" spans="1:35" x14ac:dyDescent="0.25">
      <c r="A590">
        <v>259</v>
      </c>
      <c r="B590" t="s">
        <v>35</v>
      </c>
      <c r="C590">
        <v>3</v>
      </c>
      <c r="D590" t="s">
        <v>36</v>
      </c>
      <c r="E590">
        <v>3</v>
      </c>
      <c r="F590" t="s">
        <v>259</v>
      </c>
      <c r="G590">
        <v>3</v>
      </c>
      <c r="H590">
        <v>9</v>
      </c>
      <c r="I590">
        <v>3</v>
      </c>
      <c r="J590">
        <v>13</v>
      </c>
      <c r="K590">
        <v>13</v>
      </c>
      <c r="L590">
        <v>11</v>
      </c>
      <c r="M590">
        <v>1</v>
      </c>
      <c r="N590" t="s">
        <v>213</v>
      </c>
      <c r="O590" t="s">
        <v>39</v>
      </c>
      <c r="P590" t="s">
        <v>207</v>
      </c>
      <c r="Q590" t="s">
        <v>208</v>
      </c>
      <c r="R590" t="s">
        <v>91</v>
      </c>
      <c r="S590" t="s">
        <v>92</v>
      </c>
      <c r="T590" t="s">
        <v>106</v>
      </c>
      <c r="U590">
        <v>2</v>
      </c>
      <c r="V590" t="s">
        <v>131</v>
      </c>
      <c r="W590" t="s">
        <v>187</v>
      </c>
      <c r="X590" t="s">
        <v>214</v>
      </c>
      <c r="Y590">
        <v>1</v>
      </c>
      <c r="Z590">
        <v>1</v>
      </c>
      <c r="AA590">
        <v>44.1</v>
      </c>
      <c r="AB590">
        <v>-1</v>
      </c>
      <c r="AC590" t="s">
        <v>106</v>
      </c>
      <c r="AD590">
        <v>1</v>
      </c>
      <c r="AE590">
        <v>2</v>
      </c>
      <c r="AF590">
        <v>1</v>
      </c>
      <c r="AG590">
        <v>2.052</v>
      </c>
      <c r="AH590">
        <v>0.5</v>
      </c>
      <c r="AI590">
        <v>-1</v>
      </c>
    </row>
    <row r="591" spans="1:35" x14ac:dyDescent="0.25">
      <c r="A591">
        <v>259</v>
      </c>
      <c r="B591" t="s">
        <v>35</v>
      </c>
      <c r="C591">
        <v>3</v>
      </c>
      <c r="D591" t="s">
        <v>36</v>
      </c>
      <c r="E591">
        <v>3</v>
      </c>
      <c r="F591" t="s">
        <v>259</v>
      </c>
      <c r="G591">
        <v>3</v>
      </c>
      <c r="H591">
        <v>9</v>
      </c>
      <c r="I591">
        <v>3</v>
      </c>
      <c r="J591">
        <v>14</v>
      </c>
      <c r="K591">
        <v>9</v>
      </c>
      <c r="L591">
        <v>3</v>
      </c>
      <c r="M591">
        <v>1</v>
      </c>
      <c r="N591" t="s">
        <v>88</v>
      </c>
      <c r="O591" t="s">
        <v>39</v>
      </c>
      <c r="P591" t="s">
        <v>89</v>
      </c>
      <c r="Q591" t="s">
        <v>90</v>
      </c>
      <c r="R591" t="s">
        <v>91</v>
      </c>
      <c r="S591" t="s">
        <v>92</v>
      </c>
      <c r="T591" t="s">
        <v>93</v>
      </c>
      <c r="U591">
        <v>2</v>
      </c>
      <c r="V591" t="s">
        <v>94</v>
      </c>
      <c r="W591" t="s">
        <v>95</v>
      </c>
      <c r="X591" t="s">
        <v>96</v>
      </c>
      <c r="Y591">
        <v>2</v>
      </c>
      <c r="Z591">
        <v>1</v>
      </c>
      <c r="AA591">
        <v>44.1</v>
      </c>
      <c r="AB591">
        <v>-1</v>
      </c>
      <c r="AC591" t="s">
        <v>93</v>
      </c>
      <c r="AD591">
        <v>1</v>
      </c>
      <c r="AE591">
        <v>2</v>
      </c>
      <c r="AF591">
        <v>1</v>
      </c>
      <c r="AG591">
        <v>2.835</v>
      </c>
      <c r="AH591">
        <v>9.9000000000000005E-2</v>
      </c>
      <c r="AI591">
        <v>-1</v>
      </c>
    </row>
    <row r="592" spans="1:35" x14ac:dyDescent="0.25">
      <c r="A592">
        <v>259</v>
      </c>
      <c r="B592" t="s">
        <v>35</v>
      </c>
      <c r="C592">
        <v>3</v>
      </c>
      <c r="D592" t="s">
        <v>36</v>
      </c>
      <c r="E592">
        <v>3</v>
      </c>
      <c r="F592" t="s">
        <v>259</v>
      </c>
      <c r="G592">
        <v>3</v>
      </c>
      <c r="H592">
        <v>9</v>
      </c>
      <c r="I592">
        <v>3</v>
      </c>
      <c r="J592">
        <v>15</v>
      </c>
      <c r="K592">
        <v>15</v>
      </c>
      <c r="L592">
        <v>7</v>
      </c>
      <c r="M592">
        <v>1</v>
      </c>
      <c r="N592" t="s">
        <v>205</v>
      </c>
      <c r="O592" t="s">
        <v>39</v>
      </c>
      <c r="P592" t="s">
        <v>196</v>
      </c>
      <c r="Q592" t="s">
        <v>197</v>
      </c>
      <c r="R592" t="s">
        <v>58</v>
      </c>
      <c r="S592" t="s">
        <v>59</v>
      </c>
      <c r="T592" t="s">
        <v>156</v>
      </c>
      <c r="U592">
        <v>5</v>
      </c>
      <c r="V592" t="s">
        <v>147</v>
      </c>
      <c r="W592" t="s">
        <v>130</v>
      </c>
      <c r="X592" t="s">
        <v>166</v>
      </c>
      <c r="Y592">
        <v>2</v>
      </c>
      <c r="Z592">
        <v>1</v>
      </c>
      <c r="AA592">
        <v>44.1</v>
      </c>
      <c r="AB592">
        <v>-1</v>
      </c>
      <c r="AC592" t="s">
        <v>130</v>
      </c>
      <c r="AD592">
        <v>4</v>
      </c>
      <c r="AE592">
        <v>1</v>
      </c>
      <c r="AF592">
        <v>0</v>
      </c>
      <c r="AG592">
        <v>2.0649999999999999</v>
      </c>
      <c r="AH592">
        <v>0.18</v>
      </c>
      <c r="AI592">
        <v>-1</v>
      </c>
    </row>
    <row r="593" spans="1:35" x14ac:dyDescent="0.25">
      <c r="A593">
        <v>259</v>
      </c>
      <c r="B593" t="s">
        <v>35</v>
      </c>
      <c r="C593">
        <v>3</v>
      </c>
      <c r="D593" t="s">
        <v>36</v>
      </c>
      <c r="E593">
        <v>3</v>
      </c>
      <c r="F593" t="s">
        <v>259</v>
      </c>
      <c r="G593">
        <v>3</v>
      </c>
      <c r="H593">
        <v>9</v>
      </c>
      <c r="I593">
        <v>3</v>
      </c>
      <c r="J593">
        <v>16</v>
      </c>
      <c r="K593">
        <v>22</v>
      </c>
      <c r="L593">
        <v>46</v>
      </c>
      <c r="M593">
        <v>2</v>
      </c>
      <c r="N593" t="s">
        <v>189</v>
      </c>
      <c r="O593" t="s">
        <v>39</v>
      </c>
      <c r="P593" t="s">
        <v>190</v>
      </c>
      <c r="Q593" t="s">
        <v>191</v>
      </c>
      <c r="R593" t="s">
        <v>42</v>
      </c>
      <c r="S593" t="s">
        <v>43</v>
      </c>
      <c r="T593" t="s">
        <v>45</v>
      </c>
      <c r="U593">
        <v>5</v>
      </c>
      <c r="V593" t="s">
        <v>149</v>
      </c>
      <c r="W593" t="s">
        <v>139</v>
      </c>
      <c r="X593" t="s">
        <v>124</v>
      </c>
      <c r="Y593">
        <v>1</v>
      </c>
      <c r="Z593">
        <v>1</v>
      </c>
      <c r="AA593">
        <v>44.1</v>
      </c>
      <c r="AB593">
        <v>-1</v>
      </c>
      <c r="AC593" t="s">
        <v>45</v>
      </c>
      <c r="AD593">
        <v>1</v>
      </c>
      <c r="AE593">
        <v>5</v>
      </c>
      <c r="AF593">
        <v>1</v>
      </c>
      <c r="AG593">
        <v>1.002</v>
      </c>
      <c r="AH593">
        <v>0.45</v>
      </c>
      <c r="AI593">
        <v>-1</v>
      </c>
    </row>
    <row r="594" spans="1:35" x14ac:dyDescent="0.25">
      <c r="A594">
        <v>259</v>
      </c>
      <c r="B594" t="s">
        <v>35</v>
      </c>
      <c r="C594">
        <v>3</v>
      </c>
      <c r="D594" t="s">
        <v>36</v>
      </c>
      <c r="E594">
        <v>3</v>
      </c>
      <c r="F594" t="s">
        <v>259</v>
      </c>
      <c r="G594">
        <v>3</v>
      </c>
      <c r="H594">
        <v>9</v>
      </c>
      <c r="I594">
        <v>3</v>
      </c>
      <c r="J594">
        <v>17</v>
      </c>
      <c r="K594">
        <v>19</v>
      </c>
      <c r="L594">
        <v>5</v>
      </c>
      <c r="M594">
        <v>1</v>
      </c>
      <c r="N594" t="s">
        <v>192</v>
      </c>
      <c r="O594" t="s">
        <v>39</v>
      </c>
      <c r="P594" t="s">
        <v>193</v>
      </c>
      <c r="Q594" t="s">
        <v>194</v>
      </c>
      <c r="R594" t="s">
        <v>51</v>
      </c>
      <c r="S594" t="s">
        <v>52</v>
      </c>
      <c r="T594" t="s">
        <v>144</v>
      </c>
      <c r="U594">
        <v>1</v>
      </c>
      <c r="V594" t="s">
        <v>53</v>
      </c>
      <c r="W594" t="s">
        <v>116</v>
      </c>
      <c r="X594" t="s">
        <v>161</v>
      </c>
      <c r="Y594">
        <v>2</v>
      </c>
      <c r="Z594">
        <v>1</v>
      </c>
      <c r="AA594">
        <v>44.1</v>
      </c>
      <c r="AB594">
        <v>-1</v>
      </c>
      <c r="AC594" t="s">
        <v>53</v>
      </c>
      <c r="AD594">
        <v>3</v>
      </c>
      <c r="AE594">
        <v>4</v>
      </c>
      <c r="AF594">
        <v>0</v>
      </c>
      <c r="AG594">
        <v>2.1459999999999999</v>
      </c>
      <c r="AH594">
        <v>0.13300000000000001</v>
      </c>
      <c r="AI594">
        <v>-1</v>
      </c>
    </row>
    <row r="595" spans="1:35" x14ac:dyDescent="0.25">
      <c r="A595">
        <v>259</v>
      </c>
      <c r="B595" t="s">
        <v>35</v>
      </c>
      <c r="C595">
        <v>3</v>
      </c>
      <c r="D595" t="s">
        <v>36</v>
      </c>
      <c r="E595">
        <v>3</v>
      </c>
      <c r="F595" t="s">
        <v>259</v>
      </c>
      <c r="G595">
        <v>3</v>
      </c>
      <c r="H595">
        <v>9</v>
      </c>
      <c r="I595">
        <v>3</v>
      </c>
      <c r="J595">
        <v>18</v>
      </c>
      <c r="K595">
        <v>1</v>
      </c>
      <c r="L595">
        <v>47</v>
      </c>
      <c r="M595">
        <v>2</v>
      </c>
      <c r="N595" t="s">
        <v>57</v>
      </c>
      <c r="O595" t="s">
        <v>39</v>
      </c>
      <c r="P595" t="s">
        <v>40</v>
      </c>
      <c r="Q595" t="s">
        <v>41</v>
      </c>
      <c r="R595" t="s">
        <v>58</v>
      </c>
      <c r="S595" t="s">
        <v>59</v>
      </c>
      <c r="T595" t="s">
        <v>60</v>
      </c>
      <c r="U595">
        <v>1</v>
      </c>
      <c r="V595" t="s">
        <v>44</v>
      </c>
      <c r="W595" t="s">
        <v>61</v>
      </c>
      <c r="X595" t="s">
        <v>62</v>
      </c>
      <c r="Y595">
        <v>1</v>
      </c>
      <c r="Z595">
        <v>1</v>
      </c>
      <c r="AA595">
        <v>44.1</v>
      </c>
      <c r="AB595">
        <v>-1</v>
      </c>
      <c r="AC595" t="s">
        <v>62</v>
      </c>
      <c r="AD595">
        <v>4</v>
      </c>
      <c r="AE595">
        <v>5</v>
      </c>
      <c r="AF595">
        <v>0</v>
      </c>
      <c r="AG595">
        <v>3.7669999999999999</v>
      </c>
      <c r="AH595">
        <v>6.2E-2</v>
      </c>
      <c r="AI595">
        <v>-1</v>
      </c>
    </row>
    <row r="596" spans="1:35" x14ac:dyDescent="0.25">
      <c r="A596">
        <v>259</v>
      </c>
      <c r="B596" t="s">
        <v>35</v>
      </c>
      <c r="C596">
        <v>3</v>
      </c>
      <c r="D596" t="s">
        <v>36</v>
      </c>
      <c r="E596">
        <v>3</v>
      </c>
      <c r="F596" t="s">
        <v>259</v>
      </c>
      <c r="G596">
        <v>3</v>
      </c>
      <c r="H596">
        <v>9</v>
      </c>
      <c r="I596">
        <v>3</v>
      </c>
      <c r="J596">
        <v>19</v>
      </c>
      <c r="K596">
        <v>4</v>
      </c>
      <c r="L596">
        <v>2</v>
      </c>
      <c r="M596">
        <v>1</v>
      </c>
      <c r="N596" t="s">
        <v>109</v>
      </c>
      <c r="O596" t="s">
        <v>39</v>
      </c>
      <c r="P596" t="s">
        <v>71</v>
      </c>
      <c r="Q596" t="s">
        <v>72</v>
      </c>
      <c r="R596" t="s">
        <v>91</v>
      </c>
      <c r="S596" t="s">
        <v>92</v>
      </c>
      <c r="T596" t="s">
        <v>94</v>
      </c>
      <c r="U596">
        <v>1</v>
      </c>
      <c r="V596" t="s">
        <v>73</v>
      </c>
      <c r="W596" t="s">
        <v>110</v>
      </c>
      <c r="X596" t="s">
        <v>111</v>
      </c>
      <c r="Y596">
        <v>1</v>
      </c>
      <c r="Z596">
        <v>1</v>
      </c>
      <c r="AA596">
        <v>44.1</v>
      </c>
      <c r="AB596">
        <v>-1</v>
      </c>
      <c r="AC596" t="s">
        <v>94</v>
      </c>
      <c r="AD596">
        <v>1</v>
      </c>
      <c r="AE596">
        <v>1</v>
      </c>
      <c r="AF596">
        <v>1</v>
      </c>
      <c r="AG596">
        <v>1.7569999999999999</v>
      </c>
      <c r="AH596">
        <v>0.2</v>
      </c>
      <c r="AI596">
        <v>-1</v>
      </c>
    </row>
    <row r="597" spans="1:35" x14ac:dyDescent="0.25">
      <c r="A597">
        <v>259</v>
      </c>
      <c r="B597" t="s">
        <v>35</v>
      </c>
      <c r="C597">
        <v>3</v>
      </c>
      <c r="D597" t="s">
        <v>36</v>
      </c>
      <c r="E597">
        <v>3</v>
      </c>
      <c r="F597" t="s">
        <v>259</v>
      </c>
      <c r="G597">
        <v>3</v>
      </c>
      <c r="H597">
        <v>9</v>
      </c>
      <c r="I597">
        <v>3</v>
      </c>
      <c r="J597">
        <v>20</v>
      </c>
      <c r="K597">
        <v>6</v>
      </c>
      <c r="L597">
        <v>38</v>
      </c>
      <c r="M597">
        <v>2</v>
      </c>
      <c r="N597" t="s">
        <v>48</v>
      </c>
      <c r="O597" t="s">
        <v>39</v>
      </c>
      <c r="P597" t="s">
        <v>49</v>
      </c>
      <c r="Q597" t="s">
        <v>50</v>
      </c>
      <c r="R597" t="s">
        <v>51</v>
      </c>
      <c r="S597" t="s">
        <v>52</v>
      </c>
      <c r="T597" t="s">
        <v>53</v>
      </c>
      <c r="U597">
        <v>1</v>
      </c>
      <c r="V597" t="s">
        <v>54</v>
      </c>
      <c r="W597" t="s">
        <v>55</v>
      </c>
      <c r="X597" t="s">
        <v>56</v>
      </c>
      <c r="Y597">
        <v>1</v>
      </c>
      <c r="Z597">
        <v>1</v>
      </c>
      <c r="AA597">
        <v>44.1</v>
      </c>
      <c r="AB597">
        <v>-1</v>
      </c>
      <c r="AC597" t="s">
        <v>54</v>
      </c>
      <c r="AD597">
        <v>2</v>
      </c>
      <c r="AE597">
        <v>5</v>
      </c>
      <c r="AF597">
        <v>0</v>
      </c>
      <c r="AG597">
        <v>1.954</v>
      </c>
      <c r="AH597">
        <v>3.3000000000000002E-2</v>
      </c>
      <c r="AI597">
        <v>-1</v>
      </c>
    </row>
    <row r="598" spans="1:35" x14ac:dyDescent="0.25">
      <c r="A598">
        <v>259</v>
      </c>
      <c r="B598" t="s">
        <v>35</v>
      </c>
      <c r="C598">
        <v>3</v>
      </c>
      <c r="D598" t="s">
        <v>36</v>
      </c>
      <c r="E598">
        <v>3</v>
      </c>
      <c r="F598" t="s">
        <v>259</v>
      </c>
      <c r="G598">
        <v>3</v>
      </c>
      <c r="H598">
        <v>9</v>
      </c>
      <c r="I598">
        <v>3</v>
      </c>
      <c r="J598">
        <v>21</v>
      </c>
      <c r="K598">
        <v>10</v>
      </c>
      <c r="L598">
        <v>4</v>
      </c>
      <c r="M598">
        <v>1</v>
      </c>
      <c r="N598" t="s">
        <v>101</v>
      </c>
      <c r="O598" t="s">
        <v>39</v>
      </c>
      <c r="P598" t="s">
        <v>89</v>
      </c>
      <c r="Q598" t="s">
        <v>90</v>
      </c>
      <c r="R598" t="s">
        <v>51</v>
      </c>
      <c r="S598" t="s">
        <v>52</v>
      </c>
      <c r="T598" t="s">
        <v>102</v>
      </c>
      <c r="U598">
        <v>2</v>
      </c>
      <c r="V598" t="s">
        <v>93</v>
      </c>
      <c r="W598" t="s">
        <v>103</v>
      </c>
      <c r="X598" t="s">
        <v>104</v>
      </c>
      <c r="Y598">
        <v>1</v>
      </c>
      <c r="Z598">
        <v>1</v>
      </c>
      <c r="AA598">
        <v>44.1</v>
      </c>
      <c r="AB598">
        <v>-1</v>
      </c>
      <c r="AC598" t="s">
        <v>102</v>
      </c>
      <c r="AD598">
        <v>1</v>
      </c>
      <c r="AE598">
        <v>2</v>
      </c>
      <c r="AF598">
        <v>1</v>
      </c>
      <c r="AG598">
        <v>1.847</v>
      </c>
      <c r="AH598">
        <v>0.29499999999999998</v>
      </c>
      <c r="AI598">
        <v>-1</v>
      </c>
    </row>
    <row r="599" spans="1:35" x14ac:dyDescent="0.25">
      <c r="A599">
        <v>259</v>
      </c>
      <c r="B599" t="s">
        <v>35</v>
      </c>
      <c r="C599">
        <v>3</v>
      </c>
      <c r="D599" t="s">
        <v>36</v>
      </c>
      <c r="E599">
        <v>3</v>
      </c>
      <c r="F599" t="s">
        <v>259</v>
      </c>
      <c r="G599">
        <v>3</v>
      </c>
      <c r="H599">
        <v>9</v>
      </c>
      <c r="I599">
        <v>3</v>
      </c>
      <c r="J599">
        <v>22</v>
      </c>
      <c r="K599">
        <v>24</v>
      </c>
      <c r="L599">
        <v>10</v>
      </c>
      <c r="M599">
        <v>1</v>
      </c>
      <c r="N599" t="s">
        <v>201</v>
      </c>
      <c r="O599" t="s">
        <v>39</v>
      </c>
      <c r="P599" t="s">
        <v>202</v>
      </c>
      <c r="Q599" t="s">
        <v>203</v>
      </c>
      <c r="R599" t="s">
        <v>51</v>
      </c>
      <c r="S599" t="s">
        <v>52</v>
      </c>
      <c r="T599" t="s">
        <v>172</v>
      </c>
      <c r="U599">
        <v>2</v>
      </c>
      <c r="V599" t="s">
        <v>102</v>
      </c>
      <c r="W599" t="s">
        <v>162</v>
      </c>
      <c r="X599" t="s">
        <v>204</v>
      </c>
      <c r="Y599">
        <v>2</v>
      </c>
      <c r="Z599">
        <v>1</v>
      </c>
      <c r="AA599">
        <v>44.1</v>
      </c>
      <c r="AB599">
        <v>-1</v>
      </c>
      <c r="AC599" t="s">
        <v>172</v>
      </c>
      <c r="AD599">
        <v>1</v>
      </c>
      <c r="AE599">
        <v>2</v>
      </c>
      <c r="AF599">
        <v>1</v>
      </c>
      <c r="AG599">
        <v>2.282</v>
      </c>
      <c r="AH599">
        <v>0.183</v>
      </c>
      <c r="AI599">
        <v>-1</v>
      </c>
    </row>
    <row r="600" spans="1:35" x14ac:dyDescent="0.25">
      <c r="A600">
        <v>259</v>
      </c>
      <c r="B600" t="s">
        <v>35</v>
      </c>
      <c r="C600">
        <v>3</v>
      </c>
      <c r="D600" t="s">
        <v>36</v>
      </c>
      <c r="E600">
        <v>3</v>
      </c>
      <c r="F600" t="s">
        <v>259</v>
      </c>
      <c r="G600">
        <v>3</v>
      </c>
      <c r="H600">
        <v>9</v>
      </c>
      <c r="I600">
        <v>3</v>
      </c>
      <c r="J600">
        <v>23</v>
      </c>
      <c r="K600">
        <v>17</v>
      </c>
      <c r="L600">
        <v>41</v>
      </c>
      <c r="M600">
        <v>2</v>
      </c>
      <c r="N600" t="s">
        <v>198</v>
      </c>
      <c r="O600" t="s">
        <v>39</v>
      </c>
      <c r="P600" t="s">
        <v>199</v>
      </c>
      <c r="Q600" t="s">
        <v>200</v>
      </c>
      <c r="R600" t="s">
        <v>58</v>
      </c>
      <c r="S600" t="s">
        <v>59</v>
      </c>
      <c r="T600" t="s">
        <v>138</v>
      </c>
      <c r="U600">
        <v>1</v>
      </c>
      <c r="V600" t="s">
        <v>66</v>
      </c>
      <c r="W600" t="s">
        <v>121</v>
      </c>
      <c r="X600" t="s">
        <v>137</v>
      </c>
      <c r="Y600">
        <v>2</v>
      </c>
      <c r="Z600">
        <v>1</v>
      </c>
      <c r="AA600">
        <v>44.1</v>
      </c>
      <c r="AB600">
        <v>-1</v>
      </c>
      <c r="AC600" t="s">
        <v>66</v>
      </c>
      <c r="AD600">
        <v>3</v>
      </c>
      <c r="AE600">
        <v>2</v>
      </c>
      <c r="AF600">
        <v>0</v>
      </c>
      <c r="AG600">
        <v>1.9910000000000001</v>
      </c>
      <c r="AH600">
        <v>0.11600000000000001</v>
      </c>
      <c r="AI600">
        <v>-1</v>
      </c>
    </row>
    <row r="601" spans="1:35" x14ac:dyDescent="0.25">
      <c r="A601">
        <v>259</v>
      </c>
      <c r="B601" t="s">
        <v>35</v>
      </c>
      <c r="C601">
        <v>3</v>
      </c>
      <c r="D601" t="s">
        <v>36</v>
      </c>
      <c r="E601">
        <v>3</v>
      </c>
      <c r="F601" t="s">
        <v>259</v>
      </c>
      <c r="G601">
        <v>3</v>
      </c>
      <c r="H601">
        <v>9</v>
      </c>
      <c r="I601">
        <v>3</v>
      </c>
      <c r="J601">
        <v>24</v>
      </c>
      <c r="K601">
        <v>12</v>
      </c>
      <c r="L601">
        <v>44</v>
      </c>
      <c r="M601">
        <v>2</v>
      </c>
      <c r="N601" t="s">
        <v>76</v>
      </c>
      <c r="O601" t="s">
        <v>39</v>
      </c>
      <c r="P601" t="s">
        <v>77</v>
      </c>
      <c r="Q601" t="s">
        <v>78</v>
      </c>
      <c r="R601" t="s">
        <v>51</v>
      </c>
      <c r="S601" t="s">
        <v>52</v>
      </c>
      <c r="T601" t="s">
        <v>79</v>
      </c>
      <c r="U601">
        <v>5</v>
      </c>
      <c r="V601" t="s">
        <v>80</v>
      </c>
      <c r="W601" t="s">
        <v>81</v>
      </c>
      <c r="X601" t="s">
        <v>82</v>
      </c>
      <c r="Y601">
        <v>1</v>
      </c>
      <c r="Z601">
        <v>1</v>
      </c>
      <c r="AA601">
        <v>44.1</v>
      </c>
      <c r="AB601">
        <v>-1</v>
      </c>
      <c r="AC601" t="s">
        <v>79</v>
      </c>
      <c r="AD601">
        <v>1</v>
      </c>
      <c r="AE601">
        <v>5</v>
      </c>
      <c r="AF601">
        <v>1</v>
      </c>
      <c r="AG601">
        <v>3.2189999999999999</v>
      </c>
      <c r="AH601">
        <v>0.13300000000000001</v>
      </c>
      <c r="AI601">
        <v>-1</v>
      </c>
    </row>
    <row r="602" spans="1:35" x14ac:dyDescent="0.25">
      <c r="A602">
        <v>259</v>
      </c>
      <c r="B602" t="s">
        <v>35</v>
      </c>
      <c r="C602">
        <v>3</v>
      </c>
      <c r="D602" t="s">
        <v>36</v>
      </c>
      <c r="E602">
        <v>3</v>
      </c>
      <c r="F602" t="s">
        <v>259</v>
      </c>
      <c r="G602">
        <v>3</v>
      </c>
      <c r="H602">
        <v>9</v>
      </c>
      <c r="I602">
        <v>3</v>
      </c>
      <c r="J602">
        <v>25</v>
      </c>
      <c r="K602">
        <v>33</v>
      </c>
      <c r="L602">
        <v>27</v>
      </c>
      <c r="M602">
        <v>1</v>
      </c>
      <c r="N602" t="s">
        <v>129</v>
      </c>
      <c r="O602" t="s">
        <v>113</v>
      </c>
      <c r="P602" t="s">
        <v>114</v>
      </c>
      <c r="Q602" t="s">
        <v>118</v>
      </c>
      <c r="R602" t="s">
        <v>114</v>
      </c>
      <c r="S602" t="s">
        <v>92</v>
      </c>
      <c r="T602" t="s">
        <v>120</v>
      </c>
      <c r="U602">
        <v>1</v>
      </c>
      <c r="V602" t="s">
        <v>130</v>
      </c>
      <c r="W602" t="s">
        <v>131</v>
      </c>
      <c r="X602" t="s">
        <v>132</v>
      </c>
      <c r="Y602">
        <v>2</v>
      </c>
      <c r="Z602">
        <v>1</v>
      </c>
      <c r="AA602">
        <v>44.1</v>
      </c>
      <c r="AB602">
        <v>-1</v>
      </c>
      <c r="AC602" t="s">
        <v>120</v>
      </c>
      <c r="AD602">
        <v>1</v>
      </c>
      <c r="AE602">
        <v>1</v>
      </c>
      <c r="AF602">
        <v>1</v>
      </c>
      <c r="AG602">
        <v>2.4089999999999998</v>
      </c>
      <c r="AH602">
        <v>0.113</v>
      </c>
      <c r="AI602">
        <v>-1</v>
      </c>
    </row>
    <row r="603" spans="1:35" x14ac:dyDescent="0.25">
      <c r="A603">
        <v>259</v>
      </c>
      <c r="B603" t="s">
        <v>35</v>
      </c>
      <c r="C603">
        <v>3</v>
      </c>
      <c r="D603" t="s">
        <v>36</v>
      </c>
      <c r="E603">
        <v>3</v>
      </c>
      <c r="F603" t="s">
        <v>259</v>
      </c>
      <c r="G603">
        <v>3</v>
      </c>
      <c r="H603">
        <v>9</v>
      </c>
      <c r="I603">
        <v>3</v>
      </c>
      <c r="J603">
        <v>26</v>
      </c>
      <c r="K603">
        <v>42</v>
      </c>
      <c r="L603">
        <v>66</v>
      </c>
      <c r="M603">
        <v>2</v>
      </c>
      <c r="N603" t="s">
        <v>229</v>
      </c>
      <c r="O603" t="s">
        <v>113</v>
      </c>
      <c r="P603" t="s">
        <v>114</v>
      </c>
      <c r="Q603" t="s">
        <v>226</v>
      </c>
      <c r="R603" t="s">
        <v>114</v>
      </c>
      <c r="S603" t="s">
        <v>92</v>
      </c>
      <c r="T603" t="s">
        <v>209</v>
      </c>
      <c r="U603">
        <v>4</v>
      </c>
      <c r="V603" t="s">
        <v>87</v>
      </c>
      <c r="W603" t="s">
        <v>161</v>
      </c>
      <c r="X603" t="s">
        <v>102</v>
      </c>
      <c r="Y603">
        <v>1</v>
      </c>
      <c r="Z603">
        <v>1</v>
      </c>
      <c r="AA603">
        <v>44.1</v>
      </c>
      <c r="AB603">
        <v>-1</v>
      </c>
      <c r="AC603" t="s">
        <v>209</v>
      </c>
      <c r="AD603">
        <v>1</v>
      </c>
      <c r="AE603">
        <v>4</v>
      </c>
      <c r="AF603">
        <v>1</v>
      </c>
      <c r="AG603">
        <v>1.504</v>
      </c>
      <c r="AH603">
        <v>0.1</v>
      </c>
      <c r="AI603">
        <v>-1</v>
      </c>
    </row>
    <row r="604" spans="1:35" x14ac:dyDescent="0.25">
      <c r="A604">
        <v>259</v>
      </c>
      <c r="B604" t="s">
        <v>35</v>
      </c>
      <c r="C604">
        <v>3</v>
      </c>
      <c r="D604" t="s">
        <v>36</v>
      </c>
      <c r="E604">
        <v>3</v>
      </c>
      <c r="F604" t="s">
        <v>259</v>
      </c>
      <c r="G604">
        <v>3</v>
      </c>
      <c r="H604">
        <v>9</v>
      </c>
      <c r="I604">
        <v>3</v>
      </c>
      <c r="J604">
        <v>27</v>
      </c>
      <c r="K604">
        <v>30</v>
      </c>
      <c r="L604">
        <v>62</v>
      </c>
      <c r="M604">
        <v>2</v>
      </c>
      <c r="N604" t="s">
        <v>142</v>
      </c>
      <c r="O604" t="s">
        <v>113</v>
      </c>
      <c r="P604" t="s">
        <v>114</v>
      </c>
      <c r="Q604" t="s">
        <v>126</v>
      </c>
      <c r="R604" t="s">
        <v>114</v>
      </c>
      <c r="S604" t="s">
        <v>52</v>
      </c>
      <c r="T604" t="s">
        <v>128</v>
      </c>
      <c r="U604">
        <v>2</v>
      </c>
      <c r="V604" t="s">
        <v>61</v>
      </c>
      <c r="W604" t="s">
        <v>82</v>
      </c>
      <c r="X604" t="s">
        <v>85</v>
      </c>
      <c r="Y604">
        <v>2</v>
      </c>
      <c r="Z604">
        <v>1</v>
      </c>
      <c r="AA604">
        <v>44.1</v>
      </c>
      <c r="AB604">
        <v>-1</v>
      </c>
      <c r="AC604" t="s">
        <v>85</v>
      </c>
      <c r="AD604">
        <v>4</v>
      </c>
      <c r="AE604">
        <v>1</v>
      </c>
      <c r="AF604">
        <v>0</v>
      </c>
      <c r="AG604">
        <v>2.4020000000000001</v>
      </c>
      <c r="AH604">
        <v>0.16600000000000001</v>
      </c>
      <c r="AI604">
        <v>-1</v>
      </c>
    </row>
    <row r="605" spans="1:35" x14ac:dyDescent="0.25">
      <c r="A605">
        <v>259</v>
      </c>
      <c r="B605" t="s">
        <v>35</v>
      </c>
      <c r="C605">
        <v>3</v>
      </c>
      <c r="D605" t="s">
        <v>36</v>
      </c>
      <c r="E605">
        <v>3</v>
      </c>
      <c r="F605" t="s">
        <v>259</v>
      </c>
      <c r="G605">
        <v>3</v>
      </c>
      <c r="H605">
        <v>9</v>
      </c>
      <c r="I605">
        <v>3</v>
      </c>
      <c r="J605">
        <v>28</v>
      </c>
      <c r="K605">
        <v>28</v>
      </c>
      <c r="L605">
        <v>26</v>
      </c>
      <c r="M605">
        <v>1</v>
      </c>
      <c r="N605" t="s">
        <v>148</v>
      </c>
      <c r="O605" t="s">
        <v>113</v>
      </c>
      <c r="P605" t="s">
        <v>114</v>
      </c>
      <c r="Q605" t="s">
        <v>123</v>
      </c>
      <c r="R605" t="s">
        <v>114</v>
      </c>
      <c r="S605" t="s">
        <v>92</v>
      </c>
      <c r="T605" t="s">
        <v>130</v>
      </c>
      <c r="U605">
        <v>5</v>
      </c>
      <c r="V605" t="s">
        <v>124</v>
      </c>
      <c r="W605" t="s">
        <v>149</v>
      </c>
      <c r="X605" t="s">
        <v>99</v>
      </c>
      <c r="Y605">
        <v>1</v>
      </c>
      <c r="Z605">
        <v>1</v>
      </c>
      <c r="AA605">
        <v>44.1</v>
      </c>
      <c r="AB605">
        <v>-1</v>
      </c>
      <c r="AC605" t="s">
        <v>124</v>
      </c>
      <c r="AD605">
        <v>2</v>
      </c>
      <c r="AE605">
        <v>2</v>
      </c>
      <c r="AF605">
        <v>0</v>
      </c>
      <c r="AG605">
        <v>2.5339999999999998</v>
      </c>
      <c r="AH605">
        <v>0.45</v>
      </c>
      <c r="AI605">
        <v>-1</v>
      </c>
    </row>
    <row r="606" spans="1:35" x14ac:dyDescent="0.25">
      <c r="A606">
        <v>259</v>
      </c>
      <c r="B606" t="s">
        <v>35</v>
      </c>
      <c r="C606">
        <v>3</v>
      </c>
      <c r="D606" t="s">
        <v>36</v>
      </c>
      <c r="E606">
        <v>3</v>
      </c>
      <c r="F606" t="s">
        <v>259</v>
      </c>
      <c r="G606">
        <v>3</v>
      </c>
      <c r="H606">
        <v>9</v>
      </c>
      <c r="I606">
        <v>3</v>
      </c>
      <c r="J606">
        <v>29</v>
      </c>
      <c r="K606">
        <v>37</v>
      </c>
      <c r="L606">
        <v>35</v>
      </c>
      <c r="M606">
        <v>1</v>
      </c>
      <c r="N606" t="s">
        <v>219</v>
      </c>
      <c r="O606" t="s">
        <v>113</v>
      </c>
      <c r="P606" t="s">
        <v>114</v>
      </c>
      <c r="Q606" t="s">
        <v>220</v>
      </c>
      <c r="R606" t="s">
        <v>114</v>
      </c>
      <c r="S606" t="s">
        <v>92</v>
      </c>
      <c r="T606" t="s">
        <v>179</v>
      </c>
      <c r="U606">
        <v>1</v>
      </c>
      <c r="V606" t="s">
        <v>209</v>
      </c>
      <c r="W606" t="s">
        <v>67</v>
      </c>
      <c r="X606" t="s">
        <v>55</v>
      </c>
      <c r="Y606">
        <v>2</v>
      </c>
      <c r="Z606">
        <v>1</v>
      </c>
      <c r="AA606">
        <v>44.1</v>
      </c>
      <c r="AB606">
        <v>-1</v>
      </c>
      <c r="AC606" t="s">
        <v>179</v>
      </c>
      <c r="AD606">
        <v>1</v>
      </c>
      <c r="AE606">
        <v>1</v>
      </c>
      <c r="AF606">
        <v>1</v>
      </c>
      <c r="AG606">
        <v>1.0529999999999999</v>
      </c>
      <c r="AH606">
        <v>1.7000000000000001E-2</v>
      </c>
      <c r="AI606">
        <v>-1</v>
      </c>
    </row>
    <row r="607" spans="1:35" x14ac:dyDescent="0.25">
      <c r="A607">
        <v>259</v>
      </c>
      <c r="B607" t="s">
        <v>35</v>
      </c>
      <c r="C607">
        <v>3</v>
      </c>
      <c r="D607" t="s">
        <v>36</v>
      </c>
      <c r="E607">
        <v>3</v>
      </c>
      <c r="F607" t="s">
        <v>259</v>
      </c>
      <c r="G607">
        <v>3</v>
      </c>
      <c r="H607">
        <v>9</v>
      </c>
      <c r="I607">
        <v>3</v>
      </c>
      <c r="J607">
        <v>30</v>
      </c>
      <c r="K607">
        <v>44</v>
      </c>
      <c r="L607">
        <v>30</v>
      </c>
      <c r="M607">
        <v>1</v>
      </c>
      <c r="N607" t="s">
        <v>233</v>
      </c>
      <c r="O607" t="s">
        <v>113</v>
      </c>
      <c r="P607" t="s">
        <v>114</v>
      </c>
      <c r="Q607" t="s">
        <v>218</v>
      </c>
      <c r="R607" t="s">
        <v>114</v>
      </c>
      <c r="S607" t="s">
        <v>43</v>
      </c>
      <c r="T607" t="s">
        <v>107</v>
      </c>
      <c r="U607">
        <v>2</v>
      </c>
      <c r="V607" t="s">
        <v>214</v>
      </c>
      <c r="W607" t="s">
        <v>156</v>
      </c>
      <c r="X607" t="s">
        <v>103</v>
      </c>
      <c r="Y607">
        <v>1</v>
      </c>
      <c r="Z607">
        <v>1</v>
      </c>
      <c r="AA607">
        <v>44.1</v>
      </c>
      <c r="AB607">
        <v>-1</v>
      </c>
      <c r="AC607" t="s">
        <v>214</v>
      </c>
      <c r="AD607">
        <v>2</v>
      </c>
      <c r="AE607">
        <v>4</v>
      </c>
      <c r="AF607">
        <v>0</v>
      </c>
      <c r="AG607">
        <v>1.647</v>
      </c>
      <c r="AH607">
        <v>0.23300000000000001</v>
      </c>
      <c r="AI607">
        <v>-1</v>
      </c>
    </row>
    <row r="608" spans="1:35" x14ac:dyDescent="0.25">
      <c r="A608">
        <v>259</v>
      </c>
      <c r="B608" t="s">
        <v>35</v>
      </c>
      <c r="C608">
        <v>3</v>
      </c>
      <c r="D608" t="s">
        <v>36</v>
      </c>
      <c r="E608">
        <v>3</v>
      </c>
      <c r="F608" t="s">
        <v>259</v>
      </c>
      <c r="G608">
        <v>3</v>
      </c>
      <c r="H608">
        <v>9</v>
      </c>
      <c r="I608">
        <v>3</v>
      </c>
      <c r="J608">
        <v>31</v>
      </c>
      <c r="K608">
        <v>48</v>
      </c>
      <c r="L608">
        <v>34</v>
      </c>
      <c r="M608">
        <v>1</v>
      </c>
      <c r="N608" t="s">
        <v>228</v>
      </c>
      <c r="O608" t="s">
        <v>113</v>
      </c>
      <c r="P608" t="s">
        <v>114</v>
      </c>
      <c r="Q608" t="s">
        <v>224</v>
      </c>
      <c r="R608" t="s">
        <v>114</v>
      </c>
      <c r="S608" t="s">
        <v>52</v>
      </c>
      <c r="T608" t="s">
        <v>61</v>
      </c>
      <c r="U608">
        <v>1</v>
      </c>
      <c r="V608" t="s">
        <v>56</v>
      </c>
      <c r="W608" t="s">
        <v>93</v>
      </c>
      <c r="X608" t="s">
        <v>110</v>
      </c>
      <c r="Y608">
        <v>1</v>
      </c>
      <c r="Z608">
        <v>1</v>
      </c>
      <c r="AA608">
        <v>44.1</v>
      </c>
      <c r="AB608">
        <v>-1</v>
      </c>
      <c r="AC608" t="s">
        <v>61</v>
      </c>
      <c r="AD608">
        <v>1</v>
      </c>
      <c r="AE608">
        <v>1</v>
      </c>
      <c r="AF608">
        <v>1</v>
      </c>
      <c r="AG608">
        <v>0.76800000000000002</v>
      </c>
      <c r="AH608">
        <v>0.46600000000000003</v>
      </c>
      <c r="AI608">
        <v>-1</v>
      </c>
    </row>
    <row r="609" spans="1:35" x14ac:dyDescent="0.25">
      <c r="A609">
        <v>259</v>
      </c>
      <c r="B609" t="s">
        <v>35</v>
      </c>
      <c r="C609">
        <v>3</v>
      </c>
      <c r="D609" t="s">
        <v>36</v>
      </c>
      <c r="E609">
        <v>3</v>
      </c>
      <c r="F609" t="s">
        <v>259</v>
      </c>
      <c r="G609">
        <v>3</v>
      </c>
      <c r="H609">
        <v>9</v>
      </c>
      <c r="I609">
        <v>3</v>
      </c>
      <c r="J609">
        <v>32</v>
      </c>
      <c r="K609">
        <v>46</v>
      </c>
      <c r="L609">
        <v>70</v>
      </c>
      <c r="M609">
        <v>2</v>
      </c>
      <c r="N609" t="s">
        <v>232</v>
      </c>
      <c r="O609" t="s">
        <v>113</v>
      </c>
      <c r="P609" t="s">
        <v>114</v>
      </c>
      <c r="Q609" t="s">
        <v>222</v>
      </c>
      <c r="R609" t="s">
        <v>114</v>
      </c>
      <c r="S609" t="s">
        <v>43</v>
      </c>
      <c r="T609" t="s">
        <v>81</v>
      </c>
      <c r="U609">
        <v>2</v>
      </c>
      <c r="V609" t="s">
        <v>69</v>
      </c>
      <c r="W609" t="s">
        <v>183</v>
      </c>
      <c r="X609" t="s">
        <v>60</v>
      </c>
      <c r="Y609">
        <v>1</v>
      </c>
      <c r="Z609">
        <v>1</v>
      </c>
      <c r="AA609">
        <v>44.1</v>
      </c>
      <c r="AB609">
        <v>-1</v>
      </c>
      <c r="AC609" t="s">
        <v>81</v>
      </c>
      <c r="AD609">
        <v>1</v>
      </c>
      <c r="AE609">
        <v>2</v>
      </c>
      <c r="AF609">
        <v>1</v>
      </c>
      <c r="AG609">
        <v>3.7949999999999999</v>
      </c>
      <c r="AH609">
        <v>0.16300000000000001</v>
      </c>
      <c r="AI609">
        <v>-1</v>
      </c>
    </row>
    <row r="610" spans="1:35" x14ac:dyDescent="0.25">
      <c r="A610">
        <v>259</v>
      </c>
      <c r="B610" t="s">
        <v>35</v>
      </c>
      <c r="C610">
        <v>3</v>
      </c>
      <c r="D610" t="s">
        <v>36</v>
      </c>
      <c r="E610">
        <v>3</v>
      </c>
      <c r="F610" t="s">
        <v>259</v>
      </c>
      <c r="G610">
        <v>3</v>
      </c>
      <c r="H610">
        <v>9</v>
      </c>
      <c r="I610">
        <v>3</v>
      </c>
      <c r="J610">
        <v>33</v>
      </c>
      <c r="K610">
        <v>29</v>
      </c>
      <c r="L610">
        <v>61</v>
      </c>
      <c r="M610">
        <v>2</v>
      </c>
      <c r="N610" t="s">
        <v>125</v>
      </c>
      <c r="O610" t="s">
        <v>113</v>
      </c>
      <c r="P610" t="s">
        <v>114</v>
      </c>
      <c r="Q610" t="s">
        <v>126</v>
      </c>
      <c r="R610" t="s">
        <v>114</v>
      </c>
      <c r="S610" t="s">
        <v>92</v>
      </c>
      <c r="T610" t="s">
        <v>127</v>
      </c>
      <c r="U610">
        <v>1</v>
      </c>
      <c r="V610" t="s">
        <v>128</v>
      </c>
      <c r="W610" t="s">
        <v>96</v>
      </c>
      <c r="X610" t="s">
        <v>66</v>
      </c>
      <c r="Y610">
        <v>1</v>
      </c>
      <c r="Z610">
        <v>1</v>
      </c>
      <c r="AA610">
        <v>44.1</v>
      </c>
      <c r="AB610">
        <v>-1</v>
      </c>
      <c r="AC610" t="s">
        <v>127</v>
      </c>
      <c r="AD610">
        <v>1</v>
      </c>
      <c r="AE610">
        <v>1</v>
      </c>
      <c r="AF610">
        <v>1</v>
      </c>
      <c r="AG610">
        <v>1.877</v>
      </c>
      <c r="AH610">
        <v>8.3000000000000004E-2</v>
      </c>
      <c r="AI610">
        <v>-1</v>
      </c>
    </row>
    <row r="611" spans="1:35" x14ac:dyDescent="0.25">
      <c r="A611">
        <v>259</v>
      </c>
      <c r="B611" t="s">
        <v>35</v>
      </c>
      <c r="C611">
        <v>3</v>
      </c>
      <c r="D611" t="s">
        <v>36</v>
      </c>
      <c r="E611">
        <v>3</v>
      </c>
      <c r="F611" t="s">
        <v>259</v>
      </c>
      <c r="G611">
        <v>3</v>
      </c>
      <c r="H611">
        <v>9</v>
      </c>
      <c r="I611">
        <v>3</v>
      </c>
      <c r="J611">
        <v>34</v>
      </c>
      <c r="K611">
        <v>36</v>
      </c>
      <c r="L611">
        <v>68</v>
      </c>
      <c r="M611">
        <v>2</v>
      </c>
      <c r="N611" t="s">
        <v>135</v>
      </c>
      <c r="O611" t="s">
        <v>113</v>
      </c>
      <c r="P611" t="s">
        <v>114</v>
      </c>
      <c r="Q611" t="s">
        <v>136</v>
      </c>
      <c r="R611" t="s">
        <v>114</v>
      </c>
      <c r="S611" t="s">
        <v>52</v>
      </c>
      <c r="T611" t="s">
        <v>74</v>
      </c>
      <c r="U611">
        <v>5</v>
      </c>
      <c r="V611" t="s">
        <v>137</v>
      </c>
      <c r="W611" t="s">
        <v>138</v>
      </c>
      <c r="X611" t="s">
        <v>139</v>
      </c>
      <c r="Y611">
        <v>1</v>
      </c>
      <c r="Z611">
        <v>1</v>
      </c>
      <c r="AA611">
        <v>44.1</v>
      </c>
      <c r="AB611">
        <v>-1</v>
      </c>
      <c r="AC611" t="s">
        <v>137</v>
      </c>
      <c r="AD611">
        <v>2</v>
      </c>
      <c r="AE611">
        <v>2</v>
      </c>
      <c r="AF611">
        <v>0</v>
      </c>
      <c r="AG611">
        <v>2.4870000000000001</v>
      </c>
      <c r="AH611">
        <v>0.183</v>
      </c>
      <c r="AI611">
        <v>-1</v>
      </c>
    </row>
    <row r="612" spans="1:35" x14ac:dyDescent="0.25">
      <c r="A612">
        <v>259</v>
      </c>
      <c r="B612" t="s">
        <v>35</v>
      </c>
      <c r="C612">
        <v>3</v>
      </c>
      <c r="D612" t="s">
        <v>36</v>
      </c>
      <c r="E612">
        <v>3</v>
      </c>
      <c r="F612" t="s">
        <v>259</v>
      </c>
      <c r="G612">
        <v>3</v>
      </c>
      <c r="H612">
        <v>9</v>
      </c>
      <c r="I612">
        <v>3</v>
      </c>
      <c r="J612">
        <v>35</v>
      </c>
      <c r="K612">
        <v>34</v>
      </c>
      <c r="L612">
        <v>28</v>
      </c>
      <c r="M612">
        <v>1</v>
      </c>
      <c r="N612" t="s">
        <v>117</v>
      </c>
      <c r="O612" t="s">
        <v>113</v>
      </c>
      <c r="P612" t="s">
        <v>114</v>
      </c>
      <c r="Q612" t="s">
        <v>118</v>
      </c>
      <c r="R612" t="s">
        <v>114</v>
      </c>
      <c r="S612" t="s">
        <v>52</v>
      </c>
      <c r="T612" t="s">
        <v>119</v>
      </c>
      <c r="U612">
        <v>4</v>
      </c>
      <c r="V612" t="s">
        <v>120</v>
      </c>
      <c r="W612" t="s">
        <v>73</v>
      </c>
      <c r="X612" t="s">
        <v>121</v>
      </c>
      <c r="Y612">
        <v>1</v>
      </c>
      <c r="Z612">
        <v>1</v>
      </c>
      <c r="AA612">
        <v>44.1</v>
      </c>
      <c r="AB612">
        <v>-1</v>
      </c>
      <c r="AC612" t="s">
        <v>121</v>
      </c>
      <c r="AD612">
        <v>4</v>
      </c>
      <c r="AE612">
        <v>5</v>
      </c>
      <c r="AF612">
        <v>0</v>
      </c>
      <c r="AG612">
        <v>2.7639999999999998</v>
      </c>
      <c r="AH612">
        <v>0.13300000000000001</v>
      </c>
      <c r="AI612">
        <v>-1</v>
      </c>
    </row>
    <row r="613" spans="1:35" x14ac:dyDescent="0.25">
      <c r="A613">
        <v>259</v>
      </c>
      <c r="B613" t="s">
        <v>35</v>
      </c>
      <c r="C613">
        <v>3</v>
      </c>
      <c r="D613" t="s">
        <v>36</v>
      </c>
      <c r="E613">
        <v>3</v>
      </c>
      <c r="F613" t="s">
        <v>259</v>
      </c>
      <c r="G613">
        <v>3</v>
      </c>
      <c r="H613">
        <v>9</v>
      </c>
      <c r="I613">
        <v>3</v>
      </c>
      <c r="J613">
        <v>36</v>
      </c>
      <c r="K613">
        <v>47</v>
      </c>
      <c r="L613">
        <v>33</v>
      </c>
      <c r="M613">
        <v>1</v>
      </c>
      <c r="N613" t="s">
        <v>223</v>
      </c>
      <c r="O613" t="s">
        <v>113</v>
      </c>
      <c r="P613" t="s">
        <v>114</v>
      </c>
      <c r="Q613" t="s">
        <v>224</v>
      </c>
      <c r="R613" t="s">
        <v>114</v>
      </c>
      <c r="S613" t="s">
        <v>59</v>
      </c>
      <c r="T613" t="s">
        <v>56</v>
      </c>
      <c r="U613">
        <v>4</v>
      </c>
      <c r="V613" t="s">
        <v>95</v>
      </c>
      <c r="W613" t="s">
        <v>44</v>
      </c>
      <c r="X613" t="s">
        <v>68</v>
      </c>
      <c r="Y613">
        <v>2</v>
      </c>
      <c r="Z613">
        <v>1</v>
      </c>
      <c r="AA613">
        <v>44.1</v>
      </c>
      <c r="AB613">
        <v>-1</v>
      </c>
      <c r="AC613" t="s">
        <v>68</v>
      </c>
      <c r="AD613">
        <v>4</v>
      </c>
      <c r="AE613">
        <v>1</v>
      </c>
      <c r="AF613">
        <v>0</v>
      </c>
      <c r="AG613">
        <v>3.3479999999999999</v>
      </c>
      <c r="AH613">
        <v>0.11600000000000001</v>
      </c>
      <c r="AI613">
        <v>-1</v>
      </c>
    </row>
    <row r="614" spans="1:35" x14ac:dyDescent="0.25">
      <c r="A614">
        <v>259</v>
      </c>
      <c r="B614" t="s">
        <v>35</v>
      </c>
      <c r="C614">
        <v>3</v>
      </c>
      <c r="D614" t="s">
        <v>36</v>
      </c>
      <c r="E614">
        <v>3</v>
      </c>
      <c r="F614" t="s">
        <v>259</v>
      </c>
      <c r="G614">
        <v>3</v>
      </c>
      <c r="H614">
        <v>9</v>
      </c>
      <c r="I614">
        <v>3</v>
      </c>
      <c r="J614">
        <v>37</v>
      </c>
      <c r="K614">
        <v>31</v>
      </c>
      <c r="L614">
        <v>63</v>
      </c>
      <c r="M614">
        <v>2</v>
      </c>
      <c r="N614" t="s">
        <v>140</v>
      </c>
      <c r="O614" t="s">
        <v>113</v>
      </c>
      <c r="P614" t="s">
        <v>114</v>
      </c>
      <c r="Q614" t="s">
        <v>134</v>
      </c>
      <c r="R614" t="s">
        <v>114</v>
      </c>
      <c r="S614" t="s">
        <v>59</v>
      </c>
      <c r="T614" t="s">
        <v>95</v>
      </c>
      <c r="U614">
        <v>5</v>
      </c>
      <c r="V614" t="s">
        <v>100</v>
      </c>
      <c r="W614" t="s">
        <v>54</v>
      </c>
      <c r="X614" t="s">
        <v>141</v>
      </c>
      <c r="Y614">
        <v>1</v>
      </c>
      <c r="Z614">
        <v>1</v>
      </c>
      <c r="AA614">
        <v>44.1</v>
      </c>
      <c r="AB614">
        <v>-1</v>
      </c>
      <c r="AC614" t="s">
        <v>54</v>
      </c>
      <c r="AD614">
        <v>4</v>
      </c>
      <c r="AE614">
        <v>2</v>
      </c>
      <c r="AF614">
        <v>0</v>
      </c>
      <c r="AG614">
        <v>2.339</v>
      </c>
      <c r="AH614">
        <v>1.7000000000000001E-2</v>
      </c>
      <c r="AI614">
        <v>-1</v>
      </c>
    </row>
    <row r="615" spans="1:35" x14ac:dyDescent="0.25">
      <c r="A615">
        <v>259</v>
      </c>
      <c r="B615" t="s">
        <v>35</v>
      </c>
      <c r="C615">
        <v>3</v>
      </c>
      <c r="D615" t="s">
        <v>36</v>
      </c>
      <c r="E615">
        <v>3</v>
      </c>
      <c r="F615" t="s">
        <v>259</v>
      </c>
      <c r="G615">
        <v>3</v>
      </c>
      <c r="H615">
        <v>9</v>
      </c>
      <c r="I615">
        <v>3</v>
      </c>
      <c r="J615">
        <v>38</v>
      </c>
      <c r="K615">
        <v>26</v>
      </c>
      <c r="L615">
        <v>72</v>
      </c>
      <c r="M615">
        <v>2</v>
      </c>
      <c r="N615" t="s">
        <v>112</v>
      </c>
      <c r="O615" t="s">
        <v>113</v>
      </c>
      <c r="P615" t="s">
        <v>114</v>
      </c>
      <c r="Q615" t="s">
        <v>115</v>
      </c>
      <c r="R615" t="s">
        <v>114</v>
      </c>
      <c r="S615" t="s">
        <v>43</v>
      </c>
      <c r="T615" t="s">
        <v>104</v>
      </c>
      <c r="U615">
        <v>4</v>
      </c>
      <c r="V615" t="s">
        <v>116</v>
      </c>
      <c r="W615" t="s">
        <v>47</v>
      </c>
      <c r="X615" t="s">
        <v>106</v>
      </c>
      <c r="Y615">
        <v>2</v>
      </c>
      <c r="Z615">
        <v>1</v>
      </c>
      <c r="AA615">
        <v>44.1</v>
      </c>
      <c r="AB615">
        <v>-1</v>
      </c>
      <c r="AC615" t="s">
        <v>104</v>
      </c>
      <c r="AD615">
        <v>1</v>
      </c>
      <c r="AE615">
        <v>4</v>
      </c>
      <c r="AF615">
        <v>1</v>
      </c>
      <c r="AG615">
        <v>3.1970000000000001</v>
      </c>
      <c r="AH615">
        <v>0.21199999999999999</v>
      </c>
      <c r="AI615">
        <v>-1</v>
      </c>
    </row>
    <row r="616" spans="1:35" x14ac:dyDescent="0.25">
      <c r="A616">
        <v>259</v>
      </c>
      <c r="B616" t="s">
        <v>35</v>
      </c>
      <c r="C616">
        <v>3</v>
      </c>
      <c r="D616" t="s">
        <v>36</v>
      </c>
      <c r="E616">
        <v>3</v>
      </c>
      <c r="F616" t="s">
        <v>259</v>
      </c>
      <c r="G616">
        <v>3</v>
      </c>
      <c r="H616">
        <v>9</v>
      </c>
      <c r="I616">
        <v>3</v>
      </c>
      <c r="J616">
        <v>39</v>
      </c>
      <c r="K616">
        <v>27</v>
      </c>
      <c r="L616">
        <v>25</v>
      </c>
      <c r="M616">
        <v>1</v>
      </c>
      <c r="N616" t="s">
        <v>122</v>
      </c>
      <c r="O616" t="s">
        <v>113</v>
      </c>
      <c r="P616" t="s">
        <v>114</v>
      </c>
      <c r="Q616" t="s">
        <v>123</v>
      </c>
      <c r="R616" t="s">
        <v>114</v>
      </c>
      <c r="S616" t="s">
        <v>59</v>
      </c>
      <c r="T616" t="s">
        <v>124</v>
      </c>
      <c r="U616">
        <v>4</v>
      </c>
      <c r="V616" t="s">
        <v>46</v>
      </c>
      <c r="W616" t="s">
        <v>108</v>
      </c>
      <c r="X616" t="s">
        <v>45</v>
      </c>
      <c r="Y616">
        <v>2</v>
      </c>
      <c r="Z616">
        <v>1</v>
      </c>
      <c r="AA616">
        <v>44.1</v>
      </c>
      <c r="AB616">
        <v>-1</v>
      </c>
      <c r="AC616" t="s">
        <v>45</v>
      </c>
      <c r="AD616">
        <v>4</v>
      </c>
      <c r="AE616">
        <v>2</v>
      </c>
      <c r="AF616">
        <v>0</v>
      </c>
      <c r="AG616">
        <v>3.4470000000000001</v>
      </c>
      <c r="AH616">
        <v>0.316</v>
      </c>
      <c r="AI616">
        <v>-1</v>
      </c>
    </row>
    <row r="617" spans="1:35" x14ac:dyDescent="0.25">
      <c r="A617">
        <v>259</v>
      </c>
      <c r="B617" t="s">
        <v>35</v>
      </c>
      <c r="C617">
        <v>3</v>
      </c>
      <c r="D617" t="s">
        <v>36</v>
      </c>
      <c r="E617">
        <v>3</v>
      </c>
      <c r="F617" t="s">
        <v>259</v>
      </c>
      <c r="G617">
        <v>3</v>
      </c>
      <c r="H617">
        <v>9</v>
      </c>
      <c r="I617">
        <v>3</v>
      </c>
      <c r="J617">
        <v>40</v>
      </c>
      <c r="K617">
        <v>35</v>
      </c>
      <c r="L617">
        <v>67</v>
      </c>
      <c r="M617">
        <v>2</v>
      </c>
      <c r="N617" t="s">
        <v>145</v>
      </c>
      <c r="O617" t="s">
        <v>113</v>
      </c>
      <c r="P617" t="s">
        <v>114</v>
      </c>
      <c r="Q617" t="s">
        <v>136</v>
      </c>
      <c r="R617" t="s">
        <v>114</v>
      </c>
      <c r="S617" t="s">
        <v>92</v>
      </c>
      <c r="T617" t="s">
        <v>137</v>
      </c>
      <c r="U617">
        <v>4</v>
      </c>
      <c r="V617" t="s">
        <v>127</v>
      </c>
      <c r="W617" t="s">
        <v>146</v>
      </c>
      <c r="X617" t="s">
        <v>147</v>
      </c>
      <c r="Y617">
        <v>2</v>
      </c>
      <c r="Z617">
        <v>1</v>
      </c>
      <c r="AA617">
        <v>44.1</v>
      </c>
      <c r="AB617">
        <v>-1</v>
      </c>
      <c r="AC617" t="s">
        <v>137</v>
      </c>
      <c r="AD617">
        <v>1</v>
      </c>
      <c r="AE617">
        <v>4</v>
      </c>
      <c r="AF617">
        <v>1</v>
      </c>
      <c r="AG617">
        <v>2.9950000000000001</v>
      </c>
      <c r="AH617">
        <v>0.13300000000000001</v>
      </c>
      <c r="AI617">
        <v>-1</v>
      </c>
    </row>
    <row r="618" spans="1:35" x14ac:dyDescent="0.25">
      <c r="A618">
        <v>259</v>
      </c>
      <c r="B618" t="s">
        <v>35</v>
      </c>
      <c r="C618">
        <v>3</v>
      </c>
      <c r="D618" t="s">
        <v>36</v>
      </c>
      <c r="E618">
        <v>3</v>
      </c>
      <c r="F618" t="s">
        <v>259</v>
      </c>
      <c r="G618">
        <v>3</v>
      </c>
      <c r="H618">
        <v>9</v>
      </c>
      <c r="I618">
        <v>3</v>
      </c>
      <c r="J618">
        <v>41</v>
      </c>
      <c r="K618">
        <v>41</v>
      </c>
      <c r="L618">
        <v>65</v>
      </c>
      <c r="M618">
        <v>2</v>
      </c>
      <c r="N618" t="s">
        <v>225</v>
      </c>
      <c r="O618" t="s">
        <v>113</v>
      </c>
      <c r="P618" t="s">
        <v>114</v>
      </c>
      <c r="Q618" t="s">
        <v>226</v>
      </c>
      <c r="R618" t="s">
        <v>114</v>
      </c>
      <c r="S618" t="s">
        <v>59</v>
      </c>
      <c r="T618" t="s">
        <v>87</v>
      </c>
      <c r="U618">
        <v>5</v>
      </c>
      <c r="V618" t="s">
        <v>162</v>
      </c>
      <c r="W618" t="s">
        <v>80</v>
      </c>
      <c r="X618" t="s">
        <v>187</v>
      </c>
      <c r="Y618">
        <v>2</v>
      </c>
      <c r="Z618">
        <v>1</v>
      </c>
      <c r="AA618">
        <v>44.1</v>
      </c>
      <c r="AB618">
        <v>-1</v>
      </c>
      <c r="AC618" t="s">
        <v>80</v>
      </c>
      <c r="AD618">
        <v>4</v>
      </c>
      <c r="AE618">
        <v>1</v>
      </c>
      <c r="AF618">
        <v>0</v>
      </c>
      <c r="AG618">
        <v>2.0710000000000002</v>
      </c>
      <c r="AH618">
        <v>3.3000000000000002E-2</v>
      </c>
      <c r="AI618">
        <v>-1</v>
      </c>
    </row>
    <row r="619" spans="1:35" x14ac:dyDescent="0.25">
      <c r="A619">
        <v>259</v>
      </c>
      <c r="B619" t="s">
        <v>35</v>
      </c>
      <c r="C619">
        <v>3</v>
      </c>
      <c r="D619" t="s">
        <v>36</v>
      </c>
      <c r="E619">
        <v>3</v>
      </c>
      <c r="F619" t="s">
        <v>259</v>
      </c>
      <c r="G619">
        <v>3</v>
      </c>
      <c r="H619">
        <v>9</v>
      </c>
      <c r="I619">
        <v>3</v>
      </c>
      <c r="J619">
        <v>42</v>
      </c>
      <c r="K619">
        <v>25</v>
      </c>
      <c r="L619">
        <v>71</v>
      </c>
      <c r="M619">
        <v>2</v>
      </c>
      <c r="N619" t="s">
        <v>143</v>
      </c>
      <c r="O619" t="s">
        <v>113</v>
      </c>
      <c r="P619" t="s">
        <v>114</v>
      </c>
      <c r="Q619" t="s">
        <v>115</v>
      </c>
      <c r="R619" t="s">
        <v>114</v>
      </c>
      <c r="S619" t="s">
        <v>59</v>
      </c>
      <c r="T619" t="s">
        <v>46</v>
      </c>
      <c r="U619">
        <v>4</v>
      </c>
      <c r="V619" t="s">
        <v>104</v>
      </c>
      <c r="W619" t="s">
        <v>144</v>
      </c>
      <c r="X619" t="s">
        <v>86</v>
      </c>
      <c r="Y619">
        <v>1</v>
      </c>
      <c r="Z619">
        <v>1</v>
      </c>
      <c r="AA619">
        <v>44.1</v>
      </c>
      <c r="AB619">
        <v>-1</v>
      </c>
      <c r="AC619" t="s">
        <v>83</v>
      </c>
      <c r="AD619">
        <v>0</v>
      </c>
      <c r="AE619">
        <v>0</v>
      </c>
      <c r="AF619">
        <v>0</v>
      </c>
      <c r="AG619">
        <v>-1</v>
      </c>
      <c r="AH619">
        <v>6.7000000000000004E-2</v>
      </c>
      <c r="AI619">
        <v>-1</v>
      </c>
    </row>
    <row r="620" spans="1:35" x14ac:dyDescent="0.25">
      <c r="A620">
        <v>259</v>
      </c>
      <c r="B620" t="s">
        <v>35</v>
      </c>
      <c r="C620">
        <v>3</v>
      </c>
      <c r="D620" t="s">
        <v>36</v>
      </c>
      <c r="E620">
        <v>3</v>
      </c>
      <c r="F620" t="s">
        <v>259</v>
      </c>
      <c r="G620">
        <v>3</v>
      </c>
      <c r="H620">
        <v>9</v>
      </c>
      <c r="I620">
        <v>3</v>
      </c>
      <c r="J620">
        <v>43</v>
      </c>
      <c r="K620">
        <v>39</v>
      </c>
      <c r="L620">
        <v>31</v>
      </c>
      <c r="M620">
        <v>1</v>
      </c>
      <c r="N620" t="s">
        <v>230</v>
      </c>
      <c r="O620" t="s">
        <v>113</v>
      </c>
      <c r="P620" t="s">
        <v>114</v>
      </c>
      <c r="Q620" t="s">
        <v>231</v>
      </c>
      <c r="R620" t="s">
        <v>114</v>
      </c>
      <c r="S620" t="s">
        <v>59</v>
      </c>
      <c r="T620" t="s">
        <v>162</v>
      </c>
      <c r="U620">
        <v>5</v>
      </c>
      <c r="V620" t="s">
        <v>111</v>
      </c>
      <c r="W620" t="s">
        <v>166</v>
      </c>
      <c r="X620" t="s">
        <v>79</v>
      </c>
      <c r="Y620">
        <v>1</v>
      </c>
      <c r="Z620">
        <v>1</v>
      </c>
      <c r="AA620">
        <v>44.1</v>
      </c>
      <c r="AB620">
        <v>-1</v>
      </c>
      <c r="AC620" t="s">
        <v>111</v>
      </c>
      <c r="AD620">
        <v>2</v>
      </c>
      <c r="AE620">
        <v>1</v>
      </c>
      <c r="AF620">
        <v>0</v>
      </c>
      <c r="AG620">
        <v>2.4620000000000002</v>
      </c>
      <c r="AH620">
        <v>0.2</v>
      </c>
      <c r="AI620">
        <v>-1</v>
      </c>
    </row>
    <row r="621" spans="1:35" x14ac:dyDescent="0.25">
      <c r="A621">
        <v>259</v>
      </c>
      <c r="B621" t="s">
        <v>35</v>
      </c>
      <c r="C621">
        <v>3</v>
      </c>
      <c r="D621" t="s">
        <v>36</v>
      </c>
      <c r="E621">
        <v>3</v>
      </c>
      <c r="F621" t="s">
        <v>259</v>
      </c>
      <c r="G621">
        <v>3</v>
      </c>
      <c r="H621">
        <v>9</v>
      </c>
      <c r="I621">
        <v>3</v>
      </c>
      <c r="J621">
        <v>44</v>
      </c>
      <c r="K621">
        <v>43</v>
      </c>
      <c r="L621">
        <v>29</v>
      </c>
      <c r="M621">
        <v>1</v>
      </c>
      <c r="N621" t="s">
        <v>217</v>
      </c>
      <c r="O621" t="s">
        <v>113</v>
      </c>
      <c r="P621" t="s">
        <v>114</v>
      </c>
      <c r="Q621" t="s">
        <v>218</v>
      </c>
      <c r="R621" t="s">
        <v>114</v>
      </c>
      <c r="S621" t="s">
        <v>52</v>
      </c>
      <c r="T621" t="s">
        <v>214</v>
      </c>
      <c r="U621">
        <v>1</v>
      </c>
      <c r="V621" t="s">
        <v>74</v>
      </c>
      <c r="W621" t="s">
        <v>204</v>
      </c>
      <c r="X621" t="s">
        <v>94</v>
      </c>
      <c r="Y621">
        <v>2</v>
      </c>
      <c r="Z621">
        <v>1</v>
      </c>
      <c r="AA621">
        <v>44.1</v>
      </c>
      <c r="AB621">
        <v>-1</v>
      </c>
      <c r="AC621" t="s">
        <v>214</v>
      </c>
      <c r="AD621">
        <v>1</v>
      </c>
      <c r="AE621">
        <v>1</v>
      </c>
      <c r="AF621">
        <v>1</v>
      </c>
      <c r="AG621">
        <v>2.5270000000000001</v>
      </c>
      <c r="AH621">
        <v>0.216</v>
      </c>
      <c r="AI621">
        <v>-1</v>
      </c>
    </row>
    <row r="622" spans="1:35" x14ac:dyDescent="0.25">
      <c r="A622">
        <v>259</v>
      </c>
      <c r="B622" t="s">
        <v>35</v>
      </c>
      <c r="C622">
        <v>3</v>
      </c>
      <c r="D622" t="s">
        <v>36</v>
      </c>
      <c r="E622">
        <v>3</v>
      </c>
      <c r="F622" t="s">
        <v>259</v>
      </c>
      <c r="G622">
        <v>3</v>
      </c>
      <c r="H622">
        <v>9</v>
      </c>
      <c r="I622">
        <v>3</v>
      </c>
      <c r="J622">
        <v>45</v>
      </c>
      <c r="K622">
        <v>40</v>
      </c>
      <c r="L622">
        <v>32</v>
      </c>
      <c r="M622">
        <v>1</v>
      </c>
      <c r="N622" t="s">
        <v>234</v>
      </c>
      <c r="O622" t="s">
        <v>113</v>
      </c>
      <c r="P622" t="s">
        <v>114</v>
      </c>
      <c r="Q622" t="s">
        <v>231</v>
      </c>
      <c r="R622" t="s">
        <v>114</v>
      </c>
      <c r="S622" t="s">
        <v>43</v>
      </c>
      <c r="T622" t="s">
        <v>111</v>
      </c>
      <c r="U622">
        <v>4</v>
      </c>
      <c r="V622" t="s">
        <v>81</v>
      </c>
      <c r="W622" t="s">
        <v>62</v>
      </c>
      <c r="X622" t="s">
        <v>98</v>
      </c>
      <c r="Y622">
        <v>2</v>
      </c>
      <c r="Z622">
        <v>1</v>
      </c>
      <c r="AA622">
        <v>44.1</v>
      </c>
      <c r="AB622">
        <v>-1</v>
      </c>
      <c r="AC622" t="s">
        <v>81</v>
      </c>
      <c r="AD622">
        <v>3</v>
      </c>
      <c r="AE622">
        <v>1</v>
      </c>
      <c r="AF622">
        <v>0</v>
      </c>
      <c r="AG622">
        <v>2.5859999999999999</v>
      </c>
      <c r="AH622">
        <v>0.76700000000000002</v>
      </c>
      <c r="AI622">
        <v>-1</v>
      </c>
    </row>
    <row r="623" spans="1:35" x14ac:dyDescent="0.25">
      <c r="A623">
        <v>259</v>
      </c>
      <c r="B623" t="s">
        <v>35</v>
      </c>
      <c r="C623">
        <v>3</v>
      </c>
      <c r="D623" t="s">
        <v>36</v>
      </c>
      <c r="E623">
        <v>3</v>
      </c>
      <c r="F623" t="s">
        <v>259</v>
      </c>
      <c r="G623">
        <v>3</v>
      </c>
      <c r="H623">
        <v>9</v>
      </c>
      <c r="I623">
        <v>3</v>
      </c>
      <c r="J623">
        <v>46</v>
      </c>
      <c r="K623">
        <v>32</v>
      </c>
      <c r="L623">
        <v>64</v>
      </c>
      <c r="M623">
        <v>2</v>
      </c>
      <c r="N623" t="s">
        <v>133</v>
      </c>
      <c r="O623" t="s">
        <v>113</v>
      </c>
      <c r="P623" t="s">
        <v>114</v>
      </c>
      <c r="Q623" t="s">
        <v>134</v>
      </c>
      <c r="R623" t="s">
        <v>114</v>
      </c>
      <c r="S623" t="s">
        <v>43</v>
      </c>
      <c r="T623" t="s">
        <v>100</v>
      </c>
      <c r="U623">
        <v>5</v>
      </c>
      <c r="V623" t="s">
        <v>107</v>
      </c>
      <c r="W623" t="s">
        <v>75</v>
      </c>
      <c r="X623" t="s">
        <v>53</v>
      </c>
      <c r="Y623">
        <v>2</v>
      </c>
      <c r="Z623">
        <v>1</v>
      </c>
      <c r="AA623">
        <v>44.1</v>
      </c>
      <c r="AB623">
        <v>-1</v>
      </c>
      <c r="AC623" t="s">
        <v>100</v>
      </c>
      <c r="AD623">
        <v>1</v>
      </c>
      <c r="AE623">
        <v>5</v>
      </c>
      <c r="AF623">
        <v>1</v>
      </c>
      <c r="AG623">
        <v>2.1800000000000002</v>
      </c>
      <c r="AH623">
        <v>0.13300000000000001</v>
      </c>
      <c r="AI623">
        <v>-1</v>
      </c>
    </row>
    <row r="624" spans="1:35" x14ac:dyDescent="0.25">
      <c r="A624">
        <v>259</v>
      </c>
      <c r="B624" t="s">
        <v>35</v>
      </c>
      <c r="C624">
        <v>3</v>
      </c>
      <c r="D624" t="s">
        <v>36</v>
      </c>
      <c r="E624">
        <v>3</v>
      </c>
      <c r="F624" t="s">
        <v>259</v>
      </c>
      <c r="G624">
        <v>3</v>
      </c>
      <c r="H624">
        <v>9</v>
      </c>
      <c r="I624">
        <v>3</v>
      </c>
      <c r="J624">
        <v>47</v>
      </c>
      <c r="K624">
        <v>38</v>
      </c>
      <c r="L624">
        <v>36</v>
      </c>
      <c r="M624">
        <v>1</v>
      </c>
      <c r="N624" t="s">
        <v>227</v>
      </c>
      <c r="O624" t="s">
        <v>113</v>
      </c>
      <c r="P624" t="s">
        <v>114</v>
      </c>
      <c r="Q624" t="s">
        <v>220</v>
      </c>
      <c r="R624" t="s">
        <v>114</v>
      </c>
      <c r="S624" t="s">
        <v>43</v>
      </c>
      <c r="T624" t="s">
        <v>116</v>
      </c>
      <c r="U624">
        <v>4</v>
      </c>
      <c r="V624" t="s">
        <v>179</v>
      </c>
      <c r="W624" t="s">
        <v>172</v>
      </c>
      <c r="X624" t="s">
        <v>211</v>
      </c>
      <c r="Y624">
        <v>1</v>
      </c>
      <c r="Z624">
        <v>1</v>
      </c>
      <c r="AA624">
        <v>44.1</v>
      </c>
      <c r="AB624">
        <v>-1</v>
      </c>
      <c r="AC624" t="s">
        <v>179</v>
      </c>
      <c r="AD624">
        <v>2</v>
      </c>
      <c r="AE624">
        <v>2</v>
      </c>
      <c r="AF624">
        <v>0</v>
      </c>
      <c r="AG624">
        <v>2.5529999999999999</v>
      </c>
      <c r="AH624">
        <v>4.5999999999999999E-2</v>
      </c>
      <c r="AI624">
        <v>-1</v>
      </c>
    </row>
    <row r="625" spans="1:35" x14ac:dyDescent="0.25">
      <c r="A625">
        <v>259</v>
      </c>
      <c r="B625" t="s">
        <v>35</v>
      </c>
      <c r="C625">
        <v>3</v>
      </c>
      <c r="D625" t="s">
        <v>36</v>
      </c>
      <c r="E625">
        <v>3</v>
      </c>
      <c r="F625" t="s">
        <v>259</v>
      </c>
      <c r="G625">
        <v>3</v>
      </c>
      <c r="H625">
        <v>9</v>
      </c>
      <c r="I625">
        <v>3</v>
      </c>
      <c r="J625">
        <v>48</v>
      </c>
      <c r="K625">
        <v>45</v>
      </c>
      <c r="L625">
        <v>69</v>
      </c>
      <c r="M625">
        <v>2</v>
      </c>
      <c r="N625" t="s">
        <v>221</v>
      </c>
      <c r="O625" t="s">
        <v>113</v>
      </c>
      <c r="P625" t="s">
        <v>114</v>
      </c>
      <c r="Q625" t="s">
        <v>222</v>
      </c>
      <c r="R625" t="s">
        <v>114</v>
      </c>
      <c r="S625" t="s">
        <v>52</v>
      </c>
      <c r="T625" t="s">
        <v>69</v>
      </c>
      <c r="U625">
        <v>5</v>
      </c>
      <c r="V625" t="s">
        <v>119</v>
      </c>
      <c r="W625" t="s">
        <v>155</v>
      </c>
      <c r="X625" t="s">
        <v>185</v>
      </c>
      <c r="Y625">
        <v>2</v>
      </c>
      <c r="Z625">
        <v>1</v>
      </c>
      <c r="AA625">
        <v>44.1</v>
      </c>
      <c r="AB625">
        <v>-1</v>
      </c>
      <c r="AC625" t="s">
        <v>69</v>
      </c>
      <c r="AD625">
        <v>1</v>
      </c>
      <c r="AE625">
        <v>5</v>
      </c>
      <c r="AF625">
        <v>1</v>
      </c>
      <c r="AG625">
        <v>0.64400000000000002</v>
      </c>
      <c r="AH625">
        <v>0.28299999999999997</v>
      </c>
      <c r="AI625">
        <v>-1</v>
      </c>
    </row>
    <row r="626" spans="1:35" x14ac:dyDescent="0.25">
      <c r="A626">
        <v>259</v>
      </c>
      <c r="B626" t="s">
        <v>35</v>
      </c>
      <c r="C626">
        <v>3</v>
      </c>
      <c r="D626" t="s">
        <v>36</v>
      </c>
      <c r="E626">
        <v>3</v>
      </c>
      <c r="F626" t="s">
        <v>259</v>
      </c>
      <c r="G626">
        <v>3</v>
      </c>
      <c r="H626">
        <v>9</v>
      </c>
      <c r="I626">
        <v>3</v>
      </c>
      <c r="J626">
        <v>49</v>
      </c>
      <c r="K626">
        <v>67</v>
      </c>
      <c r="L626">
        <v>17</v>
      </c>
      <c r="M626">
        <v>1</v>
      </c>
      <c r="N626" t="s">
        <v>254</v>
      </c>
      <c r="O626" t="s">
        <v>151</v>
      </c>
      <c r="P626" t="s">
        <v>255</v>
      </c>
      <c r="Q626" t="s">
        <v>256</v>
      </c>
      <c r="R626" t="s">
        <v>174</v>
      </c>
      <c r="S626" t="s">
        <v>52</v>
      </c>
      <c r="T626" t="s">
        <v>47</v>
      </c>
      <c r="U626">
        <v>4</v>
      </c>
      <c r="V626" t="s">
        <v>187</v>
      </c>
      <c r="W626" t="s">
        <v>111</v>
      </c>
      <c r="X626" t="s">
        <v>67</v>
      </c>
      <c r="Y626">
        <v>2</v>
      </c>
      <c r="Z626">
        <v>1</v>
      </c>
      <c r="AA626">
        <v>44.1</v>
      </c>
      <c r="AB626">
        <v>-1</v>
      </c>
      <c r="AC626" t="s">
        <v>47</v>
      </c>
      <c r="AD626">
        <v>1</v>
      </c>
      <c r="AE626">
        <v>4</v>
      </c>
      <c r="AF626">
        <v>1</v>
      </c>
      <c r="AG626">
        <v>0.81899999999999995</v>
      </c>
      <c r="AH626">
        <v>0.15</v>
      </c>
      <c r="AI626">
        <v>-1</v>
      </c>
    </row>
    <row r="627" spans="1:35" x14ac:dyDescent="0.25">
      <c r="A627">
        <v>259</v>
      </c>
      <c r="B627" t="s">
        <v>35</v>
      </c>
      <c r="C627">
        <v>3</v>
      </c>
      <c r="D627" t="s">
        <v>36</v>
      </c>
      <c r="E627">
        <v>3</v>
      </c>
      <c r="F627" t="s">
        <v>259</v>
      </c>
      <c r="G627">
        <v>3</v>
      </c>
      <c r="H627">
        <v>9</v>
      </c>
      <c r="I627">
        <v>3</v>
      </c>
      <c r="J627">
        <v>50</v>
      </c>
      <c r="K627">
        <v>60</v>
      </c>
      <c r="L627">
        <v>56</v>
      </c>
      <c r="M627">
        <v>2</v>
      </c>
      <c r="N627" t="s">
        <v>175</v>
      </c>
      <c r="O627" t="s">
        <v>151</v>
      </c>
      <c r="P627" t="s">
        <v>164</v>
      </c>
      <c r="Q627" t="s">
        <v>165</v>
      </c>
      <c r="R627" t="s">
        <v>174</v>
      </c>
      <c r="S627" t="s">
        <v>52</v>
      </c>
      <c r="T627" t="s">
        <v>166</v>
      </c>
      <c r="U627">
        <v>5</v>
      </c>
      <c r="V627" t="s">
        <v>132</v>
      </c>
      <c r="W627" t="s">
        <v>100</v>
      </c>
      <c r="X627" t="s">
        <v>80</v>
      </c>
      <c r="Y627">
        <v>2</v>
      </c>
      <c r="Z627">
        <v>1</v>
      </c>
      <c r="AA627">
        <v>44.1</v>
      </c>
      <c r="AB627">
        <v>-1</v>
      </c>
      <c r="AC627" t="s">
        <v>166</v>
      </c>
      <c r="AD627">
        <v>1</v>
      </c>
      <c r="AE627">
        <v>5</v>
      </c>
      <c r="AF627">
        <v>1</v>
      </c>
      <c r="AG627">
        <v>1.893</v>
      </c>
      <c r="AH627">
        <v>0.26700000000000002</v>
      </c>
      <c r="AI627">
        <v>-1</v>
      </c>
    </row>
    <row r="628" spans="1:35" x14ac:dyDescent="0.25">
      <c r="A628">
        <v>259</v>
      </c>
      <c r="B628" t="s">
        <v>35</v>
      </c>
      <c r="C628">
        <v>3</v>
      </c>
      <c r="D628" t="s">
        <v>36</v>
      </c>
      <c r="E628">
        <v>3</v>
      </c>
      <c r="F628" t="s">
        <v>259</v>
      </c>
      <c r="G628">
        <v>3</v>
      </c>
      <c r="H628">
        <v>9</v>
      </c>
      <c r="I628">
        <v>3</v>
      </c>
      <c r="J628">
        <v>51</v>
      </c>
      <c r="K628">
        <v>62</v>
      </c>
      <c r="L628">
        <v>24</v>
      </c>
      <c r="M628">
        <v>1</v>
      </c>
      <c r="N628" t="s">
        <v>251</v>
      </c>
      <c r="O628" t="s">
        <v>151</v>
      </c>
      <c r="P628" t="s">
        <v>245</v>
      </c>
      <c r="Q628" t="s">
        <v>246</v>
      </c>
      <c r="R628" t="s">
        <v>160</v>
      </c>
      <c r="S628" t="s">
        <v>43</v>
      </c>
      <c r="T628" t="s">
        <v>121</v>
      </c>
      <c r="U628">
        <v>1</v>
      </c>
      <c r="V628" t="s">
        <v>62</v>
      </c>
      <c r="W628" t="s">
        <v>102</v>
      </c>
      <c r="X628" t="s">
        <v>119</v>
      </c>
      <c r="Y628">
        <v>1</v>
      </c>
      <c r="Z628">
        <v>1</v>
      </c>
      <c r="AA628">
        <v>44.1</v>
      </c>
      <c r="AB628">
        <v>-1</v>
      </c>
      <c r="AC628" t="s">
        <v>62</v>
      </c>
      <c r="AD628">
        <v>2</v>
      </c>
      <c r="AE628">
        <v>2</v>
      </c>
      <c r="AF628">
        <v>0</v>
      </c>
      <c r="AG628">
        <v>2.4889999999999999</v>
      </c>
      <c r="AH628">
        <v>0.216</v>
      </c>
      <c r="AI628">
        <v>-1</v>
      </c>
    </row>
    <row r="629" spans="1:35" x14ac:dyDescent="0.25">
      <c r="A629">
        <v>259</v>
      </c>
      <c r="B629" t="s">
        <v>35</v>
      </c>
      <c r="C629">
        <v>3</v>
      </c>
      <c r="D629" t="s">
        <v>36</v>
      </c>
      <c r="E629">
        <v>3</v>
      </c>
      <c r="F629" t="s">
        <v>259</v>
      </c>
      <c r="G629">
        <v>3</v>
      </c>
      <c r="H629">
        <v>9</v>
      </c>
      <c r="I629">
        <v>3</v>
      </c>
      <c r="J629">
        <v>52</v>
      </c>
      <c r="K629">
        <v>53</v>
      </c>
      <c r="L629">
        <v>49</v>
      </c>
      <c r="M629">
        <v>2</v>
      </c>
      <c r="N629" t="s">
        <v>180</v>
      </c>
      <c r="O629" t="s">
        <v>151</v>
      </c>
      <c r="P629" t="s">
        <v>181</v>
      </c>
      <c r="Q629" t="s">
        <v>182</v>
      </c>
      <c r="R629" t="s">
        <v>154</v>
      </c>
      <c r="S629" t="s">
        <v>92</v>
      </c>
      <c r="T629" t="s">
        <v>183</v>
      </c>
      <c r="U629">
        <v>4</v>
      </c>
      <c r="V629" t="s">
        <v>86</v>
      </c>
      <c r="W629" t="s">
        <v>60</v>
      </c>
      <c r="X629" t="s">
        <v>61</v>
      </c>
      <c r="Y629">
        <v>2</v>
      </c>
      <c r="Z629">
        <v>1</v>
      </c>
      <c r="AA629">
        <v>44.1</v>
      </c>
      <c r="AB629">
        <v>-1</v>
      </c>
      <c r="AC629" t="s">
        <v>60</v>
      </c>
      <c r="AD629">
        <v>4</v>
      </c>
      <c r="AE629">
        <v>1</v>
      </c>
      <c r="AF629">
        <v>0</v>
      </c>
      <c r="AG629">
        <v>2.3199999999999998</v>
      </c>
      <c r="AH629">
        <v>3.3000000000000002E-2</v>
      </c>
      <c r="AI629">
        <v>-1</v>
      </c>
    </row>
    <row r="630" spans="1:35" x14ac:dyDescent="0.25">
      <c r="A630">
        <v>259</v>
      </c>
      <c r="B630" t="s">
        <v>35</v>
      </c>
      <c r="C630">
        <v>3</v>
      </c>
      <c r="D630" t="s">
        <v>36</v>
      </c>
      <c r="E630">
        <v>3</v>
      </c>
      <c r="F630" t="s">
        <v>259</v>
      </c>
      <c r="G630">
        <v>3</v>
      </c>
      <c r="H630">
        <v>9</v>
      </c>
      <c r="I630">
        <v>3</v>
      </c>
      <c r="J630">
        <v>53</v>
      </c>
      <c r="K630">
        <v>72</v>
      </c>
      <c r="L630">
        <v>22</v>
      </c>
      <c r="M630">
        <v>1</v>
      </c>
      <c r="N630" t="s">
        <v>241</v>
      </c>
      <c r="O630" t="s">
        <v>151</v>
      </c>
      <c r="P630" t="s">
        <v>242</v>
      </c>
      <c r="Q630" t="s">
        <v>243</v>
      </c>
      <c r="R630" t="s">
        <v>174</v>
      </c>
      <c r="S630" t="s">
        <v>52</v>
      </c>
      <c r="T630" t="s">
        <v>132</v>
      </c>
      <c r="U630">
        <v>2</v>
      </c>
      <c r="V630" t="s">
        <v>146</v>
      </c>
      <c r="W630" t="s">
        <v>120</v>
      </c>
      <c r="X630" t="s">
        <v>44</v>
      </c>
      <c r="Y630">
        <v>1</v>
      </c>
      <c r="Z630">
        <v>1</v>
      </c>
      <c r="AA630">
        <v>44.1</v>
      </c>
      <c r="AB630">
        <v>-1</v>
      </c>
      <c r="AC630" t="s">
        <v>146</v>
      </c>
      <c r="AD630">
        <v>2</v>
      </c>
      <c r="AE630">
        <v>5</v>
      </c>
      <c r="AF630">
        <v>0</v>
      </c>
      <c r="AG630">
        <v>3.4119999999999999</v>
      </c>
      <c r="AH630">
        <v>0.13300000000000001</v>
      </c>
      <c r="AI630">
        <v>-1</v>
      </c>
    </row>
    <row r="631" spans="1:35" x14ac:dyDescent="0.25">
      <c r="A631">
        <v>259</v>
      </c>
      <c r="B631" t="s">
        <v>35</v>
      </c>
      <c r="C631">
        <v>3</v>
      </c>
      <c r="D631" t="s">
        <v>36</v>
      </c>
      <c r="E631">
        <v>3</v>
      </c>
      <c r="F631" t="s">
        <v>259</v>
      </c>
      <c r="G631">
        <v>3</v>
      </c>
      <c r="H631">
        <v>9</v>
      </c>
      <c r="I631">
        <v>3</v>
      </c>
      <c r="J631">
        <v>54</v>
      </c>
      <c r="K631">
        <v>51</v>
      </c>
      <c r="L631">
        <v>13</v>
      </c>
      <c r="M631">
        <v>1</v>
      </c>
      <c r="N631" t="s">
        <v>167</v>
      </c>
      <c r="O631" t="s">
        <v>151</v>
      </c>
      <c r="P631" t="s">
        <v>168</v>
      </c>
      <c r="Q631" t="s">
        <v>169</v>
      </c>
      <c r="R631" t="s">
        <v>170</v>
      </c>
      <c r="S631" t="s">
        <v>59</v>
      </c>
      <c r="T631" t="s">
        <v>96</v>
      </c>
      <c r="U631">
        <v>2</v>
      </c>
      <c r="V631" t="s">
        <v>103</v>
      </c>
      <c r="W631" t="s">
        <v>128</v>
      </c>
      <c r="X631" t="s">
        <v>93</v>
      </c>
      <c r="Y631">
        <v>2</v>
      </c>
      <c r="Z631">
        <v>1</v>
      </c>
      <c r="AA631">
        <v>44.1</v>
      </c>
      <c r="AB631">
        <v>-1</v>
      </c>
      <c r="AC631" t="s">
        <v>96</v>
      </c>
      <c r="AD631">
        <v>1</v>
      </c>
      <c r="AE631">
        <v>2</v>
      </c>
      <c r="AF631">
        <v>1</v>
      </c>
      <c r="AG631">
        <v>2.0510000000000002</v>
      </c>
      <c r="AH631">
        <v>8.3000000000000004E-2</v>
      </c>
      <c r="AI631">
        <v>-1</v>
      </c>
    </row>
    <row r="632" spans="1:35" x14ac:dyDescent="0.25">
      <c r="A632">
        <v>259</v>
      </c>
      <c r="B632" t="s">
        <v>35</v>
      </c>
      <c r="C632">
        <v>3</v>
      </c>
      <c r="D632" t="s">
        <v>36</v>
      </c>
      <c r="E632">
        <v>3</v>
      </c>
      <c r="F632" t="s">
        <v>259</v>
      </c>
      <c r="G632">
        <v>3</v>
      </c>
      <c r="H632">
        <v>9</v>
      </c>
      <c r="I632">
        <v>3</v>
      </c>
      <c r="J632">
        <v>55</v>
      </c>
      <c r="K632">
        <v>69</v>
      </c>
      <c r="L632">
        <v>57</v>
      </c>
      <c r="M632">
        <v>2</v>
      </c>
      <c r="N632" t="s">
        <v>247</v>
      </c>
      <c r="O632" t="s">
        <v>151</v>
      </c>
      <c r="P632" t="s">
        <v>236</v>
      </c>
      <c r="Q632" t="s">
        <v>237</v>
      </c>
      <c r="R632" t="s">
        <v>174</v>
      </c>
      <c r="S632" t="s">
        <v>52</v>
      </c>
      <c r="T632" t="s">
        <v>75</v>
      </c>
      <c r="U632">
        <v>2</v>
      </c>
      <c r="V632" t="s">
        <v>99</v>
      </c>
      <c r="W632" t="s">
        <v>147</v>
      </c>
      <c r="X632" t="s">
        <v>46</v>
      </c>
      <c r="Y632">
        <v>2</v>
      </c>
      <c r="Z632">
        <v>1</v>
      </c>
      <c r="AA632">
        <v>44.1</v>
      </c>
      <c r="AB632">
        <v>-1</v>
      </c>
      <c r="AC632" t="s">
        <v>75</v>
      </c>
      <c r="AD632">
        <v>1</v>
      </c>
      <c r="AE632">
        <v>2</v>
      </c>
      <c r="AF632">
        <v>1</v>
      </c>
      <c r="AG632">
        <v>3.0569999999999999</v>
      </c>
      <c r="AH632">
        <v>1.7000000000000001E-2</v>
      </c>
      <c r="AI632">
        <v>-1</v>
      </c>
    </row>
    <row r="633" spans="1:35" x14ac:dyDescent="0.25">
      <c r="A633">
        <v>259</v>
      </c>
      <c r="B633" t="s">
        <v>35</v>
      </c>
      <c r="C633">
        <v>3</v>
      </c>
      <c r="D633" t="s">
        <v>36</v>
      </c>
      <c r="E633">
        <v>3</v>
      </c>
      <c r="F633" t="s">
        <v>259</v>
      </c>
      <c r="G633">
        <v>3</v>
      </c>
      <c r="H633">
        <v>9</v>
      </c>
      <c r="I633">
        <v>3</v>
      </c>
      <c r="J633">
        <v>56</v>
      </c>
      <c r="K633">
        <v>61</v>
      </c>
      <c r="L633">
        <v>23</v>
      </c>
      <c r="M633">
        <v>1</v>
      </c>
      <c r="N633" t="s">
        <v>244</v>
      </c>
      <c r="O633" t="s">
        <v>151</v>
      </c>
      <c r="P633" t="s">
        <v>245</v>
      </c>
      <c r="Q633" t="s">
        <v>246</v>
      </c>
      <c r="R633" t="s">
        <v>154</v>
      </c>
      <c r="S633" t="s">
        <v>92</v>
      </c>
      <c r="T633" t="s">
        <v>62</v>
      </c>
      <c r="U633">
        <v>1</v>
      </c>
      <c r="V633" t="s">
        <v>68</v>
      </c>
      <c r="W633" t="s">
        <v>87</v>
      </c>
      <c r="X633" t="s">
        <v>73</v>
      </c>
      <c r="Y633">
        <v>2</v>
      </c>
      <c r="Z633">
        <v>1</v>
      </c>
      <c r="AA633">
        <v>44.1</v>
      </c>
      <c r="AB633">
        <v>-1</v>
      </c>
      <c r="AC633" t="s">
        <v>62</v>
      </c>
      <c r="AD633">
        <v>1</v>
      </c>
      <c r="AE633">
        <v>1</v>
      </c>
      <c r="AF633">
        <v>1</v>
      </c>
      <c r="AG633">
        <v>2.3029999999999999</v>
      </c>
      <c r="AH633">
        <v>0.317</v>
      </c>
      <c r="AI633">
        <v>-1</v>
      </c>
    </row>
    <row r="634" spans="1:35" x14ac:dyDescent="0.25">
      <c r="A634">
        <v>259</v>
      </c>
      <c r="B634" t="s">
        <v>35</v>
      </c>
      <c r="C634">
        <v>3</v>
      </c>
      <c r="D634" t="s">
        <v>36</v>
      </c>
      <c r="E634">
        <v>3</v>
      </c>
      <c r="F634" t="s">
        <v>259</v>
      </c>
      <c r="G634">
        <v>3</v>
      </c>
      <c r="H634">
        <v>9</v>
      </c>
      <c r="I634">
        <v>3</v>
      </c>
      <c r="J634">
        <v>57</v>
      </c>
      <c r="K634">
        <v>70</v>
      </c>
      <c r="L634">
        <v>58</v>
      </c>
      <c r="M634">
        <v>2</v>
      </c>
      <c r="N634" t="s">
        <v>235</v>
      </c>
      <c r="O634" t="s">
        <v>151</v>
      </c>
      <c r="P634" t="s">
        <v>236</v>
      </c>
      <c r="Q634" t="s">
        <v>237</v>
      </c>
      <c r="R634" t="s">
        <v>160</v>
      </c>
      <c r="S634" t="s">
        <v>43</v>
      </c>
      <c r="T634" t="s">
        <v>55</v>
      </c>
      <c r="U634">
        <v>5</v>
      </c>
      <c r="V634" t="s">
        <v>75</v>
      </c>
      <c r="W634" t="s">
        <v>106</v>
      </c>
      <c r="X634" t="s">
        <v>127</v>
      </c>
      <c r="Y634">
        <v>1</v>
      </c>
      <c r="Z634">
        <v>1</v>
      </c>
      <c r="AA634">
        <v>44.1</v>
      </c>
      <c r="AB634">
        <v>-1</v>
      </c>
      <c r="AC634" t="s">
        <v>55</v>
      </c>
      <c r="AD634">
        <v>1</v>
      </c>
      <c r="AE634">
        <v>5</v>
      </c>
      <c r="AF634">
        <v>1</v>
      </c>
      <c r="AG634">
        <v>2.5670000000000002</v>
      </c>
      <c r="AH634">
        <v>0.25</v>
      </c>
      <c r="AI634">
        <v>-1</v>
      </c>
    </row>
    <row r="635" spans="1:35" x14ac:dyDescent="0.25">
      <c r="A635">
        <v>259</v>
      </c>
      <c r="B635" t="s">
        <v>35</v>
      </c>
      <c r="C635">
        <v>3</v>
      </c>
      <c r="D635" t="s">
        <v>36</v>
      </c>
      <c r="E635">
        <v>3</v>
      </c>
      <c r="F635" t="s">
        <v>259</v>
      </c>
      <c r="G635">
        <v>3</v>
      </c>
      <c r="H635">
        <v>9</v>
      </c>
      <c r="I635">
        <v>3</v>
      </c>
      <c r="J635">
        <v>58</v>
      </c>
      <c r="K635">
        <v>50</v>
      </c>
      <c r="L635">
        <v>60</v>
      </c>
      <c r="M635">
        <v>2</v>
      </c>
      <c r="N635" t="s">
        <v>157</v>
      </c>
      <c r="O635" t="s">
        <v>151</v>
      </c>
      <c r="P635" t="s">
        <v>158</v>
      </c>
      <c r="Q635" t="s">
        <v>159</v>
      </c>
      <c r="R635" t="s">
        <v>160</v>
      </c>
      <c r="S635" t="s">
        <v>43</v>
      </c>
      <c r="T635" t="s">
        <v>161</v>
      </c>
      <c r="U635">
        <v>4</v>
      </c>
      <c r="V635" t="s">
        <v>121</v>
      </c>
      <c r="W635" t="s">
        <v>94</v>
      </c>
      <c r="X635" t="s">
        <v>162</v>
      </c>
      <c r="Y635">
        <v>2</v>
      </c>
      <c r="Z635">
        <v>1</v>
      </c>
      <c r="AA635">
        <v>44.1</v>
      </c>
      <c r="AB635">
        <v>-1</v>
      </c>
      <c r="AC635" t="s">
        <v>161</v>
      </c>
      <c r="AD635">
        <v>1</v>
      </c>
      <c r="AE635">
        <v>4</v>
      </c>
      <c r="AF635">
        <v>1</v>
      </c>
      <c r="AG635">
        <v>0.75600000000000001</v>
      </c>
      <c r="AH635">
        <v>9.6000000000000002E-2</v>
      </c>
      <c r="AI635">
        <v>-1</v>
      </c>
    </row>
    <row r="636" spans="1:35" x14ac:dyDescent="0.25">
      <c r="A636">
        <v>259</v>
      </c>
      <c r="B636" t="s">
        <v>35</v>
      </c>
      <c r="C636">
        <v>3</v>
      </c>
      <c r="D636" t="s">
        <v>36</v>
      </c>
      <c r="E636">
        <v>3</v>
      </c>
      <c r="F636" t="s">
        <v>259</v>
      </c>
      <c r="G636">
        <v>3</v>
      </c>
      <c r="H636">
        <v>9</v>
      </c>
      <c r="I636">
        <v>3</v>
      </c>
      <c r="J636">
        <v>59</v>
      </c>
      <c r="K636">
        <v>58</v>
      </c>
      <c r="L636">
        <v>16</v>
      </c>
      <c r="M636">
        <v>1</v>
      </c>
      <c r="N636" t="s">
        <v>173</v>
      </c>
      <c r="O636" t="s">
        <v>151</v>
      </c>
      <c r="P636" t="s">
        <v>152</v>
      </c>
      <c r="Q636" t="s">
        <v>153</v>
      </c>
      <c r="R636" t="s">
        <v>174</v>
      </c>
      <c r="S636" t="s">
        <v>52</v>
      </c>
      <c r="T636" t="s">
        <v>99</v>
      </c>
      <c r="U636">
        <v>4</v>
      </c>
      <c r="V636" t="s">
        <v>155</v>
      </c>
      <c r="W636" t="s">
        <v>66</v>
      </c>
      <c r="X636" t="s">
        <v>81</v>
      </c>
      <c r="Y636">
        <v>1</v>
      </c>
      <c r="Z636">
        <v>1</v>
      </c>
      <c r="AA636">
        <v>44.1</v>
      </c>
      <c r="AB636">
        <v>-1</v>
      </c>
      <c r="AC636" t="s">
        <v>81</v>
      </c>
      <c r="AD636">
        <v>4</v>
      </c>
      <c r="AE636">
        <v>1</v>
      </c>
      <c r="AF636">
        <v>0</v>
      </c>
      <c r="AG636">
        <v>3.4489999999999998</v>
      </c>
      <c r="AH636">
        <v>6.6000000000000003E-2</v>
      </c>
      <c r="AI636">
        <v>-1</v>
      </c>
    </row>
    <row r="637" spans="1:35" x14ac:dyDescent="0.25">
      <c r="A637">
        <v>259</v>
      </c>
      <c r="B637" t="s">
        <v>35</v>
      </c>
      <c r="C637">
        <v>3</v>
      </c>
      <c r="D637" t="s">
        <v>36</v>
      </c>
      <c r="E637">
        <v>3</v>
      </c>
      <c r="F637" t="s">
        <v>259</v>
      </c>
      <c r="G637">
        <v>3</v>
      </c>
      <c r="H637">
        <v>9</v>
      </c>
      <c r="I637">
        <v>3</v>
      </c>
      <c r="J637">
        <v>60</v>
      </c>
      <c r="K637">
        <v>49</v>
      </c>
      <c r="L637">
        <v>59</v>
      </c>
      <c r="M637">
        <v>2</v>
      </c>
      <c r="N637" t="s">
        <v>171</v>
      </c>
      <c r="O637" t="s">
        <v>151</v>
      </c>
      <c r="P637" t="s">
        <v>158</v>
      </c>
      <c r="Q637" t="s">
        <v>159</v>
      </c>
      <c r="R637" t="s">
        <v>170</v>
      </c>
      <c r="S637" t="s">
        <v>59</v>
      </c>
      <c r="T637" t="s">
        <v>103</v>
      </c>
      <c r="U637">
        <v>2</v>
      </c>
      <c r="V637" t="s">
        <v>161</v>
      </c>
      <c r="W637" t="s">
        <v>69</v>
      </c>
      <c r="X637" t="s">
        <v>172</v>
      </c>
      <c r="Y637">
        <v>1</v>
      </c>
      <c r="Z637">
        <v>1</v>
      </c>
      <c r="AA637">
        <v>44.1</v>
      </c>
      <c r="AB637">
        <v>-1</v>
      </c>
      <c r="AC637" t="s">
        <v>103</v>
      </c>
      <c r="AD637">
        <v>1</v>
      </c>
      <c r="AE637">
        <v>2</v>
      </c>
      <c r="AF637">
        <v>1</v>
      </c>
      <c r="AG637">
        <v>1.526</v>
      </c>
      <c r="AH637">
        <v>6.6000000000000003E-2</v>
      </c>
      <c r="AI637">
        <v>-1</v>
      </c>
    </row>
    <row r="638" spans="1:35" x14ac:dyDescent="0.25">
      <c r="A638">
        <v>259</v>
      </c>
      <c r="B638" t="s">
        <v>35</v>
      </c>
      <c r="C638">
        <v>3</v>
      </c>
      <c r="D638" t="s">
        <v>36</v>
      </c>
      <c r="E638">
        <v>3</v>
      </c>
      <c r="F638" t="s">
        <v>259</v>
      </c>
      <c r="G638">
        <v>3</v>
      </c>
      <c r="H638">
        <v>9</v>
      </c>
      <c r="I638">
        <v>3</v>
      </c>
      <c r="J638">
        <v>61</v>
      </c>
      <c r="K638">
        <v>54</v>
      </c>
      <c r="L638">
        <v>50</v>
      </c>
      <c r="M638">
        <v>2</v>
      </c>
      <c r="N638" t="s">
        <v>186</v>
      </c>
      <c r="O638" t="s">
        <v>151</v>
      </c>
      <c r="P638" t="s">
        <v>181</v>
      </c>
      <c r="Q638" t="s">
        <v>182</v>
      </c>
      <c r="R638" t="s">
        <v>174</v>
      </c>
      <c r="S638" t="s">
        <v>52</v>
      </c>
      <c r="T638" t="s">
        <v>187</v>
      </c>
      <c r="U638">
        <v>4</v>
      </c>
      <c r="V638" t="s">
        <v>183</v>
      </c>
      <c r="W638" t="s">
        <v>45</v>
      </c>
      <c r="X638" t="s">
        <v>116</v>
      </c>
      <c r="Y638">
        <v>1</v>
      </c>
      <c r="Z638">
        <v>1</v>
      </c>
      <c r="AA638">
        <v>44.1</v>
      </c>
      <c r="AB638">
        <v>-1</v>
      </c>
      <c r="AC638" t="s">
        <v>183</v>
      </c>
      <c r="AD638">
        <v>2</v>
      </c>
      <c r="AE638">
        <v>1</v>
      </c>
      <c r="AF638">
        <v>0</v>
      </c>
      <c r="AG638">
        <v>2.137</v>
      </c>
      <c r="AH638">
        <v>0.61699999999999999</v>
      </c>
      <c r="AI638">
        <v>-1</v>
      </c>
    </row>
    <row r="639" spans="1:35" x14ac:dyDescent="0.25">
      <c r="A639">
        <v>259</v>
      </c>
      <c r="B639" t="s">
        <v>35</v>
      </c>
      <c r="C639">
        <v>3</v>
      </c>
      <c r="D639" t="s">
        <v>36</v>
      </c>
      <c r="E639">
        <v>3</v>
      </c>
      <c r="F639" t="s">
        <v>259</v>
      </c>
      <c r="G639">
        <v>3</v>
      </c>
      <c r="H639">
        <v>9</v>
      </c>
      <c r="I639">
        <v>3</v>
      </c>
      <c r="J639">
        <v>62</v>
      </c>
      <c r="K639">
        <v>52</v>
      </c>
      <c r="L639">
        <v>14</v>
      </c>
      <c r="M639">
        <v>1</v>
      </c>
      <c r="N639" t="s">
        <v>184</v>
      </c>
      <c r="O639" t="s">
        <v>151</v>
      </c>
      <c r="P639" t="s">
        <v>168</v>
      </c>
      <c r="Q639" t="s">
        <v>169</v>
      </c>
      <c r="R639" t="s">
        <v>154</v>
      </c>
      <c r="S639" t="s">
        <v>92</v>
      </c>
      <c r="T639" t="s">
        <v>141</v>
      </c>
      <c r="U639">
        <v>5</v>
      </c>
      <c r="V639" t="s">
        <v>96</v>
      </c>
      <c r="W639" t="s">
        <v>185</v>
      </c>
      <c r="X639" t="s">
        <v>107</v>
      </c>
      <c r="Y639">
        <v>1</v>
      </c>
      <c r="Z639">
        <v>1</v>
      </c>
      <c r="AA639">
        <v>44.1</v>
      </c>
      <c r="AB639">
        <v>-1</v>
      </c>
      <c r="AC639" t="s">
        <v>107</v>
      </c>
      <c r="AD639">
        <v>4</v>
      </c>
      <c r="AE639">
        <v>2</v>
      </c>
      <c r="AF639">
        <v>0</v>
      </c>
      <c r="AG639">
        <v>2.3010000000000002</v>
      </c>
      <c r="AH639">
        <v>6.6000000000000003E-2</v>
      </c>
      <c r="AI639">
        <v>-1</v>
      </c>
    </row>
    <row r="640" spans="1:35" x14ac:dyDescent="0.25">
      <c r="A640">
        <v>259</v>
      </c>
      <c r="B640" t="s">
        <v>35</v>
      </c>
      <c r="C640">
        <v>3</v>
      </c>
      <c r="D640" t="s">
        <v>36</v>
      </c>
      <c r="E640">
        <v>3</v>
      </c>
      <c r="F640" t="s">
        <v>259</v>
      </c>
      <c r="G640">
        <v>3</v>
      </c>
      <c r="H640">
        <v>9</v>
      </c>
      <c r="I640">
        <v>3</v>
      </c>
      <c r="J640">
        <v>63</v>
      </c>
      <c r="K640">
        <v>55</v>
      </c>
      <c r="L640">
        <v>51</v>
      </c>
      <c r="M640">
        <v>2</v>
      </c>
      <c r="N640" t="s">
        <v>176</v>
      </c>
      <c r="O640" t="s">
        <v>151</v>
      </c>
      <c r="P640" t="s">
        <v>177</v>
      </c>
      <c r="Q640" t="s">
        <v>178</v>
      </c>
      <c r="R640" t="s">
        <v>170</v>
      </c>
      <c r="S640" t="s">
        <v>59</v>
      </c>
      <c r="T640" t="s">
        <v>139</v>
      </c>
      <c r="U640">
        <v>1</v>
      </c>
      <c r="V640" t="s">
        <v>108</v>
      </c>
      <c r="W640" t="s">
        <v>179</v>
      </c>
      <c r="X640" t="s">
        <v>144</v>
      </c>
      <c r="Y640">
        <v>1</v>
      </c>
      <c r="Z640">
        <v>1</v>
      </c>
      <c r="AA640">
        <v>44.1</v>
      </c>
      <c r="AB640">
        <v>-1</v>
      </c>
      <c r="AC640" t="s">
        <v>139</v>
      </c>
      <c r="AD640">
        <v>1</v>
      </c>
      <c r="AE640">
        <v>1</v>
      </c>
      <c r="AF640">
        <v>1</v>
      </c>
      <c r="AG640">
        <v>1.2789999999999999</v>
      </c>
      <c r="AH640">
        <v>0.183</v>
      </c>
      <c r="AI640">
        <v>-1</v>
      </c>
    </row>
    <row r="641" spans="1:35" x14ac:dyDescent="0.25">
      <c r="A641">
        <v>259</v>
      </c>
      <c r="B641" t="s">
        <v>35</v>
      </c>
      <c r="C641">
        <v>3</v>
      </c>
      <c r="D641" t="s">
        <v>36</v>
      </c>
      <c r="E641">
        <v>3</v>
      </c>
      <c r="F641" t="s">
        <v>259</v>
      </c>
      <c r="G641">
        <v>3</v>
      </c>
      <c r="H641">
        <v>9</v>
      </c>
      <c r="I641">
        <v>3</v>
      </c>
      <c r="J641">
        <v>64</v>
      </c>
      <c r="K641">
        <v>57</v>
      </c>
      <c r="L641">
        <v>15</v>
      </c>
      <c r="M641">
        <v>1</v>
      </c>
      <c r="N641" t="s">
        <v>150</v>
      </c>
      <c r="O641" t="s">
        <v>151</v>
      </c>
      <c r="P641" t="s">
        <v>152</v>
      </c>
      <c r="Q641" t="s">
        <v>153</v>
      </c>
      <c r="R641" t="s">
        <v>154</v>
      </c>
      <c r="S641" t="s">
        <v>92</v>
      </c>
      <c r="T641" t="s">
        <v>155</v>
      </c>
      <c r="U641">
        <v>5</v>
      </c>
      <c r="V641" t="s">
        <v>141</v>
      </c>
      <c r="W641" t="s">
        <v>124</v>
      </c>
      <c r="X641" t="s">
        <v>156</v>
      </c>
      <c r="Y641">
        <v>2</v>
      </c>
      <c r="Z641">
        <v>1</v>
      </c>
      <c r="AA641">
        <v>44.1</v>
      </c>
      <c r="AB641">
        <v>-1</v>
      </c>
      <c r="AC641" t="s">
        <v>155</v>
      </c>
      <c r="AD641">
        <v>1</v>
      </c>
      <c r="AE641">
        <v>5</v>
      </c>
      <c r="AF641">
        <v>1</v>
      </c>
      <c r="AG641">
        <v>2.141</v>
      </c>
      <c r="AH641">
        <v>2.7839999999999998</v>
      </c>
      <c r="AI641">
        <v>-1</v>
      </c>
    </row>
    <row r="642" spans="1:35" x14ac:dyDescent="0.25">
      <c r="A642">
        <v>259</v>
      </c>
      <c r="B642" t="s">
        <v>35</v>
      </c>
      <c r="C642">
        <v>3</v>
      </c>
      <c r="D642" t="s">
        <v>36</v>
      </c>
      <c r="E642">
        <v>3</v>
      </c>
      <c r="F642" t="s">
        <v>259</v>
      </c>
      <c r="G642">
        <v>3</v>
      </c>
      <c r="H642">
        <v>9</v>
      </c>
      <c r="I642">
        <v>3</v>
      </c>
      <c r="J642">
        <v>65</v>
      </c>
      <c r="K642">
        <v>56</v>
      </c>
      <c r="L642">
        <v>52</v>
      </c>
      <c r="M642">
        <v>2</v>
      </c>
      <c r="N642" t="s">
        <v>188</v>
      </c>
      <c r="O642" t="s">
        <v>151</v>
      </c>
      <c r="P642" t="s">
        <v>177</v>
      </c>
      <c r="Q642" t="s">
        <v>178</v>
      </c>
      <c r="R642" t="s">
        <v>160</v>
      </c>
      <c r="S642" t="s">
        <v>43</v>
      </c>
      <c r="T642" t="s">
        <v>108</v>
      </c>
      <c r="U642">
        <v>4</v>
      </c>
      <c r="V642" t="s">
        <v>55</v>
      </c>
      <c r="W642" t="s">
        <v>56</v>
      </c>
      <c r="X642" t="s">
        <v>138</v>
      </c>
      <c r="Y642">
        <v>2</v>
      </c>
      <c r="Z642">
        <v>1</v>
      </c>
      <c r="AA642">
        <v>44.1</v>
      </c>
      <c r="AB642">
        <v>-1</v>
      </c>
      <c r="AC642" t="s">
        <v>108</v>
      </c>
      <c r="AD642">
        <v>1</v>
      </c>
      <c r="AE642">
        <v>4</v>
      </c>
      <c r="AF642">
        <v>1</v>
      </c>
      <c r="AG642">
        <v>0.70299999999999996</v>
      </c>
      <c r="AH642">
        <v>0.316</v>
      </c>
      <c r="AI642">
        <v>-1</v>
      </c>
    </row>
    <row r="643" spans="1:35" x14ac:dyDescent="0.25">
      <c r="A643">
        <v>259</v>
      </c>
      <c r="B643" t="s">
        <v>35</v>
      </c>
      <c r="C643">
        <v>3</v>
      </c>
      <c r="D643" t="s">
        <v>36</v>
      </c>
      <c r="E643">
        <v>3</v>
      </c>
      <c r="F643" t="s">
        <v>259</v>
      </c>
      <c r="G643">
        <v>3</v>
      </c>
      <c r="H643">
        <v>9</v>
      </c>
      <c r="I643">
        <v>3</v>
      </c>
      <c r="J643">
        <v>66</v>
      </c>
      <c r="K643">
        <v>59</v>
      </c>
      <c r="L643">
        <v>55</v>
      </c>
      <c r="M643">
        <v>2</v>
      </c>
      <c r="N643" t="s">
        <v>163</v>
      </c>
      <c r="O643" t="s">
        <v>151</v>
      </c>
      <c r="P643" t="s">
        <v>164</v>
      </c>
      <c r="Q643" t="s">
        <v>165</v>
      </c>
      <c r="R643" t="s">
        <v>154</v>
      </c>
      <c r="S643" t="s">
        <v>92</v>
      </c>
      <c r="T643" t="s">
        <v>86</v>
      </c>
      <c r="U643">
        <v>2</v>
      </c>
      <c r="V643" t="s">
        <v>166</v>
      </c>
      <c r="W643" t="s">
        <v>85</v>
      </c>
      <c r="X643" t="s">
        <v>95</v>
      </c>
      <c r="Y643">
        <v>1</v>
      </c>
      <c r="Z643">
        <v>1</v>
      </c>
      <c r="AA643">
        <v>44.1</v>
      </c>
      <c r="AB643">
        <v>-1</v>
      </c>
      <c r="AC643" t="s">
        <v>86</v>
      </c>
      <c r="AD643">
        <v>1</v>
      </c>
      <c r="AE643">
        <v>2</v>
      </c>
      <c r="AF643">
        <v>1</v>
      </c>
      <c r="AG643">
        <v>2.17</v>
      </c>
      <c r="AH643">
        <v>0.15</v>
      </c>
      <c r="AI643">
        <v>-1</v>
      </c>
    </row>
    <row r="644" spans="1:35" x14ac:dyDescent="0.25">
      <c r="A644">
        <v>259</v>
      </c>
      <c r="B644" t="s">
        <v>35</v>
      </c>
      <c r="C644">
        <v>3</v>
      </c>
      <c r="D644" t="s">
        <v>36</v>
      </c>
      <c r="E644">
        <v>3</v>
      </c>
      <c r="F644" t="s">
        <v>259</v>
      </c>
      <c r="G644">
        <v>3</v>
      </c>
      <c r="H644">
        <v>9</v>
      </c>
      <c r="I644">
        <v>3</v>
      </c>
      <c r="J644">
        <v>67</v>
      </c>
      <c r="K644">
        <v>68</v>
      </c>
      <c r="L644">
        <v>18</v>
      </c>
      <c r="M644">
        <v>1</v>
      </c>
      <c r="N644" t="s">
        <v>258</v>
      </c>
      <c r="O644" t="s">
        <v>151</v>
      </c>
      <c r="P644" t="s">
        <v>255</v>
      </c>
      <c r="Q644" t="s">
        <v>256</v>
      </c>
      <c r="R644" t="s">
        <v>160</v>
      </c>
      <c r="S644" t="s">
        <v>43</v>
      </c>
      <c r="T644" t="s">
        <v>110</v>
      </c>
      <c r="U644">
        <v>1</v>
      </c>
      <c r="V644" t="s">
        <v>47</v>
      </c>
      <c r="W644" t="s">
        <v>98</v>
      </c>
      <c r="X644" t="s">
        <v>130</v>
      </c>
      <c r="Y644">
        <v>1</v>
      </c>
      <c r="Z644">
        <v>1</v>
      </c>
      <c r="AA644">
        <v>44.1</v>
      </c>
      <c r="AB644">
        <v>-1</v>
      </c>
      <c r="AC644" t="s">
        <v>47</v>
      </c>
      <c r="AD644">
        <v>2</v>
      </c>
      <c r="AE644">
        <v>5</v>
      </c>
      <c r="AF644">
        <v>0</v>
      </c>
      <c r="AG644">
        <v>1.633</v>
      </c>
      <c r="AH644">
        <v>0.64900000000000002</v>
      </c>
      <c r="AI644">
        <v>-1</v>
      </c>
    </row>
    <row r="645" spans="1:35" x14ac:dyDescent="0.25">
      <c r="A645">
        <v>259</v>
      </c>
      <c r="B645" t="s">
        <v>35</v>
      </c>
      <c r="C645">
        <v>3</v>
      </c>
      <c r="D645" t="s">
        <v>36</v>
      </c>
      <c r="E645">
        <v>3</v>
      </c>
      <c r="F645" t="s">
        <v>259</v>
      </c>
      <c r="G645">
        <v>3</v>
      </c>
      <c r="H645">
        <v>9</v>
      </c>
      <c r="I645">
        <v>3</v>
      </c>
      <c r="J645">
        <v>68</v>
      </c>
      <c r="K645">
        <v>65</v>
      </c>
      <c r="L645">
        <v>53</v>
      </c>
      <c r="M645">
        <v>2</v>
      </c>
      <c r="N645" t="s">
        <v>257</v>
      </c>
      <c r="O645" t="s">
        <v>151</v>
      </c>
      <c r="P645" t="s">
        <v>249</v>
      </c>
      <c r="Q645" t="s">
        <v>250</v>
      </c>
      <c r="R645" t="s">
        <v>170</v>
      </c>
      <c r="S645" t="s">
        <v>59</v>
      </c>
      <c r="T645" t="s">
        <v>204</v>
      </c>
      <c r="U645">
        <v>5</v>
      </c>
      <c r="V645" t="s">
        <v>211</v>
      </c>
      <c r="W645" t="s">
        <v>53</v>
      </c>
      <c r="X645" t="s">
        <v>74</v>
      </c>
      <c r="Y645">
        <v>2</v>
      </c>
      <c r="Z645">
        <v>1</v>
      </c>
      <c r="AA645">
        <v>44.1</v>
      </c>
      <c r="AB645">
        <v>-1</v>
      </c>
      <c r="AC645" t="s">
        <v>204</v>
      </c>
      <c r="AD645">
        <v>1</v>
      </c>
      <c r="AE645">
        <v>5</v>
      </c>
      <c r="AF645">
        <v>1</v>
      </c>
      <c r="AG645">
        <v>1.444</v>
      </c>
      <c r="AH645">
        <v>0.23300000000000001</v>
      </c>
      <c r="AI645">
        <v>-1</v>
      </c>
    </row>
    <row r="646" spans="1:35" x14ac:dyDescent="0.25">
      <c r="A646">
        <v>259</v>
      </c>
      <c r="B646" t="s">
        <v>35</v>
      </c>
      <c r="C646">
        <v>3</v>
      </c>
      <c r="D646" t="s">
        <v>36</v>
      </c>
      <c r="E646">
        <v>3</v>
      </c>
      <c r="F646" t="s">
        <v>259</v>
      </c>
      <c r="G646">
        <v>3</v>
      </c>
      <c r="H646">
        <v>9</v>
      </c>
      <c r="I646">
        <v>3</v>
      </c>
      <c r="J646">
        <v>69</v>
      </c>
      <c r="K646">
        <v>64</v>
      </c>
      <c r="L646">
        <v>20</v>
      </c>
      <c r="M646">
        <v>1</v>
      </c>
      <c r="N646" t="s">
        <v>238</v>
      </c>
      <c r="O646" t="s">
        <v>151</v>
      </c>
      <c r="P646" t="s">
        <v>239</v>
      </c>
      <c r="Q646" t="s">
        <v>240</v>
      </c>
      <c r="R646" t="s">
        <v>160</v>
      </c>
      <c r="S646" t="s">
        <v>43</v>
      </c>
      <c r="T646" t="s">
        <v>82</v>
      </c>
      <c r="U646">
        <v>4</v>
      </c>
      <c r="V646" t="s">
        <v>110</v>
      </c>
      <c r="W646" t="s">
        <v>137</v>
      </c>
      <c r="X646" t="s">
        <v>149</v>
      </c>
      <c r="Y646">
        <v>2</v>
      </c>
      <c r="Z646">
        <v>1</v>
      </c>
      <c r="AA646">
        <v>44.1</v>
      </c>
      <c r="AB646">
        <v>-1</v>
      </c>
      <c r="AC646" t="s">
        <v>82</v>
      </c>
      <c r="AD646">
        <v>1</v>
      </c>
      <c r="AE646">
        <v>4</v>
      </c>
      <c r="AF646">
        <v>1</v>
      </c>
      <c r="AG646">
        <v>0.73799999999999999</v>
      </c>
      <c r="AH646">
        <v>0.16600000000000001</v>
      </c>
      <c r="AI646">
        <v>-1</v>
      </c>
    </row>
    <row r="647" spans="1:35" x14ac:dyDescent="0.25">
      <c r="A647">
        <v>259</v>
      </c>
      <c r="B647" t="s">
        <v>35</v>
      </c>
      <c r="C647">
        <v>3</v>
      </c>
      <c r="D647" t="s">
        <v>36</v>
      </c>
      <c r="E647">
        <v>3</v>
      </c>
      <c r="F647" t="s">
        <v>259</v>
      </c>
      <c r="G647">
        <v>3</v>
      </c>
      <c r="H647">
        <v>9</v>
      </c>
      <c r="I647">
        <v>3</v>
      </c>
      <c r="J647">
        <v>70</v>
      </c>
      <c r="K647">
        <v>71</v>
      </c>
      <c r="L647">
        <v>21</v>
      </c>
      <c r="M647">
        <v>1</v>
      </c>
      <c r="N647" t="s">
        <v>252</v>
      </c>
      <c r="O647" t="s">
        <v>151</v>
      </c>
      <c r="P647" t="s">
        <v>242</v>
      </c>
      <c r="Q647" t="s">
        <v>243</v>
      </c>
      <c r="R647" t="s">
        <v>170</v>
      </c>
      <c r="S647" t="s">
        <v>59</v>
      </c>
      <c r="T647" t="s">
        <v>146</v>
      </c>
      <c r="U647">
        <v>1</v>
      </c>
      <c r="V647" t="s">
        <v>139</v>
      </c>
      <c r="W647" t="s">
        <v>104</v>
      </c>
      <c r="X647" t="s">
        <v>54</v>
      </c>
      <c r="Y647">
        <v>2</v>
      </c>
      <c r="Z647">
        <v>1</v>
      </c>
      <c r="AA647">
        <v>44.1</v>
      </c>
      <c r="AB647">
        <v>-1</v>
      </c>
      <c r="AC647" t="s">
        <v>54</v>
      </c>
      <c r="AD647">
        <v>4</v>
      </c>
      <c r="AE647">
        <v>5</v>
      </c>
      <c r="AF647">
        <v>0</v>
      </c>
      <c r="AG647">
        <v>2.3149999999999999</v>
      </c>
      <c r="AH647">
        <v>0.15</v>
      </c>
      <c r="AI647">
        <v>-1</v>
      </c>
    </row>
    <row r="648" spans="1:35" x14ac:dyDescent="0.25">
      <c r="A648">
        <v>259</v>
      </c>
      <c r="B648" t="s">
        <v>35</v>
      </c>
      <c r="C648">
        <v>3</v>
      </c>
      <c r="D648" t="s">
        <v>36</v>
      </c>
      <c r="E648">
        <v>3</v>
      </c>
      <c r="F648" t="s">
        <v>259</v>
      </c>
      <c r="G648">
        <v>3</v>
      </c>
      <c r="H648">
        <v>9</v>
      </c>
      <c r="I648">
        <v>3</v>
      </c>
      <c r="J648">
        <v>71</v>
      </c>
      <c r="K648">
        <v>63</v>
      </c>
      <c r="L648">
        <v>19</v>
      </c>
      <c r="M648">
        <v>1</v>
      </c>
      <c r="N648" t="s">
        <v>253</v>
      </c>
      <c r="O648" t="s">
        <v>151</v>
      </c>
      <c r="P648" t="s">
        <v>239</v>
      </c>
      <c r="Q648" t="s">
        <v>240</v>
      </c>
      <c r="R648" t="s">
        <v>170</v>
      </c>
      <c r="S648" t="s">
        <v>59</v>
      </c>
      <c r="T648" t="s">
        <v>211</v>
      </c>
      <c r="U648">
        <v>4</v>
      </c>
      <c r="V648" t="s">
        <v>82</v>
      </c>
      <c r="W648" t="s">
        <v>79</v>
      </c>
      <c r="X648" t="s">
        <v>209</v>
      </c>
      <c r="Y648">
        <v>1</v>
      </c>
      <c r="Z648">
        <v>1</v>
      </c>
      <c r="AA648">
        <v>44.1</v>
      </c>
      <c r="AB648">
        <v>-1</v>
      </c>
      <c r="AC648" t="s">
        <v>211</v>
      </c>
      <c r="AD648">
        <v>1</v>
      </c>
      <c r="AE648">
        <v>4</v>
      </c>
      <c r="AF648">
        <v>1</v>
      </c>
      <c r="AG648">
        <v>1.5640000000000001</v>
      </c>
      <c r="AH648">
        <v>0.41699999999999998</v>
      </c>
      <c r="AI648">
        <v>-1</v>
      </c>
    </row>
    <row r="649" spans="1:35" x14ac:dyDescent="0.25">
      <c r="A649">
        <v>259</v>
      </c>
      <c r="B649" t="s">
        <v>35</v>
      </c>
      <c r="C649">
        <v>3</v>
      </c>
      <c r="D649" t="s">
        <v>36</v>
      </c>
      <c r="E649">
        <v>3</v>
      </c>
      <c r="F649" t="s">
        <v>259</v>
      </c>
      <c r="G649">
        <v>3</v>
      </c>
      <c r="H649">
        <v>9</v>
      </c>
      <c r="I649">
        <v>3</v>
      </c>
      <c r="J649">
        <v>72</v>
      </c>
      <c r="K649">
        <v>66</v>
      </c>
      <c r="L649">
        <v>54</v>
      </c>
      <c r="M649">
        <v>2</v>
      </c>
      <c r="N649" t="s">
        <v>248</v>
      </c>
      <c r="O649" t="s">
        <v>151</v>
      </c>
      <c r="P649" t="s">
        <v>249</v>
      </c>
      <c r="Q649" t="s">
        <v>250</v>
      </c>
      <c r="R649" t="s">
        <v>154</v>
      </c>
      <c r="S649" t="s">
        <v>92</v>
      </c>
      <c r="T649" t="s">
        <v>68</v>
      </c>
      <c r="U649">
        <v>1</v>
      </c>
      <c r="V649" t="s">
        <v>204</v>
      </c>
      <c r="W649" t="s">
        <v>214</v>
      </c>
      <c r="X649" t="s">
        <v>131</v>
      </c>
      <c r="Y649">
        <v>1</v>
      </c>
      <c r="Z649">
        <v>1</v>
      </c>
      <c r="AA649">
        <v>44.1</v>
      </c>
      <c r="AB649">
        <v>-1</v>
      </c>
      <c r="AC649" t="s">
        <v>68</v>
      </c>
      <c r="AD649">
        <v>1</v>
      </c>
      <c r="AE649">
        <v>1</v>
      </c>
      <c r="AF649">
        <v>1</v>
      </c>
      <c r="AG649">
        <v>2.1789999999999998</v>
      </c>
      <c r="AH649">
        <v>0.16700000000000001</v>
      </c>
      <c r="AI649">
        <v>-1</v>
      </c>
    </row>
    <row r="650" spans="1:35" x14ac:dyDescent="0.25">
      <c r="A650">
        <v>259</v>
      </c>
      <c r="B650" t="s">
        <v>35</v>
      </c>
      <c r="C650">
        <v>3</v>
      </c>
      <c r="D650" t="s">
        <v>36</v>
      </c>
      <c r="E650">
        <v>4</v>
      </c>
      <c r="F650" t="s">
        <v>259</v>
      </c>
      <c r="G650">
        <v>4</v>
      </c>
      <c r="H650">
        <v>12</v>
      </c>
      <c r="I650">
        <v>1</v>
      </c>
      <c r="J650">
        <v>1</v>
      </c>
      <c r="K650">
        <v>9</v>
      </c>
      <c r="L650">
        <v>3</v>
      </c>
      <c r="M650">
        <v>1</v>
      </c>
      <c r="N650" t="s">
        <v>88</v>
      </c>
      <c r="O650" t="s">
        <v>39</v>
      </c>
      <c r="P650" t="s">
        <v>89</v>
      </c>
      <c r="Q650" t="s">
        <v>90</v>
      </c>
      <c r="R650" t="s">
        <v>91</v>
      </c>
      <c r="S650" t="s">
        <v>92</v>
      </c>
      <c r="T650" t="s">
        <v>93</v>
      </c>
      <c r="U650">
        <v>4</v>
      </c>
      <c r="V650" t="s">
        <v>94</v>
      </c>
      <c r="W650" t="s">
        <v>95</v>
      </c>
      <c r="X650" t="s">
        <v>96</v>
      </c>
      <c r="Y650">
        <v>2</v>
      </c>
      <c r="Z650">
        <v>1</v>
      </c>
      <c r="AA650">
        <v>44.1</v>
      </c>
      <c r="AB650">
        <v>-1</v>
      </c>
      <c r="AC650" t="s">
        <v>96</v>
      </c>
      <c r="AD650">
        <v>4</v>
      </c>
      <c r="AE650">
        <v>5</v>
      </c>
      <c r="AF650">
        <v>0</v>
      </c>
      <c r="AG650">
        <v>0.879</v>
      </c>
      <c r="AH650">
        <v>2.9510000000000001</v>
      </c>
      <c r="AI650">
        <v>-1</v>
      </c>
    </row>
    <row r="651" spans="1:35" x14ac:dyDescent="0.25">
      <c r="A651">
        <v>259</v>
      </c>
      <c r="B651" t="s">
        <v>35</v>
      </c>
      <c r="C651">
        <v>3</v>
      </c>
      <c r="D651" t="s">
        <v>36</v>
      </c>
      <c r="E651">
        <v>4</v>
      </c>
      <c r="F651" t="s">
        <v>259</v>
      </c>
      <c r="G651">
        <v>4</v>
      </c>
      <c r="H651">
        <v>12</v>
      </c>
      <c r="I651">
        <v>1</v>
      </c>
      <c r="J651">
        <v>2</v>
      </c>
      <c r="K651">
        <v>6</v>
      </c>
      <c r="L651">
        <v>38</v>
      </c>
      <c r="M651">
        <v>2</v>
      </c>
      <c r="N651" t="s">
        <v>48</v>
      </c>
      <c r="O651" t="s">
        <v>39</v>
      </c>
      <c r="P651" t="s">
        <v>49</v>
      </c>
      <c r="Q651" t="s">
        <v>50</v>
      </c>
      <c r="R651" t="s">
        <v>51</v>
      </c>
      <c r="S651" t="s">
        <v>52</v>
      </c>
      <c r="T651" t="s">
        <v>53</v>
      </c>
      <c r="U651">
        <v>2</v>
      </c>
      <c r="V651" t="s">
        <v>54</v>
      </c>
      <c r="W651" t="s">
        <v>55</v>
      </c>
      <c r="X651" t="s">
        <v>56</v>
      </c>
      <c r="Y651">
        <v>1</v>
      </c>
      <c r="Z651">
        <v>1</v>
      </c>
      <c r="AA651">
        <v>44.1</v>
      </c>
      <c r="AB651">
        <v>-1</v>
      </c>
      <c r="AC651" t="s">
        <v>53</v>
      </c>
      <c r="AD651">
        <v>1</v>
      </c>
      <c r="AE651">
        <v>2</v>
      </c>
      <c r="AF651">
        <v>1</v>
      </c>
      <c r="AG651">
        <v>2.157</v>
      </c>
      <c r="AH651">
        <v>0.53300000000000003</v>
      </c>
      <c r="AI651">
        <v>-1</v>
      </c>
    </row>
    <row r="652" spans="1:35" x14ac:dyDescent="0.25">
      <c r="A652">
        <v>259</v>
      </c>
      <c r="B652" t="s">
        <v>35</v>
      </c>
      <c r="C652">
        <v>3</v>
      </c>
      <c r="D652" t="s">
        <v>36</v>
      </c>
      <c r="E652">
        <v>4</v>
      </c>
      <c r="F652" t="s">
        <v>259</v>
      </c>
      <c r="G652">
        <v>4</v>
      </c>
      <c r="H652">
        <v>12</v>
      </c>
      <c r="I652">
        <v>1</v>
      </c>
      <c r="J652">
        <v>3</v>
      </c>
      <c r="K652">
        <v>8</v>
      </c>
      <c r="L652">
        <v>40</v>
      </c>
      <c r="M652">
        <v>2</v>
      </c>
      <c r="N652" t="s">
        <v>84</v>
      </c>
      <c r="O652" t="s">
        <v>39</v>
      </c>
      <c r="P652" t="s">
        <v>64</v>
      </c>
      <c r="Q652" t="s">
        <v>65</v>
      </c>
      <c r="R652" t="s">
        <v>42</v>
      </c>
      <c r="S652" t="s">
        <v>43</v>
      </c>
      <c r="T652" t="s">
        <v>67</v>
      </c>
      <c r="U652">
        <v>4</v>
      </c>
      <c r="V652" t="s">
        <v>85</v>
      </c>
      <c r="W652" t="s">
        <v>86</v>
      </c>
      <c r="X652" t="s">
        <v>87</v>
      </c>
      <c r="Y652">
        <v>2</v>
      </c>
      <c r="Z652">
        <v>1</v>
      </c>
      <c r="AA652">
        <v>44.1</v>
      </c>
      <c r="AB652">
        <v>-1</v>
      </c>
      <c r="AC652" t="s">
        <v>85</v>
      </c>
      <c r="AD652">
        <v>3</v>
      </c>
      <c r="AE652">
        <v>5</v>
      </c>
      <c r="AF652">
        <v>0</v>
      </c>
      <c r="AG652">
        <v>3.0059999999999998</v>
      </c>
      <c r="AH652">
        <v>0.21299999999999999</v>
      </c>
      <c r="AI652">
        <v>-1</v>
      </c>
    </row>
    <row r="653" spans="1:35" x14ac:dyDescent="0.25">
      <c r="A653">
        <v>259</v>
      </c>
      <c r="B653" t="s">
        <v>35</v>
      </c>
      <c r="C653">
        <v>3</v>
      </c>
      <c r="D653" t="s">
        <v>36</v>
      </c>
      <c r="E653">
        <v>4</v>
      </c>
      <c r="F653" t="s">
        <v>259</v>
      </c>
      <c r="G653">
        <v>4</v>
      </c>
      <c r="H653">
        <v>12</v>
      </c>
      <c r="I653">
        <v>1</v>
      </c>
      <c r="J653">
        <v>4</v>
      </c>
      <c r="K653">
        <v>14</v>
      </c>
      <c r="L653">
        <v>12</v>
      </c>
      <c r="M653">
        <v>1</v>
      </c>
      <c r="N653" t="s">
        <v>206</v>
      </c>
      <c r="O653" t="s">
        <v>39</v>
      </c>
      <c r="P653" t="s">
        <v>207</v>
      </c>
      <c r="Q653" t="s">
        <v>208</v>
      </c>
      <c r="R653" t="s">
        <v>42</v>
      </c>
      <c r="S653" t="s">
        <v>43</v>
      </c>
      <c r="T653" t="s">
        <v>131</v>
      </c>
      <c r="U653">
        <v>2</v>
      </c>
      <c r="V653" t="s">
        <v>185</v>
      </c>
      <c r="W653" t="s">
        <v>209</v>
      </c>
      <c r="X653" t="s">
        <v>183</v>
      </c>
      <c r="Y653">
        <v>2</v>
      </c>
      <c r="Z653">
        <v>1</v>
      </c>
      <c r="AA653">
        <v>44.1</v>
      </c>
      <c r="AB653">
        <v>-1</v>
      </c>
      <c r="AC653" t="s">
        <v>131</v>
      </c>
      <c r="AD653">
        <v>1</v>
      </c>
      <c r="AE653">
        <v>2</v>
      </c>
      <c r="AF653">
        <v>1</v>
      </c>
      <c r="AG653">
        <v>0.755</v>
      </c>
      <c r="AH653">
        <v>0.183</v>
      </c>
      <c r="AI653">
        <v>-1</v>
      </c>
    </row>
    <row r="654" spans="1:35" x14ac:dyDescent="0.25">
      <c r="A654">
        <v>259</v>
      </c>
      <c r="B654" t="s">
        <v>35</v>
      </c>
      <c r="C654">
        <v>3</v>
      </c>
      <c r="D654" t="s">
        <v>36</v>
      </c>
      <c r="E654">
        <v>4</v>
      </c>
      <c r="F654" t="s">
        <v>259</v>
      </c>
      <c r="G654">
        <v>4</v>
      </c>
      <c r="H654">
        <v>12</v>
      </c>
      <c r="I654">
        <v>1</v>
      </c>
      <c r="J654">
        <v>5</v>
      </c>
      <c r="K654">
        <v>22</v>
      </c>
      <c r="L654">
        <v>46</v>
      </c>
      <c r="M654">
        <v>2</v>
      </c>
      <c r="N654" t="s">
        <v>189</v>
      </c>
      <c r="O654" t="s">
        <v>39</v>
      </c>
      <c r="P654" t="s">
        <v>190</v>
      </c>
      <c r="Q654" t="s">
        <v>191</v>
      </c>
      <c r="R654" t="s">
        <v>42</v>
      </c>
      <c r="S654" t="s">
        <v>43</v>
      </c>
      <c r="T654" t="s">
        <v>45</v>
      </c>
      <c r="U654">
        <v>2</v>
      </c>
      <c r="V654" t="s">
        <v>149</v>
      </c>
      <c r="W654" t="s">
        <v>139</v>
      </c>
      <c r="X654" t="s">
        <v>124</v>
      </c>
      <c r="Y654">
        <v>1</v>
      </c>
      <c r="Z654">
        <v>1</v>
      </c>
      <c r="AA654">
        <v>44.1</v>
      </c>
      <c r="AB654">
        <v>-1</v>
      </c>
      <c r="AC654" t="s">
        <v>149</v>
      </c>
      <c r="AD654">
        <v>2</v>
      </c>
      <c r="AE654">
        <v>1</v>
      </c>
      <c r="AF654">
        <v>0</v>
      </c>
      <c r="AG654">
        <v>1.6319999999999999</v>
      </c>
      <c r="AH654">
        <v>0.3</v>
      </c>
      <c r="AI654">
        <v>-1</v>
      </c>
    </row>
    <row r="655" spans="1:35" x14ac:dyDescent="0.25">
      <c r="A655">
        <v>259</v>
      </c>
      <c r="B655" t="s">
        <v>35</v>
      </c>
      <c r="C655">
        <v>3</v>
      </c>
      <c r="D655" t="s">
        <v>36</v>
      </c>
      <c r="E655">
        <v>4</v>
      </c>
      <c r="F655" t="s">
        <v>259</v>
      </c>
      <c r="G655">
        <v>4</v>
      </c>
      <c r="H655">
        <v>12</v>
      </c>
      <c r="I655">
        <v>1</v>
      </c>
      <c r="J655">
        <v>6</v>
      </c>
      <c r="K655">
        <v>15</v>
      </c>
      <c r="L655">
        <v>7</v>
      </c>
      <c r="M655">
        <v>1</v>
      </c>
      <c r="N655" t="s">
        <v>205</v>
      </c>
      <c r="O655" t="s">
        <v>39</v>
      </c>
      <c r="P655" t="s">
        <v>196</v>
      </c>
      <c r="Q655" t="s">
        <v>197</v>
      </c>
      <c r="R655" t="s">
        <v>58</v>
      </c>
      <c r="S655" t="s">
        <v>59</v>
      </c>
      <c r="T655" t="s">
        <v>156</v>
      </c>
      <c r="U655">
        <v>2</v>
      </c>
      <c r="V655" t="s">
        <v>147</v>
      </c>
      <c r="W655" t="s">
        <v>130</v>
      </c>
      <c r="X655" t="s">
        <v>166</v>
      </c>
      <c r="Y655">
        <v>2</v>
      </c>
      <c r="Z655">
        <v>1</v>
      </c>
      <c r="AA655">
        <v>44.1</v>
      </c>
      <c r="AB655">
        <v>-1</v>
      </c>
      <c r="AC655" t="s">
        <v>156</v>
      </c>
      <c r="AD655">
        <v>1</v>
      </c>
      <c r="AE655">
        <v>2</v>
      </c>
      <c r="AF655">
        <v>1</v>
      </c>
      <c r="AG655">
        <v>1.6379999999999999</v>
      </c>
      <c r="AH655">
        <v>0.76200000000000001</v>
      </c>
      <c r="AI655">
        <v>-1</v>
      </c>
    </row>
    <row r="656" spans="1:35" x14ac:dyDescent="0.25">
      <c r="A656">
        <v>259</v>
      </c>
      <c r="B656" t="s">
        <v>35</v>
      </c>
      <c r="C656">
        <v>3</v>
      </c>
      <c r="D656" t="s">
        <v>36</v>
      </c>
      <c r="E656">
        <v>4</v>
      </c>
      <c r="F656" t="s">
        <v>259</v>
      </c>
      <c r="G656">
        <v>4</v>
      </c>
      <c r="H656">
        <v>12</v>
      </c>
      <c r="I656">
        <v>1</v>
      </c>
      <c r="J656">
        <v>7</v>
      </c>
      <c r="K656">
        <v>23</v>
      </c>
      <c r="L656">
        <v>9</v>
      </c>
      <c r="M656">
        <v>1</v>
      </c>
      <c r="N656" t="s">
        <v>212</v>
      </c>
      <c r="O656" t="s">
        <v>39</v>
      </c>
      <c r="P656" t="s">
        <v>202</v>
      </c>
      <c r="Q656" t="s">
        <v>203</v>
      </c>
      <c r="R656" t="s">
        <v>58</v>
      </c>
      <c r="S656" t="s">
        <v>59</v>
      </c>
      <c r="T656" t="s">
        <v>147</v>
      </c>
      <c r="U656">
        <v>5</v>
      </c>
      <c r="V656" t="s">
        <v>172</v>
      </c>
      <c r="W656" t="s">
        <v>141</v>
      </c>
      <c r="X656" t="s">
        <v>179</v>
      </c>
      <c r="Y656">
        <v>1</v>
      </c>
      <c r="Z656">
        <v>1</v>
      </c>
      <c r="AA656">
        <v>44.1</v>
      </c>
      <c r="AB656">
        <v>-1</v>
      </c>
      <c r="AC656" t="s">
        <v>147</v>
      </c>
      <c r="AD656">
        <v>1</v>
      </c>
      <c r="AE656">
        <v>5</v>
      </c>
      <c r="AF656">
        <v>1</v>
      </c>
      <c r="AG656">
        <v>1.145</v>
      </c>
      <c r="AH656">
        <v>0.2</v>
      </c>
      <c r="AI656">
        <v>-1</v>
      </c>
    </row>
    <row r="657" spans="1:35" x14ac:dyDescent="0.25">
      <c r="A657">
        <v>259</v>
      </c>
      <c r="B657" t="s">
        <v>35</v>
      </c>
      <c r="C657">
        <v>3</v>
      </c>
      <c r="D657" t="s">
        <v>36</v>
      </c>
      <c r="E657">
        <v>4</v>
      </c>
      <c r="F657" t="s">
        <v>259</v>
      </c>
      <c r="G657">
        <v>4</v>
      </c>
      <c r="H657">
        <v>12</v>
      </c>
      <c r="I657">
        <v>1</v>
      </c>
      <c r="J657">
        <v>8</v>
      </c>
      <c r="K657">
        <v>20</v>
      </c>
      <c r="L657">
        <v>6</v>
      </c>
      <c r="M657">
        <v>1</v>
      </c>
      <c r="N657" t="s">
        <v>215</v>
      </c>
      <c r="O657" t="s">
        <v>39</v>
      </c>
      <c r="P657" t="s">
        <v>193</v>
      </c>
      <c r="Q657" t="s">
        <v>194</v>
      </c>
      <c r="R657" t="s">
        <v>42</v>
      </c>
      <c r="S657" t="s">
        <v>43</v>
      </c>
      <c r="T657" t="s">
        <v>185</v>
      </c>
      <c r="U657">
        <v>4</v>
      </c>
      <c r="V657" t="s">
        <v>144</v>
      </c>
      <c r="W657" t="s">
        <v>127</v>
      </c>
      <c r="X657" t="s">
        <v>146</v>
      </c>
      <c r="Y657">
        <v>1</v>
      </c>
      <c r="Z657">
        <v>1</v>
      </c>
      <c r="AA657">
        <v>44.1</v>
      </c>
      <c r="AB657">
        <v>-1</v>
      </c>
      <c r="AC657" t="s">
        <v>144</v>
      </c>
      <c r="AD657">
        <v>2</v>
      </c>
      <c r="AE657">
        <v>1</v>
      </c>
      <c r="AF657">
        <v>0</v>
      </c>
      <c r="AG657">
        <v>1.63</v>
      </c>
      <c r="AH657">
        <v>0.28299999999999997</v>
      </c>
      <c r="AI657">
        <v>-1</v>
      </c>
    </row>
    <row r="658" spans="1:35" x14ac:dyDescent="0.25">
      <c r="A658">
        <v>259</v>
      </c>
      <c r="B658" t="s">
        <v>35</v>
      </c>
      <c r="C658">
        <v>3</v>
      </c>
      <c r="D658" t="s">
        <v>36</v>
      </c>
      <c r="E658">
        <v>4</v>
      </c>
      <c r="F658" t="s">
        <v>259</v>
      </c>
      <c r="G658">
        <v>4</v>
      </c>
      <c r="H658">
        <v>12</v>
      </c>
      <c r="I658">
        <v>1</v>
      </c>
      <c r="J658">
        <v>9</v>
      </c>
      <c r="K658">
        <v>10</v>
      </c>
      <c r="L658">
        <v>4</v>
      </c>
      <c r="M658">
        <v>1</v>
      </c>
      <c r="N658" t="s">
        <v>101</v>
      </c>
      <c r="O658" t="s">
        <v>39</v>
      </c>
      <c r="P658" t="s">
        <v>89</v>
      </c>
      <c r="Q658" t="s">
        <v>90</v>
      </c>
      <c r="R658" t="s">
        <v>51</v>
      </c>
      <c r="S658" t="s">
        <v>52</v>
      </c>
      <c r="T658" t="s">
        <v>102</v>
      </c>
      <c r="U658">
        <v>2</v>
      </c>
      <c r="V658" t="s">
        <v>93</v>
      </c>
      <c r="W658" t="s">
        <v>103</v>
      </c>
      <c r="X658" t="s">
        <v>104</v>
      </c>
      <c r="Y658">
        <v>1</v>
      </c>
      <c r="Z658">
        <v>1</v>
      </c>
      <c r="AA658">
        <v>44.1</v>
      </c>
      <c r="AB658">
        <v>-1</v>
      </c>
      <c r="AC658" t="s">
        <v>104</v>
      </c>
      <c r="AD658">
        <v>4</v>
      </c>
      <c r="AE658">
        <v>4</v>
      </c>
      <c r="AF658">
        <v>0</v>
      </c>
      <c r="AG658">
        <v>3.5270000000000001</v>
      </c>
      <c r="AH658">
        <v>0.1</v>
      </c>
      <c r="AI658">
        <v>-1</v>
      </c>
    </row>
    <row r="659" spans="1:35" x14ac:dyDescent="0.25">
      <c r="A659">
        <v>259</v>
      </c>
      <c r="B659" t="s">
        <v>35</v>
      </c>
      <c r="C659">
        <v>3</v>
      </c>
      <c r="D659" t="s">
        <v>36</v>
      </c>
      <c r="E659">
        <v>4</v>
      </c>
      <c r="F659" t="s">
        <v>259</v>
      </c>
      <c r="G659">
        <v>4</v>
      </c>
      <c r="H659">
        <v>12</v>
      </c>
      <c r="I659">
        <v>1</v>
      </c>
      <c r="J659">
        <v>10</v>
      </c>
      <c r="K659">
        <v>24</v>
      </c>
      <c r="L659">
        <v>10</v>
      </c>
      <c r="M659">
        <v>1</v>
      </c>
      <c r="N659" t="s">
        <v>201</v>
      </c>
      <c r="O659" t="s">
        <v>39</v>
      </c>
      <c r="P659" t="s">
        <v>202</v>
      </c>
      <c r="Q659" t="s">
        <v>203</v>
      </c>
      <c r="R659" t="s">
        <v>51</v>
      </c>
      <c r="S659" t="s">
        <v>52</v>
      </c>
      <c r="T659" t="s">
        <v>172</v>
      </c>
      <c r="U659">
        <v>1</v>
      </c>
      <c r="V659" t="s">
        <v>102</v>
      </c>
      <c r="W659" t="s">
        <v>162</v>
      </c>
      <c r="X659" t="s">
        <v>204</v>
      </c>
      <c r="Y659">
        <v>2</v>
      </c>
      <c r="Z659">
        <v>1</v>
      </c>
      <c r="AA659">
        <v>44.1</v>
      </c>
      <c r="AB659">
        <v>-1</v>
      </c>
      <c r="AC659" t="s">
        <v>172</v>
      </c>
      <c r="AD659">
        <v>1</v>
      </c>
      <c r="AE659">
        <v>1</v>
      </c>
      <c r="AF659">
        <v>1</v>
      </c>
      <c r="AG659">
        <v>1.129</v>
      </c>
      <c r="AH659">
        <v>0.13300000000000001</v>
      </c>
      <c r="AI659">
        <v>-1</v>
      </c>
    </row>
    <row r="660" spans="1:35" x14ac:dyDescent="0.25">
      <c r="A660">
        <v>259</v>
      </c>
      <c r="B660" t="s">
        <v>35</v>
      </c>
      <c r="C660">
        <v>3</v>
      </c>
      <c r="D660" t="s">
        <v>36</v>
      </c>
      <c r="E660">
        <v>4</v>
      </c>
      <c r="F660" t="s">
        <v>259</v>
      </c>
      <c r="G660">
        <v>4</v>
      </c>
      <c r="H660">
        <v>12</v>
      </c>
      <c r="I660">
        <v>1</v>
      </c>
      <c r="J660">
        <v>11</v>
      </c>
      <c r="K660">
        <v>7</v>
      </c>
      <c r="L660">
        <v>39</v>
      </c>
      <c r="M660">
        <v>2</v>
      </c>
      <c r="N660" t="s">
        <v>63</v>
      </c>
      <c r="O660" t="s">
        <v>39</v>
      </c>
      <c r="P660" t="s">
        <v>64</v>
      </c>
      <c r="Q660" t="s">
        <v>65</v>
      </c>
      <c r="R660" t="s">
        <v>58</v>
      </c>
      <c r="S660" t="s">
        <v>59</v>
      </c>
      <c r="T660" t="s">
        <v>66</v>
      </c>
      <c r="U660">
        <v>1</v>
      </c>
      <c r="V660" t="s">
        <v>67</v>
      </c>
      <c r="W660" t="s">
        <v>68</v>
      </c>
      <c r="X660" t="s">
        <v>69</v>
      </c>
      <c r="Y660">
        <v>1</v>
      </c>
      <c r="Z660">
        <v>1</v>
      </c>
      <c r="AA660">
        <v>44.1</v>
      </c>
      <c r="AB660">
        <v>-1</v>
      </c>
      <c r="AC660" t="s">
        <v>66</v>
      </c>
      <c r="AD660">
        <v>1</v>
      </c>
      <c r="AE660">
        <v>1</v>
      </c>
      <c r="AF660">
        <v>1</v>
      </c>
      <c r="AG660">
        <v>2.367</v>
      </c>
      <c r="AH660">
        <v>0.26600000000000001</v>
      </c>
      <c r="AI660">
        <v>-1</v>
      </c>
    </row>
    <row r="661" spans="1:35" x14ac:dyDescent="0.25">
      <c r="A661">
        <v>259</v>
      </c>
      <c r="B661" t="s">
        <v>35</v>
      </c>
      <c r="C661">
        <v>3</v>
      </c>
      <c r="D661" t="s">
        <v>36</v>
      </c>
      <c r="E661">
        <v>4</v>
      </c>
      <c r="F661" t="s">
        <v>259</v>
      </c>
      <c r="G661">
        <v>4</v>
      </c>
      <c r="H661">
        <v>12</v>
      </c>
      <c r="I661">
        <v>1</v>
      </c>
      <c r="J661">
        <v>12</v>
      </c>
      <c r="K661">
        <v>2</v>
      </c>
      <c r="L661">
        <v>48</v>
      </c>
      <c r="M661">
        <v>2</v>
      </c>
      <c r="N661" t="s">
        <v>38</v>
      </c>
      <c r="O661" t="s">
        <v>39</v>
      </c>
      <c r="P661" t="s">
        <v>40</v>
      </c>
      <c r="Q661" t="s">
        <v>41</v>
      </c>
      <c r="R661" t="s">
        <v>42</v>
      </c>
      <c r="S661" t="s">
        <v>43</v>
      </c>
      <c r="T661" t="s">
        <v>44</v>
      </c>
      <c r="U661">
        <v>5</v>
      </c>
      <c r="V661" t="s">
        <v>45</v>
      </c>
      <c r="W661" t="s">
        <v>46</v>
      </c>
      <c r="X661" t="s">
        <v>47</v>
      </c>
      <c r="Y661">
        <v>2</v>
      </c>
      <c r="Z661">
        <v>1</v>
      </c>
      <c r="AA661">
        <v>44.1</v>
      </c>
      <c r="AB661">
        <v>-1</v>
      </c>
      <c r="AC661" t="s">
        <v>46</v>
      </c>
      <c r="AD661">
        <v>4</v>
      </c>
      <c r="AE661">
        <v>2</v>
      </c>
      <c r="AF661">
        <v>0</v>
      </c>
      <c r="AG661">
        <v>3.351</v>
      </c>
      <c r="AH661">
        <v>0.183</v>
      </c>
      <c r="AI661">
        <v>-1</v>
      </c>
    </row>
    <row r="662" spans="1:35" x14ac:dyDescent="0.25">
      <c r="A662">
        <v>259</v>
      </c>
      <c r="B662" t="s">
        <v>35</v>
      </c>
      <c r="C662">
        <v>3</v>
      </c>
      <c r="D662" t="s">
        <v>36</v>
      </c>
      <c r="E662">
        <v>4</v>
      </c>
      <c r="F662" t="s">
        <v>259</v>
      </c>
      <c r="G662">
        <v>4</v>
      </c>
      <c r="H662">
        <v>12</v>
      </c>
      <c r="I662">
        <v>1</v>
      </c>
      <c r="J662">
        <v>13</v>
      </c>
      <c r="K662">
        <v>11</v>
      </c>
      <c r="L662">
        <v>43</v>
      </c>
      <c r="M662">
        <v>2</v>
      </c>
      <c r="N662" t="s">
        <v>105</v>
      </c>
      <c r="O662" t="s">
        <v>39</v>
      </c>
      <c r="P662" t="s">
        <v>77</v>
      </c>
      <c r="Q662" t="s">
        <v>78</v>
      </c>
      <c r="R662" t="s">
        <v>91</v>
      </c>
      <c r="S662" t="s">
        <v>92</v>
      </c>
      <c r="T662" t="s">
        <v>80</v>
      </c>
      <c r="U662">
        <v>2</v>
      </c>
      <c r="V662" t="s">
        <v>106</v>
      </c>
      <c r="W662" t="s">
        <v>107</v>
      </c>
      <c r="X662" t="s">
        <v>108</v>
      </c>
      <c r="Y662">
        <v>2</v>
      </c>
      <c r="Z662">
        <v>1</v>
      </c>
      <c r="AA662">
        <v>44.1</v>
      </c>
      <c r="AB662">
        <v>-1</v>
      </c>
      <c r="AC662" t="s">
        <v>80</v>
      </c>
      <c r="AD662">
        <v>1</v>
      </c>
      <c r="AE662">
        <v>2</v>
      </c>
      <c r="AF662">
        <v>1</v>
      </c>
      <c r="AG662">
        <v>2.2989999999999999</v>
      </c>
      <c r="AH662">
        <v>0.114</v>
      </c>
      <c r="AI662">
        <v>-1</v>
      </c>
    </row>
    <row r="663" spans="1:35" x14ac:dyDescent="0.25">
      <c r="A663">
        <v>259</v>
      </c>
      <c r="B663" t="s">
        <v>35</v>
      </c>
      <c r="C663">
        <v>3</v>
      </c>
      <c r="D663" t="s">
        <v>36</v>
      </c>
      <c r="E663">
        <v>4</v>
      </c>
      <c r="F663" t="s">
        <v>259</v>
      </c>
      <c r="G663">
        <v>4</v>
      </c>
      <c r="H663">
        <v>12</v>
      </c>
      <c r="I663">
        <v>1</v>
      </c>
      <c r="J663">
        <v>14</v>
      </c>
      <c r="K663">
        <v>5</v>
      </c>
      <c r="L663">
        <v>37</v>
      </c>
      <c r="M663">
        <v>2</v>
      </c>
      <c r="N663" t="s">
        <v>97</v>
      </c>
      <c r="O663" t="s">
        <v>39</v>
      </c>
      <c r="P663" t="s">
        <v>49</v>
      </c>
      <c r="Q663" t="s">
        <v>50</v>
      </c>
      <c r="R663" t="s">
        <v>91</v>
      </c>
      <c r="S663" t="s">
        <v>92</v>
      </c>
      <c r="T663" t="s">
        <v>54</v>
      </c>
      <c r="U663">
        <v>2</v>
      </c>
      <c r="V663" t="s">
        <v>98</v>
      </c>
      <c r="W663" t="s">
        <v>99</v>
      </c>
      <c r="X663" t="s">
        <v>100</v>
      </c>
      <c r="Y663">
        <v>2</v>
      </c>
      <c r="Z663">
        <v>1</v>
      </c>
      <c r="AA663">
        <v>44.1</v>
      </c>
      <c r="AB663">
        <v>-1</v>
      </c>
      <c r="AC663" t="s">
        <v>54</v>
      </c>
      <c r="AD663">
        <v>1</v>
      </c>
      <c r="AE663">
        <v>2</v>
      </c>
      <c r="AF663">
        <v>1</v>
      </c>
      <c r="AG663">
        <v>2.6850000000000001</v>
      </c>
      <c r="AH663">
        <v>0.183</v>
      </c>
      <c r="AI663">
        <v>-1</v>
      </c>
    </row>
    <row r="664" spans="1:35" x14ac:dyDescent="0.25">
      <c r="A664">
        <v>259</v>
      </c>
      <c r="B664" t="s">
        <v>35</v>
      </c>
      <c r="C664">
        <v>3</v>
      </c>
      <c r="D664" t="s">
        <v>36</v>
      </c>
      <c r="E664">
        <v>4</v>
      </c>
      <c r="F664" t="s">
        <v>259</v>
      </c>
      <c r="G664">
        <v>4</v>
      </c>
      <c r="H664">
        <v>12</v>
      </c>
      <c r="I664">
        <v>1</v>
      </c>
      <c r="J664">
        <v>15</v>
      </c>
      <c r="K664">
        <v>4</v>
      </c>
      <c r="L664">
        <v>2</v>
      </c>
      <c r="M664">
        <v>1</v>
      </c>
      <c r="N664" t="s">
        <v>109</v>
      </c>
      <c r="O664" t="s">
        <v>39</v>
      </c>
      <c r="P664" t="s">
        <v>71</v>
      </c>
      <c r="Q664" t="s">
        <v>72</v>
      </c>
      <c r="R664" t="s">
        <v>91</v>
      </c>
      <c r="S664" t="s">
        <v>92</v>
      </c>
      <c r="T664" t="s">
        <v>94</v>
      </c>
      <c r="U664">
        <v>5</v>
      </c>
      <c r="V664" t="s">
        <v>73</v>
      </c>
      <c r="W664" t="s">
        <v>110</v>
      </c>
      <c r="X664" t="s">
        <v>111</v>
      </c>
      <c r="Y664">
        <v>1</v>
      </c>
      <c r="Z664">
        <v>1</v>
      </c>
      <c r="AA664">
        <v>44.1</v>
      </c>
      <c r="AB664">
        <v>-1</v>
      </c>
      <c r="AC664" t="s">
        <v>73</v>
      </c>
      <c r="AD664">
        <v>2</v>
      </c>
      <c r="AE664">
        <v>4</v>
      </c>
      <c r="AF664">
        <v>0</v>
      </c>
      <c r="AG664">
        <v>1.339</v>
      </c>
      <c r="AH664">
        <v>0.25</v>
      </c>
      <c r="AI664">
        <v>-1</v>
      </c>
    </row>
    <row r="665" spans="1:35" x14ac:dyDescent="0.25">
      <c r="A665">
        <v>259</v>
      </c>
      <c r="B665" t="s">
        <v>35</v>
      </c>
      <c r="C665">
        <v>3</v>
      </c>
      <c r="D665" t="s">
        <v>36</v>
      </c>
      <c r="E665">
        <v>4</v>
      </c>
      <c r="F665" t="s">
        <v>259</v>
      </c>
      <c r="G665">
        <v>4</v>
      </c>
      <c r="H665">
        <v>12</v>
      </c>
      <c r="I665">
        <v>1</v>
      </c>
      <c r="J665">
        <v>16</v>
      </c>
      <c r="K665">
        <v>19</v>
      </c>
      <c r="L665">
        <v>5</v>
      </c>
      <c r="M665">
        <v>1</v>
      </c>
      <c r="N665" t="s">
        <v>192</v>
      </c>
      <c r="O665" t="s">
        <v>39</v>
      </c>
      <c r="P665" t="s">
        <v>193</v>
      </c>
      <c r="Q665" t="s">
        <v>194</v>
      </c>
      <c r="R665" t="s">
        <v>51</v>
      </c>
      <c r="S665" t="s">
        <v>52</v>
      </c>
      <c r="T665" t="s">
        <v>144</v>
      </c>
      <c r="U665">
        <v>1</v>
      </c>
      <c r="V665" t="s">
        <v>53</v>
      </c>
      <c r="W665" t="s">
        <v>116</v>
      </c>
      <c r="X665" t="s">
        <v>161</v>
      </c>
      <c r="Y665">
        <v>2</v>
      </c>
      <c r="Z665">
        <v>1</v>
      </c>
      <c r="AA665">
        <v>44.1</v>
      </c>
      <c r="AB665">
        <v>-1</v>
      </c>
      <c r="AC665" t="s">
        <v>144</v>
      </c>
      <c r="AD665">
        <v>1</v>
      </c>
      <c r="AE665">
        <v>1</v>
      </c>
      <c r="AF665">
        <v>1</v>
      </c>
      <c r="AG665">
        <v>2.7919999999999998</v>
      </c>
      <c r="AH665">
        <v>0.15</v>
      </c>
      <c r="AI665">
        <v>-1</v>
      </c>
    </row>
    <row r="666" spans="1:35" x14ac:dyDescent="0.25">
      <c r="A666">
        <v>259</v>
      </c>
      <c r="B666" t="s">
        <v>35</v>
      </c>
      <c r="C666">
        <v>3</v>
      </c>
      <c r="D666" t="s">
        <v>36</v>
      </c>
      <c r="E666">
        <v>4</v>
      </c>
      <c r="F666" t="s">
        <v>259</v>
      </c>
      <c r="G666">
        <v>4</v>
      </c>
      <c r="H666">
        <v>12</v>
      </c>
      <c r="I666">
        <v>1</v>
      </c>
      <c r="J666">
        <v>17</v>
      </c>
      <c r="K666">
        <v>12</v>
      </c>
      <c r="L666">
        <v>44</v>
      </c>
      <c r="M666">
        <v>2</v>
      </c>
      <c r="N666" t="s">
        <v>76</v>
      </c>
      <c r="O666" t="s">
        <v>39</v>
      </c>
      <c r="P666" t="s">
        <v>77</v>
      </c>
      <c r="Q666" t="s">
        <v>78</v>
      </c>
      <c r="R666" t="s">
        <v>51</v>
      </c>
      <c r="S666" t="s">
        <v>52</v>
      </c>
      <c r="T666" t="s">
        <v>79</v>
      </c>
      <c r="U666">
        <v>1</v>
      </c>
      <c r="V666" t="s">
        <v>80</v>
      </c>
      <c r="W666" t="s">
        <v>81</v>
      </c>
      <c r="X666" t="s">
        <v>82</v>
      </c>
      <c r="Y666">
        <v>1</v>
      </c>
      <c r="Z666">
        <v>1</v>
      </c>
      <c r="AA666">
        <v>44.1</v>
      </c>
      <c r="AB666">
        <v>-1</v>
      </c>
      <c r="AC666" t="s">
        <v>79</v>
      </c>
      <c r="AD666">
        <v>1</v>
      </c>
      <c r="AE666">
        <v>1</v>
      </c>
      <c r="AF666">
        <v>1</v>
      </c>
      <c r="AG666">
        <v>3.0630000000000002</v>
      </c>
      <c r="AH666">
        <v>0.61299999999999999</v>
      </c>
      <c r="AI666">
        <v>-1</v>
      </c>
    </row>
    <row r="667" spans="1:35" x14ac:dyDescent="0.25">
      <c r="A667">
        <v>259</v>
      </c>
      <c r="B667" t="s">
        <v>35</v>
      </c>
      <c r="C667">
        <v>3</v>
      </c>
      <c r="D667" t="s">
        <v>36</v>
      </c>
      <c r="E667">
        <v>4</v>
      </c>
      <c r="F667" t="s">
        <v>259</v>
      </c>
      <c r="G667">
        <v>4</v>
      </c>
      <c r="H667">
        <v>12</v>
      </c>
      <c r="I667">
        <v>1</v>
      </c>
      <c r="J667">
        <v>18</v>
      </c>
      <c r="K667">
        <v>17</v>
      </c>
      <c r="L667">
        <v>41</v>
      </c>
      <c r="M667">
        <v>2</v>
      </c>
      <c r="N667" t="s">
        <v>198</v>
      </c>
      <c r="O667" t="s">
        <v>39</v>
      </c>
      <c r="P667" t="s">
        <v>199</v>
      </c>
      <c r="Q667" t="s">
        <v>200</v>
      </c>
      <c r="R667" t="s">
        <v>58</v>
      </c>
      <c r="S667" t="s">
        <v>59</v>
      </c>
      <c r="T667" t="s">
        <v>138</v>
      </c>
      <c r="U667">
        <v>4</v>
      </c>
      <c r="V667" t="s">
        <v>66</v>
      </c>
      <c r="W667" t="s">
        <v>121</v>
      </c>
      <c r="X667" t="s">
        <v>137</v>
      </c>
      <c r="Y667">
        <v>2</v>
      </c>
      <c r="Z667">
        <v>1</v>
      </c>
      <c r="AA667">
        <v>44.1</v>
      </c>
      <c r="AB667">
        <v>-1</v>
      </c>
      <c r="AC667" t="s">
        <v>121</v>
      </c>
      <c r="AD667">
        <v>4</v>
      </c>
      <c r="AE667">
        <v>5</v>
      </c>
      <c r="AF667">
        <v>0</v>
      </c>
      <c r="AG667">
        <v>2.17</v>
      </c>
      <c r="AH667">
        <v>2.5499999999999998</v>
      </c>
      <c r="AI667">
        <v>-1</v>
      </c>
    </row>
    <row r="668" spans="1:35" x14ac:dyDescent="0.25">
      <c r="A668">
        <v>259</v>
      </c>
      <c r="B668" t="s">
        <v>35</v>
      </c>
      <c r="C668">
        <v>3</v>
      </c>
      <c r="D668" t="s">
        <v>36</v>
      </c>
      <c r="E668">
        <v>4</v>
      </c>
      <c r="F668" t="s">
        <v>259</v>
      </c>
      <c r="G668">
        <v>4</v>
      </c>
      <c r="H668">
        <v>12</v>
      </c>
      <c r="I668">
        <v>1</v>
      </c>
      <c r="J668">
        <v>19</v>
      </c>
      <c r="K668">
        <v>13</v>
      </c>
      <c r="L668">
        <v>11</v>
      </c>
      <c r="M668">
        <v>1</v>
      </c>
      <c r="N668" t="s">
        <v>213</v>
      </c>
      <c r="O668" t="s">
        <v>39</v>
      </c>
      <c r="P668" t="s">
        <v>207</v>
      </c>
      <c r="Q668" t="s">
        <v>208</v>
      </c>
      <c r="R668" t="s">
        <v>91</v>
      </c>
      <c r="S668" t="s">
        <v>92</v>
      </c>
      <c r="T668" t="s">
        <v>106</v>
      </c>
      <c r="U668">
        <v>1</v>
      </c>
      <c r="V668" t="s">
        <v>131</v>
      </c>
      <c r="W668" t="s">
        <v>187</v>
      </c>
      <c r="X668" t="s">
        <v>214</v>
      </c>
      <c r="Y668">
        <v>1</v>
      </c>
      <c r="Z668">
        <v>1</v>
      </c>
      <c r="AA668">
        <v>44.1</v>
      </c>
      <c r="AB668">
        <v>-1</v>
      </c>
      <c r="AC668" t="s">
        <v>131</v>
      </c>
      <c r="AD668">
        <v>2</v>
      </c>
      <c r="AE668">
        <v>5</v>
      </c>
      <c r="AF668">
        <v>0</v>
      </c>
      <c r="AG668">
        <v>0.68100000000000005</v>
      </c>
      <c r="AH668">
        <v>1.7000000000000001E-2</v>
      </c>
      <c r="AI668">
        <v>-1</v>
      </c>
    </row>
    <row r="669" spans="1:35" x14ac:dyDescent="0.25">
      <c r="A669">
        <v>259</v>
      </c>
      <c r="B669" t="s">
        <v>35</v>
      </c>
      <c r="C669">
        <v>3</v>
      </c>
      <c r="D669" t="s">
        <v>36</v>
      </c>
      <c r="E669">
        <v>4</v>
      </c>
      <c r="F669" t="s">
        <v>259</v>
      </c>
      <c r="G669">
        <v>4</v>
      </c>
      <c r="H669">
        <v>12</v>
      </c>
      <c r="I669">
        <v>1</v>
      </c>
      <c r="J669">
        <v>20</v>
      </c>
      <c r="K669">
        <v>21</v>
      </c>
      <c r="L669">
        <v>45</v>
      </c>
      <c r="M669">
        <v>2</v>
      </c>
      <c r="N669" t="s">
        <v>210</v>
      </c>
      <c r="O669" t="s">
        <v>39</v>
      </c>
      <c r="P669" t="s">
        <v>190</v>
      </c>
      <c r="Q669" t="s">
        <v>191</v>
      </c>
      <c r="R669" t="s">
        <v>51</v>
      </c>
      <c r="S669" t="s">
        <v>52</v>
      </c>
      <c r="T669" t="s">
        <v>149</v>
      </c>
      <c r="U669">
        <v>1</v>
      </c>
      <c r="V669" t="s">
        <v>79</v>
      </c>
      <c r="W669" t="s">
        <v>211</v>
      </c>
      <c r="X669" t="s">
        <v>120</v>
      </c>
      <c r="Y669">
        <v>2</v>
      </c>
      <c r="Z669">
        <v>1</v>
      </c>
      <c r="AA669">
        <v>44.1</v>
      </c>
      <c r="AB669">
        <v>-1</v>
      </c>
      <c r="AC669" t="s">
        <v>149</v>
      </c>
      <c r="AD669">
        <v>1</v>
      </c>
      <c r="AE669">
        <v>1</v>
      </c>
      <c r="AF669">
        <v>1</v>
      </c>
      <c r="AG669">
        <v>3.4159999999999999</v>
      </c>
      <c r="AH669">
        <v>3.3000000000000002E-2</v>
      </c>
      <c r="AI669">
        <v>-1</v>
      </c>
    </row>
    <row r="670" spans="1:35" x14ac:dyDescent="0.25">
      <c r="A670">
        <v>259</v>
      </c>
      <c r="B670" t="s">
        <v>35</v>
      </c>
      <c r="C670">
        <v>3</v>
      </c>
      <c r="D670" t="s">
        <v>36</v>
      </c>
      <c r="E670">
        <v>4</v>
      </c>
      <c r="F670" t="s">
        <v>259</v>
      </c>
      <c r="G670">
        <v>4</v>
      </c>
      <c r="H670">
        <v>12</v>
      </c>
      <c r="I670">
        <v>1</v>
      </c>
      <c r="J670">
        <v>21</v>
      </c>
      <c r="K670">
        <v>18</v>
      </c>
      <c r="L670">
        <v>42</v>
      </c>
      <c r="M670">
        <v>2</v>
      </c>
      <c r="N670" t="s">
        <v>216</v>
      </c>
      <c r="O670" t="s">
        <v>39</v>
      </c>
      <c r="P670" t="s">
        <v>199</v>
      </c>
      <c r="Q670" t="s">
        <v>200</v>
      </c>
      <c r="R670" t="s">
        <v>91</v>
      </c>
      <c r="S670" t="s">
        <v>92</v>
      </c>
      <c r="T670" t="s">
        <v>98</v>
      </c>
      <c r="U670">
        <v>2</v>
      </c>
      <c r="V670" t="s">
        <v>138</v>
      </c>
      <c r="W670" t="s">
        <v>132</v>
      </c>
      <c r="X670" t="s">
        <v>128</v>
      </c>
      <c r="Y670">
        <v>1</v>
      </c>
      <c r="Z670">
        <v>1</v>
      </c>
      <c r="AA670">
        <v>44.1</v>
      </c>
      <c r="AB670">
        <v>-1</v>
      </c>
      <c r="AC670" t="s">
        <v>98</v>
      </c>
      <c r="AD670">
        <v>1</v>
      </c>
      <c r="AE670">
        <v>2</v>
      </c>
      <c r="AF670">
        <v>1</v>
      </c>
      <c r="AG670">
        <v>1.6419999999999999</v>
      </c>
      <c r="AH670">
        <v>3.0339999999999998</v>
      </c>
      <c r="AI670">
        <v>-1</v>
      </c>
    </row>
    <row r="671" spans="1:35" x14ac:dyDescent="0.25">
      <c r="A671">
        <v>259</v>
      </c>
      <c r="B671" t="s">
        <v>35</v>
      </c>
      <c r="C671">
        <v>3</v>
      </c>
      <c r="D671" t="s">
        <v>36</v>
      </c>
      <c r="E671">
        <v>4</v>
      </c>
      <c r="F671" t="s">
        <v>259</v>
      </c>
      <c r="G671">
        <v>4</v>
      </c>
      <c r="H671">
        <v>12</v>
      </c>
      <c r="I671">
        <v>1</v>
      </c>
      <c r="J671">
        <v>22</v>
      </c>
      <c r="K671">
        <v>1</v>
      </c>
      <c r="L671">
        <v>47</v>
      </c>
      <c r="M671">
        <v>2</v>
      </c>
      <c r="N671" t="s">
        <v>57</v>
      </c>
      <c r="O671" t="s">
        <v>39</v>
      </c>
      <c r="P671" t="s">
        <v>40</v>
      </c>
      <c r="Q671" t="s">
        <v>41</v>
      </c>
      <c r="R671" t="s">
        <v>58</v>
      </c>
      <c r="S671" t="s">
        <v>59</v>
      </c>
      <c r="T671" t="s">
        <v>60</v>
      </c>
      <c r="U671">
        <v>2</v>
      </c>
      <c r="V671" t="s">
        <v>44</v>
      </c>
      <c r="W671" t="s">
        <v>61</v>
      </c>
      <c r="X671" t="s">
        <v>62</v>
      </c>
      <c r="Y671">
        <v>1</v>
      </c>
      <c r="Z671">
        <v>1</v>
      </c>
      <c r="AA671">
        <v>44.1</v>
      </c>
      <c r="AB671">
        <v>-1</v>
      </c>
      <c r="AC671" t="s">
        <v>61</v>
      </c>
      <c r="AD671">
        <v>4</v>
      </c>
      <c r="AE671">
        <v>4</v>
      </c>
      <c r="AF671">
        <v>0</v>
      </c>
      <c r="AG671">
        <v>2.6469999999999998</v>
      </c>
      <c r="AH671">
        <v>3.0339999999999998</v>
      </c>
      <c r="AI671">
        <v>-1</v>
      </c>
    </row>
    <row r="672" spans="1:35" x14ac:dyDescent="0.25">
      <c r="A672">
        <v>259</v>
      </c>
      <c r="B672" t="s">
        <v>35</v>
      </c>
      <c r="C672">
        <v>3</v>
      </c>
      <c r="D672" t="s">
        <v>36</v>
      </c>
      <c r="E672">
        <v>4</v>
      </c>
      <c r="F672" t="s">
        <v>259</v>
      </c>
      <c r="G672">
        <v>4</v>
      </c>
      <c r="H672">
        <v>12</v>
      </c>
      <c r="I672">
        <v>1</v>
      </c>
      <c r="J672">
        <v>23</v>
      </c>
      <c r="K672">
        <v>3</v>
      </c>
      <c r="L672">
        <v>1</v>
      </c>
      <c r="M672">
        <v>1</v>
      </c>
      <c r="N672" t="s">
        <v>70</v>
      </c>
      <c r="O672" t="s">
        <v>39</v>
      </c>
      <c r="P672" t="s">
        <v>71</v>
      </c>
      <c r="Q672" t="s">
        <v>72</v>
      </c>
      <c r="R672" t="s">
        <v>58</v>
      </c>
      <c r="S672" t="s">
        <v>59</v>
      </c>
      <c r="T672" t="s">
        <v>73</v>
      </c>
      <c r="U672">
        <v>1</v>
      </c>
      <c r="V672" t="s">
        <v>60</v>
      </c>
      <c r="W672" t="s">
        <v>74</v>
      </c>
      <c r="X672" t="s">
        <v>75</v>
      </c>
      <c r="Y672">
        <v>2</v>
      </c>
      <c r="Z672">
        <v>1</v>
      </c>
      <c r="AA672">
        <v>44.1</v>
      </c>
      <c r="AB672">
        <v>-1</v>
      </c>
      <c r="AC672" t="s">
        <v>73</v>
      </c>
      <c r="AD672">
        <v>1</v>
      </c>
      <c r="AE672">
        <v>1</v>
      </c>
      <c r="AF672">
        <v>1</v>
      </c>
      <c r="AG672">
        <v>2.081</v>
      </c>
      <c r="AH672">
        <v>0.58299999999999996</v>
      </c>
      <c r="AI672">
        <v>-1</v>
      </c>
    </row>
    <row r="673" spans="1:35" x14ac:dyDescent="0.25">
      <c r="A673">
        <v>259</v>
      </c>
      <c r="B673" t="s">
        <v>35</v>
      </c>
      <c r="C673">
        <v>3</v>
      </c>
      <c r="D673" t="s">
        <v>36</v>
      </c>
      <c r="E673">
        <v>4</v>
      </c>
      <c r="F673" t="s">
        <v>259</v>
      </c>
      <c r="G673">
        <v>4</v>
      </c>
      <c r="H673">
        <v>12</v>
      </c>
      <c r="I673">
        <v>1</v>
      </c>
      <c r="J673">
        <v>24</v>
      </c>
      <c r="K673">
        <v>16</v>
      </c>
      <c r="L673">
        <v>8</v>
      </c>
      <c r="M673">
        <v>1</v>
      </c>
      <c r="N673" t="s">
        <v>195</v>
      </c>
      <c r="O673" t="s">
        <v>39</v>
      </c>
      <c r="P673" t="s">
        <v>196</v>
      </c>
      <c r="Q673" t="s">
        <v>197</v>
      </c>
      <c r="R673" t="s">
        <v>42</v>
      </c>
      <c r="S673" t="s">
        <v>43</v>
      </c>
      <c r="T673" t="s">
        <v>85</v>
      </c>
      <c r="U673">
        <v>1</v>
      </c>
      <c r="V673" t="s">
        <v>156</v>
      </c>
      <c r="W673" t="s">
        <v>119</v>
      </c>
      <c r="X673" t="s">
        <v>155</v>
      </c>
      <c r="Y673">
        <v>1</v>
      </c>
      <c r="Z673">
        <v>1</v>
      </c>
      <c r="AA673">
        <v>44.1</v>
      </c>
      <c r="AB673">
        <v>-1</v>
      </c>
      <c r="AC673" t="s">
        <v>85</v>
      </c>
      <c r="AD673">
        <v>1</v>
      </c>
      <c r="AE673">
        <v>1</v>
      </c>
      <c r="AF673">
        <v>1</v>
      </c>
      <c r="AG673">
        <v>0.85399999999999998</v>
      </c>
      <c r="AH673">
        <v>0.316</v>
      </c>
      <c r="AI673">
        <v>-1</v>
      </c>
    </row>
    <row r="674" spans="1:35" x14ac:dyDescent="0.25">
      <c r="A674">
        <v>259</v>
      </c>
      <c r="B674" t="s">
        <v>35</v>
      </c>
      <c r="C674">
        <v>3</v>
      </c>
      <c r="D674" t="s">
        <v>36</v>
      </c>
      <c r="E674">
        <v>4</v>
      </c>
      <c r="F674" t="s">
        <v>259</v>
      </c>
      <c r="G674">
        <v>4</v>
      </c>
      <c r="H674">
        <v>12</v>
      </c>
      <c r="I674">
        <v>1</v>
      </c>
      <c r="J674">
        <v>25</v>
      </c>
      <c r="K674">
        <v>38</v>
      </c>
      <c r="L674">
        <v>36</v>
      </c>
      <c r="M674">
        <v>1</v>
      </c>
      <c r="N674" t="s">
        <v>227</v>
      </c>
      <c r="O674" t="s">
        <v>113</v>
      </c>
      <c r="P674" t="s">
        <v>114</v>
      </c>
      <c r="Q674" t="s">
        <v>220</v>
      </c>
      <c r="R674" t="s">
        <v>114</v>
      </c>
      <c r="S674" t="s">
        <v>43</v>
      </c>
      <c r="T674" t="s">
        <v>116</v>
      </c>
      <c r="U674">
        <v>2</v>
      </c>
      <c r="V674" t="s">
        <v>179</v>
      </c>
      <c r="W674" t="s">
        <v>172</v>
      </c>
      <c r="X674" t="s">
        <v>211</v>
      </c>
      <c r="Y674">
        <v>1</v>
      </c>
      <c r="Z674">
        <v>1</v>
      </c>
      <c r="AA674">
        <v>44.1</v>
      </c>
      <c r="AB674">
        <v>-1</v>
      </c>
      <c r="AC674" t="s">
        <v>116</v>
      </c>
      <c r="AD674">
        <v>1</v>
      </c>
      <c r="AE674">
        <v>2</v>
      </c>
      <c r="AF674">
        <v>1</v>
      </c>
      <c r="AG674">
        <v>2.9350000000000001</v>
      </c>
      <c r="AH674">
        <v>0.34699999999999998</v>
      </c>
      <c r="AI674">
        <v>-1</v>
      </c>
    </row>
    <row r="675" spans="1:35" x14ac:dyDescent="0.25">
      <c r="A675">
        <v>259</v>
      </c>
      <c r="B675" t="s">
        <v>35</v>
      </c>
      <c r="C675">
        <v>3</v>
      </c>
      <c r="D675" t="s">
        <v>36</v>
      </c>
      <c r="E675">
        <v>4</v>
      </c>
      <c r="F675" t="s">
        <v>259</v>
      </c>
      <c r="G675">
        <v>4</v>
      </c>
      <c r="H675">
        <v>12</v>
      </c>
      <c r="I675">
        <v>1</v>
      </c>
      <c r="J675">
        <v>26</v>
      </c>
      <c r="K675">
        <v>47</v>
      </c>
      <c r="L675">
        <v>33</v>
      </c>
      <c r="M675">
        <v>1</v>
      </c>
      <c r="N675" t="s">
        <v>223</v>
      </c>
      <c r="O675" t="s">
        <v>113</v>
      </c>
      <c r="P675" t="s">
        <v>114</v>
      </c>
      <c r="Q675" t="s">
        <v>224</v>
      </c>
      <c r="R675" t="s">
        <v>114</v>
      </c>
      <c r="S675" t="s">
        <v>59</v>
      </c>
      <c r="T675" t="s">
        <v>56</v>
      </c>
      <c r="U675">
        <v>1</v>
      </c>
      <c r="V675" t="s">
        <v>95</v>
      </c>
      <c r="W675" t="s">
        <v>44</v>
      </c>
      <c r="X675" t="s">
        <v>68</v>
      </c>
      <c r="Y675">
        <v>2</v>
      </c>
      <c r="Z675">
        <v>1</v>
      </c>
      <c r="AA675">
        <v>44.1</v>
      </c>
      <c r="AB675">
        <v>-1</v>
      </c>
      <c r="AC675" t="s">
        <v>44</v>
      </c>
      <c r="AD675">
        <v>4</v>
      </c>
      <c r="AE675">
        <v>2</v>
      </c>
      <c r="AF675">
        <v>0</v>
      </c>
      <c r="AG675">
        <v>3.2749999999999999</v>
      </c>
      <c r="AH675">
        <v>0.3</v>
      </c>
      <c r="AI675">
        <v>-1</v>
      </c>
    </row>
    <row r="676" spans="1:35" x14ac:dyDescent="0.25">
      <c r="A676">
        <v>259</v>
      </c>
      <c r="B676" t="s">
        <v>35</v>
      </c>
      <c r="C676">
        <v>3</v>
      </c>
      <c r="D676" t="s">
        <v>36</v>
      </c>
      <c r="E676">
        <v>4</v>
      </c>
      <c r="F676" t="s">
        <v>259</v>
      </c>
      <c r="G676">
        <v>4</v>
      </c>
      <c r="H676">
        <v>12</v>
      </c>
      <c r="I676">
        <v>1</v>
      </c>
      <c r="J676">
        <v>27</v>
      </c>
      <c r="K676">
        <v>43</v>
      </c>
      <c r="L676">
        <v>29</v>
      </c>
      <c r="M676">
        <v>1</v>
      </c>
      <c r="N676" t="s">
        <v>217</v>
      </c>
      <c r="O676" t="s">
        <v>113</v>
      </c>
      <c r="P676" t="s">
        <v>114</v>
      </c>
      <c r="Q676" t="s">
        <v>218</v>
      </c>
      <c r="R676" t="s">
        <v>114</v>
      </c>
      <c r="S676" t="s">
        <v>52</v>
      </c>
      <c r="T676" t="s">
        <v>214</v>
      </c>
      <c r="U676">
        <v>4</v>
      </c>
      <c r="V676" t="s">
        <v>74</v>
      </c>
      <c r="W676" t="s">
        <v>204</v>
      </c>
      <c r="X676" t="s">
        <v>94</v>
      </c>
      <c r="Y676">
        <v>2</v>
      </c>
      <c r="Z676">
        <v>1</v>
      </c>
      <c r="AA676">
        <v>44.1</v>
      </c>
      <c r="AB676">
        <v>-1</v>
      </c>
      <c r="AC676" t="s">
        <v>214</v>
      </c>
      <c r="AD676">
        <v>1</v>
      </c>
      <c r="AE676">
        <v>4</v>
      </c>
      <c r="AF676">
        <v>1</v>
      </c>
      <c r="AG676">
        <v>1.595</v>
      </c>
      <c r="AH676">
        <v>0.216</v>
      </c>
      <c r="AI676">
        <v>-1</v>
      </c>
    </row>
    <row r="677" spans="1:35" x14ac:dyDescent="0.25">
      <c r="A677">
        <v>259</v>
      </c>
      <c r="B677" t="s">
        <v>35</v>
      </c>
      <c r="C677">
        <v>3</v>
      </c>
      <c r="D677" t="s">
        <v>36</v>
      </c>
      <c r="E677">
        <v>4</v>
      </c>
      <c r="F677" t="s">
        <v>259</v>
      </c>
      <c r="G677">
        <v>4</v>
      </c>
      <c r="H677">
        <v>12</v>
      </c>
      <c r="I677">
        <v>1</v>
      </c>
      <c r="J677">
        <v>28</v>
      </c>
      <c r="K677">
        <v>34</v>
      </c>
      <c r="L677">
        <v>28</v>
      </c>
      <c r="M677">
        <v>1</v>
      </c>
      <c r="N677" t="s">
        <v>117</v>
      </c>
      <c r="O677" t="s">
        <v>113</v>
      </c>
      <c r="P677" t="s">
        <v>114</v>
      </c>
      <c r="Q677" t="s">
        <v>118</v>
      </c>
      <c r="R677" t="s">
        <v>114</v>
      </c>
      <c r="S677" t="s">
        <v>52</v>
      </c>
      <c r="T677" t="s">
        <v>119</v>
      </c>
      <c r="U677">
        <v>1</v>
      </c>
      <c r="V677" t="s">
        <v>120</v>
      </c>
      <c r="W677" t="s">
        <v>73</v>
      </c>
      <c r="X677" t="s">
        <v>121</v>
      </c>
      <c r="Y677">
        <v>1</v>
      </c>
      <c r="Z677">
        <v>1</v>
      </c>
      <c r="AA677">
        <v>44.1</v>
      </c>
      <c r="AB677">
        <v>-1</v>
      </c>
      <c r="AC677" t="s">
        <v>120</v>
      </c>
      <c r="AD677">
        <v>2</v>
      </c>
      <c r="AE677">
        <v>2</v>
      </c>
      <c r="AF677">
        <v>0</v>
      </c>
      <c r="AG677">
        <v>2.359</v>
      </c>
      <c r="AH677">
        <v>3.3000000000000002E-2</v>
      </c>
      <c r="AI677">
        <v>-1</v>
      </c>
    </row>
    <row r="678" spans="1:35" x14ac:dyDescent="0.25">
      <c r="A678">
        <v>259</v>
      </c>
      <c r="B678" t="s">
        <v>35</v>
      </c>
      <c r="C678">
        <v>3</v>
      </c>
      <c r="D678" t="s">
        <v>36</v>
      </c>
      <c r="E678">
        <v>4</v>
      </c>
      <c r="F678" t="s">
        <v>259</v>
      </c>
      <c r="G678">
        <v>4</v>
      </c>
      <c r="H678">
        <v>12</v>
      </c>
      <c r="I678">
        <v>1</v>
      </c>
      <c r="J678">
        <v>29</v>
      </c>
      <c r="K678">
        <v>25</v>
      </c>
      <c r="L678">
        <v>71</v>
      </c>
      <c r="M678">
        <v>2</v>
      </c>
      <c r="N678" t="s">
        <v>143</v>
      </c>
      <c r="O678" t="s">
        <v>113</v>
      </c>
      <c r="P678" t="s">
        <v>114</v>
      </c>
      <c r="Q678" t="s">
        <v>115</v>
      </c>
      <c r="R678" t="s">
        <v>114</v>
      </c>
      <c r="S678" t="s">
        <v>59</v>
      </c>
      <c r="T678" t="s">
        <v>46</v>
      </c>
      <c r="U678">
        <v>2</v>
      </c>
      <c r="V678" t="s">
        <v>104</v>
      </c>
      <c r="W678" t="s">
        <v>144</v>
      </c>
      <c r="X678" t="s">
        <v>86</v>
      </c>
      <c r="Y678">
        <v>1</v>
      </c>
      <c r="Z678">
        <v>1</v>
      </c>
      <c r="AA678">
        <v>44.1</v>
      </c>
      <c r="AB678">
        <v>-1</v>
      </c>
      <c r="AC678" t="s">
        <v>104</v>
      </c>
      <c r="AD678">
        <v>2</v>
      </c>
      <c r="AE678">
        <v>1</v>
      </c>
      <c r="AF678">
        <v>0</v>
      </c>
      <c r="AG678">
        <v>2.7490000000000001</v>
      </c>
      <c r="AH678">
        <v>0.1</v>
      </c>
      <c r="AI678">
        <v>-1</v>
      </c>
    </row>
    <row r="679" spans="1:35" x14ac:dyDescent="0.25">
      <c r="A679">
        <v>259</v>
      </c>
      <c r="B679" t="s">
        <v>35</v>
      </c>
      <c r="C679">
        <v>3</v>
      </c>
      <c r="D679" t="s">
        <v>36</v>
      </c>
      <c r="E679">
        <v>4</v>
      </c>
      <c r="F679" t="s">
        <v>259</v>
      </c>
      <c r="G679">
        <v>4</v>
      </c>
      <c r="H679">
        <v>12</v>
      </c>
      <c r="I679">
        <v>1</v>
      </c>
      <c r="J679">
        <v>30</v>
      </c>
      <c r="K679">
        <v>42</v>
      </c>
      <c r="L679">
        <v>66</v>
      </c>
      <c r="M679">
        <v>2</v>
      </c>
      <c r="N679" t="s">
        <v>229</v>
      </c>
      <c r="O679" t="s">
        <v>113</v>
      </c>
      <c r="P679" t="s">
        <v>114</v>
      </c>
      <c r="Q679" t="s">
        <v>226</v>
      </c>
      <c r="R679" t="s">
        <v>114</v>
      </c>
      <c r="S679" t="s">
        <v>92</v>
      </c>
      <c r="T679" t="s">
        <v>209</v>
      </c>
      <c r="U679">
        <v>4</v>
      </c>
      <c r="V679" t="s">
        <v>87</v>
      </c>
      <c r="W679" t="s">
        <v>161</v>
      </c>
      <c r="X679" t="s">
        <v>102</v>
      </c>
      <c r="Y679">
        <v>1</v>
      </c>
      <c r="Z679">
        <v>1</v>
      </c>
      <c r="AA679">
        <v>44.1</v>
      </c>
      <c r="AB679">
        <v>-1</v>
      </c>
      <c r="AC679" t="s">
        <v>209</v>
      </c>
      <c r="AD679">
        <v>1</v>
      </c>
      <c r="AE679">
        <v>4</v>
      </c>
      <c r="AF679">
        <v>1</v>
      </c>
      <c r="AG679">
        <v>2.9129999999999998</v>
      </c>
      <c r="AH679">
        <v>0.216</v>
      </c>
      <c r="AI679">
        <v>-1</v>
      </c>
    </row>
    <row r="680" spans="1:35" x14ac:dyDescent="0.25">
      <c r="A680">
        <v>259</v>
      </c>
      <c r="B680" t="s">
        <v>35</v>
      </c>
      <c r="C680">
        <v>3</v>
      </c>
      <c r="D680" t="s">
        <v>36</v>
      </c>
      <c r="E680">
        <v>4</v>
      </c>
      <c r="F680" t="s">
        <v>259</v>
      </c>
      <c r="G680">
        <v>4</v>
      </c>
      <c r="H680">
        <v>12</v>
      </c>
      <c r="I680">
        <v>1</v>
      </c>
      <c r="J680">
        <v>31</v>
      </c>
      <c r="K680">
        <v>39</v>
      </c>
      <c r="L680">
        <v>31</v>
      </c>
      <c r="M680">
        <v>1</v>
      </c>
      <c r="N680" t="s">
        <v>230</v>
      </c>
      <c r="O680" t="s">
        <v>113</v>
      </c>
      <c r="P680" t="s">
        <v>114</v>
      </c>
      <c r="Q680" t="s">
        <v>231</v>
      </c>
      <c r="R680" t="s">
        <v>114</v>
      </c>
      <c r="S680" t="s">
        <v>59</v>
      </c>
      <c r="T680" t="s">
        <v>162</v>
      </c>
      <c r="U680">
        <v>2</v>
      </c>
      <c r="V680" t="s">
        <v>111</v>
      </c>
      <c r="W680" t="s">
        <v>166</v>
      </c>
      <c r="X680" t="s">
        <v>79</v>
      </c>
      <c r="Y680">
        <v>1</v>
      </c>
      <c r="Z680">
        <v>1</v>
      </c>
      <c r="AA680">
        <v>44.1</v>
      </c>
      <c r="AB680">
        <v>-1</v>
      </c>
      <c r="AC680" t="s">
        <v>111</v>
      </c>
      <c r="AD680">
        <v>2</v>
      </c>
      <c r="AE680">
        <v>5</v>
      </c>
      <c r="AF680">
        <v>0</v>
      </c>
      <c r="AG680">
        <v>3.0139999999999998</v>
      </c>
      <c r="AH680">
        <v>0.33300000000000002</v>
      </c>
      <c r="AI680">
        <v>-1</v>
      </c>
    </row>
    <row r="681" spans="1:35" x14ac:dyDescent="0.25">
      <c r="A681">
        <v>259</v>
      </c>
      <c r="B681" t="s">
        <v>35</v>
      </c>
      <c r="C681">
        <v>3</v>
      </c>
      <c r="D681" t="s">
        <v>36</v>
      </c>
      <c r="E681">
        <v>4</v>
      </c>
      <c r="F681" t="s">
        <v>259</v>
      </c>
      <c r="G681">
        <v>4</v>
      </c>
      <c r="H681">
        <v>12</v>
      </c>
      <c r="I681">
        <v>1</v>
      </c>
      <c r="J681">
        <v>32</v>
      </c>
      <c r="K681">
        <v>32</v>
      </c>
      <c r="L681">
        <v>64</v>
      </c>
      <c r="M681">
        <v>2</v>
      </c>
      <c r="N681" t="s">
        <v>133</v>
      </c>
      <c r="O681" t="s">
        <v>113</v>
      </c>
      <c r="P681" t="s">
        <v>114</v>
      </c>
      <c r="Q681" t="s">
        <v>134</v>
      </c>
      <c r="R681" t="s">
        <v>114</v>
      </c>
      <c r="S681" t="s">
        <v>43</v>
      </c>
      <c r="T681" t="s">
        <v>100</v>
      </c>
      <c r="U681">
        <v>2</v>
      </c>
      <c r="V681" t="s">
        <v>107</v>
      </c>
      <c r="W681" t="s">
        <v>75</v>
      </c>
      <c r="X681" t="s">
        <v>53</v>
      </c>
      <c r="Y681">
        <v>2</v>
      </c>
      <c r="Z681">
        <v>1</v>
      </c>
      <c r="AA681">
        <v>44.1</v>
      </c>
      <c r="AB681">
        <v>-1</v>
      </c>
      <c r="AC681" t="s">
        <v>100</v>
      </c>
      <c r="AD681">
        <v>1</v>
      </c>
      <c r="AE681">
        <v>2</v>
      </c>
      <c r="AF681">
        <v>1</v>
      </c>
      <c r="AG681">
        <v>0.872</v>
      </c>
      <c r="AH681">
        <v>3.0339999999999998</v>
      </c>
      <c r="AI681">
        <v>-1</v>
      </c>
    </row>
    <row r="682" spans="1:35" x14ac:dyDescent="0.25">
      <c r="A682">
        <v>259</v>
      </c>
      <c r="B682" t="s">
        <v>35</v>
      </c>
      <c r="C682">
        <v>3</v>
      </c>
      <c r="D682" t="s">
        <v>36</v>
      </c>
      <c r="E682">
        <v>4</v>
      </c>
      <c r="F682" t="s">
        <v>259</v>
      </c>
      <c r="G682">
        <v>4</v>
      </c>
      <c r="H682">
        <v>12</v>
      </c>
      <c r="I682">
        <v>1</v>
      </c>
      <c r="J682">
        <v>33</v>
      </c>
      <c r="K682">
        <v>36</v>
      </c>
      <c r="L682">
        <v>68</v>
      </c>
      <c r="M682">
        <v>2</v>
      </c>
      <c r="N682" t="s">
        <v>135</v>
      </c>
      <c r="O682" t="s">
        <v>113</v>
      </c>
      <c r="P682" t="s">
        <v>114</v>
      </c>
      <c r="Q682" t="s">
        <v>136</v>
      </c>
      <c r="R682" t="s">
        <v>114</v>
      </c>
      <c r="S682" t="s">
        <v>52</v>
      </c>
      <c r="T682" t="s">
        <v>74</v>
      </c>
      <c r="U682">
        <v>1</v>
      </c>
      <c r="V682" t="s">
        <v>137</v>
      </c>
      <c r="W682" t="s">
        <v>138</v>
      </c>
      <c r="X682" t="s">
        <v>139</v>
      </c>
      <c r="Y682">
        <v>1</v>
      </c>
      <c r="Z682">
        <v>1</v>
      </c>
      <c r="AA682">
        <v>44.1</v>
      </c>
      <c r="AB682">
        <v>-1</v>
      </c>
      <c r="AC682" t="s">
        <v>74</v>
      </c>
      <c r="AD682">
        <v>1</v>
      </c>
      <c r="AE682">
        <v>1</v>
      </c>
      <c r="AF682">
        <v>1</v>
      </c>
      <c r="AG682">
        <v>3.98</v>
      </c>
      <c r="AH682">
        <v>3.03</v>
      </c>
      <c r="AI682">
        <v>-1</v>
      </c>
    </row>
    <row r="683" spans="1:35" x14ac:dyDescent="0.25">
      <c r="A683">
        <v>259</v>
      </c>
      <c r="B683" t="s">
        <v>35</v>
      </c>
      <c r="C683">
        <v>3</v>
      </c>
      <c r="D683" t="s">
        <v>36</v>
      </c>
      <c r="E683">
        <v>4</v>
      </c>
      <c r="F683" t="s">
        <v>259</v>
      </c>
      <c r="G683">
        <v>4</v>
      </c>
      <c r="H683">
        <v>12</v>
      </c>
      <c r="I683">
        <v>1</v>
      </c>
      <c r="J683">
        <v>34</v>
      </c>
      <c r="K683">
        <v>44</v>
      </c>
      <c r="L683">
        <v>30</v>
      </c>
      <c r="M683">
        <v>1</v>
      </c>
      <c r="N683" t="s">
        <v>233</v>
      </c>
      <c r="O683" t="s">
        <v>113</v>
      </c>
      <c r="P683" t="s">
        <v>114</v>
      </c>
      <c r="Q683" t="s">
        <v>218</v>
      </c>
      <c r="R683" t="s">
        <v>114</v>
      </c>
      <c r="S683" t="s">
        <v>43</v>
      </c>
      <c r="T683" t="s">
        <v>107</v>
      </c>
      <c r="U683">
        <v>5</v>
      </c>
      <c r="V683" t="s">
        <v>214</v>
      </c>
      <c r="W683" t="s">
        <v>156</v>
      </c>
      <c r="X683" t="s">
        <v>103</v>
      </c>
      <c r="Y683">
        <v>1</v>
      </c>
      <c r="Z683">
        <v>1</v>
      </c>
      <c r="AA683">
        <v>44.1</v>
      </c>
      <c r="AB683">
        <v>-1</v>
      </c>
      <c r="AC683" t="s">
        <v>156</v>
      </c>
      <c r="AD683">
        <v>4</v>
      </c>
      <c r="AE683">
        <v>1</v>
      </c>
      <c r="AF683">
        <v>0</v>
      </c>
      <c r="AG683">
        <v>2.4830000000000001</v>
      </c>
      <c r="AH683">
        <v>1.117</v>
      </c>
      <c r="AI683">
        <v>-1</v>
      </c>
    </row>
    <row r="684" spans="1:35" x14ac:dyDescent="0.25">
      <c r="A684">
        <v>259</v>
      </c>
      <c r="B684" t="s">
        <v>35</v>
      </c>
      <c r="C684">
        <v>3</v>
      </c>
      <c r="D684" t="s">
        <v>36</v>
      </c>
      <c r="E684">
        <v>4</v>
      </c>
      <c r="F684" t="s">
        <v>259</v>
      </c>
      <c r="G684">
        <v>4</v>
      </c>
      <c r="H684">
        <v>12</v>
      </c>
      <c r="I684">
        <v>1</v>
      </c>
      <c r="J684">
        <v>35</v>
      </c>
      <c r="K684">
        <v>41</v>
      </c>
      <c r="L684">
        <v>65</v>
      </c>
      <c r="M684">
        <v>2</v>
      </c>
      <c r="N684" t="s">
        <v>225</v>
      </c>
      <c r="O684" t="s">
        <v>113</v>
      </c>
      <c r="P684" t="s">
        <v>114</v>
      </c>
      <c r="Q684" t="s">
        <v>226</v>
      </c>
      <c r="R684" t="s">
        <v>114</v>
      </c>
      <c r="S684" t="s">
        <v>59</v>
      </c>
      <c r="T684" t="s">
        <v>87</v>
      </c>
      <c r="U684">
        <v>1</v>
      </c>
      <c r="V684" t="s">
        <v>162</v>
      </c>
      <c r="W684" t="s">
        <v>80</v>
      </c>
      <c r="X684" t="s">
        <v>187</v>
      </c>
      <c r="Y684">
        <v>2</v>
      </c>
      <c r="Z684">
        <v>1</v>
      </c>
      <c r="AA684">
        <v>44.1</v>
      </c>
      <c r="AB684">
        <v>-1</v>
      </c>
      <c r="AC684" t="s">
        <v>162</v>
      </c>
      <c r="AD684">
        <v>3</v>
      </c>
      <c r="AE684">
        <v>5</v>
      </c>
      <c r="AF684">
        <v>0</v>
      </c>
      <c r="AG684">
        <v>3.05</v>
      </c>
      <c r="AH684">
        <v>0.316</v>
      </c>
      <c r="AI684">
        <v>-1</v>
      </c>
    </row>
    <row r="685" spans="1:35" x14ac:dyDescent="0.25">
      <c r="A685">
        <v>259</v>
      </c>
      <c r="B685" t="s">
        <v>35</v>
      </c>
      <c r="C685">
        <v>3</v>
      </c>
      <c r="D685" t="s">
        <v>36</v>
      </c>
      <c r="E685">
        <v>4</v>
      </c>
      <c r="F685" t="s">
        <v>259</v>
      </c>
      <c r="G685">
        <v>4</v>
      </c>
      <c r="H685">
        <v>12</v>
      </c>
      <c r="I685">
        <v>1</v>
      </c>
      <c r="J685">
        <v>36</v>
      </c>
      <c r="K685">
        <v>33</v>
      </c>
      <c r="L685">
        <v>27</v>
      </c>
      <c r="M685">
        <v>1</v>
      </c>
      <c r="N685" t="s">
        <v>129</v>
      </c>
      <c r="O685" t="s">
        <v>113</v>
      </c>
      <c r="P685" t="s">
        <v>114</v>
      </c>
      <c r="Q685" t="s">
        <v>118</v>
      </c>
      <c r="R685" t="s">
        <v>114</v>
      </c>
      <c r="S685" t="s">
        <v>92</v>
      </c>
      <c r="T685" t="s">
        <v>120</v>
      </c>
      <c r="U685">
        <v>1</v>
      </c>
      <c r="V685" t="s">
        <v>130</v>
      </c>
      <c r="W685" t="s">
        <v>131</v>
      </c>
      <c r="X685" t="s">
        <v>132</v>
      </c>
      <c r="Y685">
        <v>2</v>
      </c>
      <c r="Z685">
        <v>1</v>
      </c>
      <c r="AA685">
        <v>44.1</v>
      </c>
      <c r="AB685">
        <v>-1</v>
      </c>
      <c r="AC685" t="s">
        <v>120</v>
      </c>
      <c r="AD685">
        <v>1</v>
      </c>
      <c r="AE685">
        <v>1</v>
      </c>
      <c r="AF685">
        <v>1</v>
      </c>
      <c r="AG685">
        <v>2.2490000000000001</v>
      </c>
      <c r="AH685">
        <v>9.9000000000000005E-2</v>
      </c>
      <c r="AI685">
        <v>-1</v>
      </c>
    </row>
    <row r="686" spans="1:35" x14ac:dyDescent="0.25">
      <c r="A686">
        <v>259</v>
      </c>
      <c r="B686" t="s">
        <v>35</v>
      </c>
      <c r="C686">
        <v>3</v>
      </c>
      <c r="D686" t="s">
        <v>36</v>
      </c>
      <c r="E686">
        <v>4</v>
      </c>
      <c r="F686" t="s">
        <v>259</v>
      </c>
      <c r="G686">
        <v>4</v>
      </c>
      <c r="H686">
        <v>12</v>
      </c>
      <c r="I686">
        <v>1</v>
      </c>
      <c r="J686">
        <v>37</v>
      </c>
      <c r="K686">
        <v>45</v>
      </c>
      <c r="L686">
        <v>69</v>
      </c>
      <c r="M686">
        <v>2</v>
      </c>
      <c r="N686" t="s">
        <v>221</v>
      </c>
      <c r="O686" t="s">
        <v>113</v>
      </c>
      <c r="P686" t="s">
        <v>114</v>
      </c>
      <c r="Q686" t="s">
        <v>222</v>
      </c>
      <c r="R686" t="s">
        <v>114</v>
      </c>
      <c r="S686" t="s">
        <v>52</v>
      </c>
      <c r="T686" t="s">
        <v>69</v>
      </c>
      <c r="U686">
        <v>5</v>
      </c>
      <c r="V686" t="s">
        <v>119</v>
      </c>
      <c r="W686" t="s">
        <v>155</v>
      </c>
      <c r="X686" t="s">
        <v>185</v>
      </c>
      <c r="Y686">
        <v>2</v>
      </c>
      <c r="Z686">
        <v>1</v>
      </c>
      <c r="AA686">
        <v>44.1</v>
      </c>
      <c r="AB686">
        <v>-1</v>
      </c>
      <c r="AC686" t="s">
        <v>69</v>
      </c>
      <c r="AD686">
        <v>1</v>
      </c>
      <c r="AE686">
        <v>5</v>
      </c>
      <c r="AF686">
        <v>1</v>
      </c>
      <c r="AG686">
        <v>0.79200000000000004</v>
      </c>
      <c r="AH686">
        <v>0.33300000000000002</v>
      </c>
      <c r="AI686">
        <v>-1</v>
      </c>
    </row>
    <row r="687" spans="1:35" x14ac:dyDescent="0.25">
      <c r="A687">
        <v>259</v>
      </c>
      <c r="B687" t="s">
        <v>35</v>
      </c>
      <c r="C687">
        <v>3</v>
      </c>
      <c r="D687" t="s">
        <v>36</v>
      </c>
      <c r="E687">
        <v>4</v>
      </c>
      <c r="F687" t="s">
        <v>259</v>
      </c>
      <c r="G687">
        <v>4</v>
      </c>
      <c r="H687">
        <v>12</v>
      </c>
      <c r="I687">
        <v>1</v>
      </c>
      <c r="J687">
        <v>38</v>
      </c>
      <c r="K687">
        <v>40</v>
      </c>
      <c r="L687">
        <v>32</v>
      </c>
      <c r="M687">
        <v>1</v>
      </c>
      <c r="N687" t="s">
        <v>234</v>
      </c>
      <c r="O687" t="s">
        <v>113</v>
      </c>
      <c r="P687" t="s">
        <v>114</v>
      </c>
      <c r="Q687" t="s">
        <v>231</v>
      </c>
      <c r="R687" t="s">
        <v>114</v>
      </c>
      <c r="S687" t="s">
        <v>43</v>
      </c>
      <c r="T687" t="s">
        <v>111</v>
      </c>
      <c r="U687">
        <v>5</v>
      </c>
      <c r="V687" t="s">
        <v>81</v>
      </c>
      <c r="W687" t="s">
        <v>62</v>
      </c>
      <c r="X687" t="s">
        <v>98</v>
      </c>
      <c r="Y687">
        <v>2</v>
      </c>
      <c r="Z687">
        <v>1</v>
      </c>
      <c r="AA687">
        <v>44.1</v>
      </c>
      <c r="AB687">
        <v>-1</v>
      </c>
      <c r="AC687" t="s">
        <v>98</v>
      </c>
      <c r="AD687">
        <v>4</v>
      </c>
      <c r="AE687">
        <v>1</v>
      </c>
      <c r="AF687">
        <v>0</v>
      </c>
      <c r="AG687">
        <v>2.1709999999999998</v>
      </c>
      <c r="AH687">
        <v>1.113</v>
      </c>
      <c r="AI687">
        <v>-1</v>
      </c>
    </row>
    <row r="688" spans="1:35" x14ac:dyDescent="0.25">
      <c r="A688">
        <v>259</v>
      </c>
      <c r="B688" t="s">
        <v>35</v>
      </c>
      <c r="C688">
        <v>3</v>
      </c>
      <c r="D688" t="s">
        <v>36</v>
      </c>
      <c r="E688">
        <v>4</v>
      </c>
      <c r="F688" t="s">
        <v>259</v>
      </c>
      <c r="G688">
        <v>4</v>
      </c>
      <c r="H688">
        <v>12</v>
      </c>
      <c r="I688">
        <v>1</v>
      </c>
      <c r="J688">
        <v>39</v>
      </c>
      <c r="K688">
        <v>35</v>
      </c>
      <c r="L688">
        <v>67</v>
      </c>
      <c r="M688">
        <v>2</v>
      </c>
      <c r="N688" t="s">
        <v>145</v>
      </c>
      <c r="O688" t="s">
        <v>113</v>
      </c>
      <c r="P688" t="s">
        <v>114</v>
      </c>
      <c r="Q688" t="s">
        <v>136</v>
      </c>
      <c r="R688" t="s">
        <v>114</v>
      </c>
      <c r="S688" t="s">
        <v>92</v>
      </c>
      <c r="T688" t="s">
        <v>137</v>
      </c>
      <c r="U688">
        <v>5</v>
      </c>
      <c r="V688" t="s">
        <v>127</v>
      </c>
      <c r="W688" t="s">
        <v>146</v>
      </c>
      <c r="X688" t="s">
        <v>147</v>
      </c>
      <c r="Y688">
        <v>2</v>
      </c>
      <c r="Z688">
        <v>1</v>
      </c>
      <c r="AA688">
        <v>44.1</v>
      </c>
      <c r="AB688">
        <v>-1</v>
      </c>
      <c r="AC688" t="s">
        <v>137</v>
      </c>
      <c r="AD688">
        <v>1</v>
      </c>
      <c r="AE688">
        <v>5</v>
      </c>
      <c r="AF688">
        <v>1</v>
      </c>
      <c r="AG688">
        <v>1.57</v>
      </c>
      <c r="AH688">
        <v>0.183</v>
      </c>
      <c r="AI688">
        <v>-1</v>
      </c>
    </row>
    <row r="689" spans="1:35" x14ac:dyDescent="0.25">
      <c r="A689">
        <v>259</v>
      </c>
      <c r="B689" t="s">
        <v>35</v>
      </c>
      <c r="C689">
        <v>3</v>
      </c>
      <c r="D689" t="s">
        <v>36</v>
      </c>
      <c r="E689">
        <v>4</v>
      </c>
      <c r="F689" t="s">
        <v>259</v>
      </c>
      <c r="G689">
        <v>4</v>
      </c>
      <c r="H689">
        <v>12</v>
      </c>
      <c r="I689">
        <v>1</v>
      </c>
      <c r="J689">
        <v>40</v>
      </c>
      <c r="K689">
        <v>28</v>
      </c>
      <c r="L689">
        <v>26</v>
      </c>
      <c r="M689">
        <v>1</v>
      </c>
      <c r="N689" t="s">
        <v>148</v>
      </c>
      <c r="O689" t="s">
        <v>113</v>
      </c>
      <c r="P689" t="s">
        <v>114</v>
      </c>
      <c r="Q689" t="s">
        <v>123</v>
      </c>
      <c r="R689" t="s">
        <v>114</v>
      </c>
      <c r="S689" t="s">
        <v>92</v>
      </c>
      <c r="T689" t="s">
        <v>130</v>
      </c>
      <c r="U689">
        <v>4</v>
      </c>
      <c r="V689" t="s">
        <v>124</v>
      </c>
      <c r="W689" t="s">
        <v>149</v>
      </c>
      <c r="X689" t="s">
        <v>99</v>
      </c>
      <c r="Y689">
        <v>1</v>
      </c>
      <c r="Z689">
        <v>1</v>
      </c>
      <c r="AA689">
        <v>44.1</v>
      </c>
      <c r="AB689">
        <v>-1</v>
      </c>
      <c r="AC689" t="s">
        <v>124</v>
      </c>
      <c r="AD689">
        <v>2</v>
      </c>
      <c r="AE689">
        <v>5</v>
      </c>
      <c r="AF689">
        <v>0</v>
      </c>
      <c r="AG689">
        <v>2.5470000000000002</v>
      </c>
      <c r="AH689">
        <v>0.16600000000000001</v>
      </c>
      <c r="AI689">
        <v>-1</v>
      </c>
    </row>
    <row r="690" spans="1:35" x14ac:dyDescent="0.25">
      <c r="A690">
        <v>259</v>
      </c>
      <c r="B690" t="s">
        <v>35</v>
      </c>
      <c r="C690">
        <v>3</v>
      </c>
      <c r="D690" t="s">
        <v>36</v>
      </c>
      <c r="E690">
        <v>4</v>
      </c>
      <c r="F690" t="s">
        <v>259</v>
      </c>
      <c r="G690">
        <v>4</v>
      </c>
      <c r="H690">
        <v>12</v>
      </c>
      <c r="I690">
        <v>1</v>
      </c>
      <c r="J690">
        <v>41</v>
      </c>
      <c r="K690">
        <v>31</v>
      </c>
      <c r="L690">
        <v>63</v>
      </c>
      <c r="M690">
        <v>2</v>
      </c>
      <c r="N690" t="s">
        <v>140</v>
      </c>
      <c r="O690" t="s">
        <v>113</v>
      </c>
      <c r="P690" t="s">
        <v>114</v>
      </c>
      <c r="Q690" t="s">
        <v>134</v>
      </c>
      <c r="R690" t="s">
        <v>114</v>
      </c>
      <c r="S690" t="s">
        <v>59</v>
      </c>
      <c r="T690" t="s">
        <v>95</v>
      </c>
      <c r="U690">
        <v>2</v>
      </c>
      <c r="V690" t="s">
        <v>100</v>
      </c>
      <c r="W690" t="s">
        <v>54</v>
      </c>
      <c r="X690" t="s">
        <v>141</v>
      </c>
      <c r="Y690">
        <v>1</v>
      </c>
      <c r="Z690">
        <v>1</v>
      </c>
      <c r="AA690">
        <v>44.1</v>
      </c>
      <c r="AB690">
        <v>-1</v>
      </c>
      <c r="AC690" t="s">
        <v>54</v>
      </c>
      <c r="AD690">
        <v>4</v>
      </c>
      <c r="AE690">
        <v>1</v>
      </c>
      <c r="AF690">
        <v>0</v>
      </c>
      <c r="AG690">
        <v>2.19</v>
      </c>
      <c r="AH690">
        <v>0.14799999999999999</v>
      </c>
      <c r="AI690">
        <v>-1</v>
      </c>
    </row>
    <row r="691" spans="1:35" x14ac:dyDescent="0.25">
      <c r="A691">
        <v>259</v>
      </c>
      <c r="B691" t="s">
        <v>35</v>
      </c>
      <c r="C691">
        <v>3</v>
      </c>
      <c r="D691" t="s">
        <v>36</v>
      </c>
      <c r="E691">
        <v>4</v>
      </c>
      <c r="F691" t="s">
        <v>259</v>
      </c>
      <c r="G691">
        <v>4</v>
      </c>
      <c r="H691">
        <v>12</v>
      </c>
      <c r="I691">
        <v>1</v>
      </c>
      <c r="J691">
        <v>42</v>
      </c>
      <c r="K691">
        <v>37</v>
      </c>
      <c r="L691">
        <v>35</v>
      </c>
      <c r="M691">
        <v>1</v>
      </c>
      <c r="N691" t="s">
        <v>219</v>
      </c>
      <c r="O691" t="s">
        <v>113</v>
      </c>
      <c r="P691" t="s">
        <v>114</v>
      </c>
      <c r="Q691" t="s">
        <v>220</v>
      </c>
      <c r="R691" t="s">
        <v>114</v>
      </c>
      <c r="S691" t="s">
        <v>92</v>
      </c>
      <c r="T691" t="s">
        <v>179</v>
      </c>
      <c r="U691">
        <v>2</v>
      </c>
      <c r="V691" t="s">
        <v>209</v>
      </c>
      <c r="W691" t="s">
        <v>67</v>
      </c>
      <c r="X691" t="s">
        <v>55</v>
      </c>
      <c r="Y691">
        <v>2</v>
      </c>
      <c r="Z691">
        <v>1</v>
      </c>
      <c r="AA691">
        <v>44.1</v>
      </c>
      <c r="AB691">
        <v>-1</v>
      </c>
      <c r="AC691" t="s">
        <v>179</v>
      </c>
      <c r="AD691">
        <v>1</v>
      </c>
      <c r="AE691">
        <v>2</v>
      </c>
      <c r="AF691">
        <v>1</v>
      </c>
      <c r="AG691">
        <v>2.1219999999999999</v>
      </c>
      <c r="AH691">
        <v>3.0339999999999998</v>
      </c>
      <c r="AI691">
        <v>-1</v>
      </c>
    </row>
    <row r="692" spans="1:35" x14ac:dyDescent="0.25">
      <c r="A692">
        <v>259</v>
      </c>
      <c r="B692" t="s">
        <v>35</v>
      </c>
      <c r="C692">
        <v>3</v>
      </c>
      <c r="D692" t="s">
        <v>36</v>
      </c>
      <c r="E692">
        <v>4</v>
      </c>
      <c r="F692" t="s">
        <v>259</v>
      </c>
      <c r="G692">
        <v>4</v>
      </c>
      <c r="H692">
        <v>12</v>
      </c>
      <c r="I692">
        <v>1</v>
      </c>
      <c r="J692">
        <v>43</v>
      </c>
      <c r="K692">
        <v>27</v>
      </c>
      <c r="L692">
        <v>25</v>
      </c>
      <c r="M692">
        <v>1</v>
      </c>
      <c r="N692" t="s">
        <v>122</v>
      </c>
      <c r="O692" t="s">
        <v>113</v>
      </c>
      <c r="P692" t="s">
        <v>114</v>
      </c>
      <c r="Q692" t="s">
        <v>123</v>
      </c>
      <c r="R692" t="s">
        <v>114</v>
      </c>
      <c r="S692" t="s">
        <v>59</v>
      </c>
      <c r="T692" t="s">
        <v>124</v>
      </c>
      <c r="U692">
        <v>2</v>
      </c>
      <c r="V692" t="s">
        <v>46</v>
      </c>
      <c r="W692" t="s">
        <v>108</v>
      </c>
      <c r="X692" t="s">
        <v>45</v>
      </c>
      <c r="Y692">
        <v>2</v>
      </c>
      <c r="Z692">
        <v>1</v>
      </c>
      <c r="AA692">
        <v>44.1</v>
      </c>
      <c r="AB692">
        <v>-1</v>
      </c>
      <c r="AC692" t="s">
        <v>124</v>
      </c>
      <c r="AD692">
        <v>1</v>
      </c>
      <c r="AE692">
        <v>2</v>
      </c>
      <c r="AF692">
        <v>1</v>
      </c>
      <c r="AG692">
        <v>2.5840000000000001</v>
      </c>
      <c r="AH692">
        <v>3.0339999999999998</v>
      </c>
      <c r="AI692">
        <v>-1</v>
      </c>
    </row>
    <row r="693" spans="1:35" x14ac:dyDescent="0.25">
      <c r="A693">
        <v>259</v>
      </c>
      <c r="B693" t="s">
        <v>35</v>
      </c>
      <c r="C693">
        <v>3</v>
      </c>
      <c r="D693" t="s">
        <v>36</v>
      </c>
      <c r="E693">
        <v>4</v>
      </c>
      <c r="F693" t="s">
        <v>259</v>
      </c>
      <c r="G693">
        <v>4</v>
      </c>
      <c r="H693">
        <v>12</v>
      </c>
      <c r="I693">
        <v>1</v>
      </c>
      <c r="J693">
        <v>44</v>
      </c>
      <c r="K693">
        <v>30</v>
      </c>
      <c r="L693">
        <v>62</v>
      </c>
      <c r="M693">
        <v>2</v>
      </c>
      <c r="N693" t="s">
        <v>142</v>
      </c>
      <c r="O693" t="s">
        <v>113</v>
      </c>
      <c r="P693" t="s">
        <v>114</v>
      </c>
      <c r="Q693" t="s">
        <v>126</v>
      </c>
      <c r="R693" t="s">
        <v>114</v>
      </c>
      <c r="S693" t="s">
        <v>52</v>
      </c>
      <c r="T693" t="s">
        <v>128</v>
      </c>
      <c r="U693">
        <v>2</v>
      </c>
      <c r="V693" t="s">
        <v>61</v>
      </c>
      <c r="W693" t="s">
        <v>82</v>
      </c>
      <c r="X693" t="s">
        <v>85</v>
      </c>
      <c r="Y693">
        <v>2</v>
      </c>
      <c r="Z693">
        <v>1</v>
      </c>
      <c r="AA693">
        <v>44.1</v>
      </c>
      <c r="AB693">
        <v>-1</v>
      </c>
      <c r="AC693" t="s">
        <v>61</v>
      </c>
      <c r="AD693">
        <v>3</v>
      </c>
      <c r="AE693">
        <v>5</v>
      </c>
      <c r="AF693">
        <v>0</v>
      </c>
      <c r="AG693">
        <v>3.6379999999999999</v>
      </c>
      <c r="AH693">
        <v>3.0310000000000001</v>
      </c>
      <c r="AI693">
        <v>-1</v>
      </c>
    </row>
    <row r="694" spans="1:35" x14ac:dyDescent="0.25">
      <c r="A694">
        <v>259</v>
      </c>
      <c r="B694" t="s">
        <v>35</v>
      </c>
      <c r="C694">
        <v>3</v>
      </c>
      <c r="D694" t="s">
        <v>36</v>
      </c>
      <c r="E694">
        <v>4</v>
      </c>
      <c r="F694" t="s">
        <v>259</v>
      </c>
      <c r="G694">
        <v>4</v>
      </c>
      <c r="H694">
        <v>12</v>
      </c>
      <c r="I694">
        <v>1</v>
      </c>
      <c r="J694">
        <v>45</v>
      </c>
      <c r="K694">
        <v>46</v>
      </c>
      <c r="L694">
        <v>70</v>
      </c>
      <c r="M694">
        <v>2</v>
      </c>
      <c r="N694" t="s">
        <v>232</v>
      </c>
      <c r="O694" t="s">
        <v>113</v>
      </c>
      <c r="P694" t="s">
        <v>114</v>
      </c>
      <c r="Q694" t="s">
        <v>222</v>
      </c>
      <c r="R694" t="s">
        <v>114</v>
      </c>
      <c r="S694" t="s">
        <v>43</v>
      </c>
      <c r="T694" t="s">
        <v>81</v>
      </c>
      <c r="U694">
        <v>2</v>
      </c>
      <c r="V694" t="s">
        <v>69</v>
      </c>
      <c r="W694" t="s">
        <v>183</v>
      </c>
      <c r="X694" t="s">
        <v>60</v>
      </c>
      <c r="Y694">
        <v>1</v>
      </c>
      <c r="Z694">
        <v>1</v>
      </c>
      <c r="AA694">
        <v>44.1</v>
      </c>
      <c r="AB694">
        <v>-1</v>
      </c>
      <c r="AC694" t="s">
        <v>83</v>
      </c>
      <c r="AD694">
        <v>0</v>
      </c>
      <c r="AE694">
        <v>0</v>
      </c>
      <c r="AF694">
        <v>0</v>
      </c>
      <c r="AG694">
        <v>-1</v>
      </c>
      <c r="AH694">
        <v>3.0289999999999999</v>
      </c>
      <c r="AI694">
        <v>-1</v>
      </c>
    </row>
    <row r="695" spans="1:35" x14ac:dyDescent="0.25">
      <c r="A695">
        <v>259</v>
      </c>
      <c r="B695" t="s">
        <v>35</v>
      </c>
      <c r="C695">
        <v>3</v>
      </c>
      <c r="D695" t="s">
        <v>36</v>
      </c>
      <c r="E695">
        <v>4</v>
      </c>
      <c r="F695" t="s">
        <v>259</v>
      </c>
      <c r="G695">
        <v>4</v>
      </c>
      <c r="H695">
        <v>12</v>
      </c>
      <c r="I695">
        <v>1</v>
      </c>
      <c r="J695">
        <v>46</v>
      </c>
      <c r="K695">
        <v>48</v>
      </c>
      <c r="L695">
        <v>34</v>
      </c>
      <c r="M695">
        <v>1</v>
      </c>
      <c r="N695" t="s">
        <v>228</v>
      </c>
      <c r="O695" t="s">
        <v>113</v>
      </c>
      <c r="P695" t="s">
        <v>114</v>
      </c>
      <c r="Q695" t="s">
        <v>224</v>
      </c>
      <c r="R695" t="s">
        <v>114</v>
      </c>
      <c r="S695" t="s">
        <v>52</v>
      </c>
      <c r="T695" t="s">
        <v>61</v>
      </c>
      <c r="U695">
        <v>5</v>
      </c>
      <c r="V695" t="s">
        <v>56</v>
      </c>
      <c r="W695" t="s">
        <v>93</v>
      </c>
      <c r="X695" t="s">
        <v>110</v>
      </c>
      <c r="Y695">
        <v>1</v>
      </c>
      <c r="Z695">
        <v>1</v>
      </c>
      <c r="AA695">
        <v>44.1</v>
      </c>
      <c r="AB695">
        <v>-1</v>
      </c>
      <c r="AC695" t="s">
        <v>61</v>
      </c>
      <c r="AD695">
        <v>1</v>
      </c>
      <c r="AE695">
        <v>5</v>
      </c>
      <c r="AF695">
        <v>1</v>
      </c>
      <c r="AG695">
        <v>1.0169999999999999</v>
      </c>
      <c r="AH695">
        <v>3.0339999999999998</v>
      </c>
      <c r="AI695">
        <v>-1</v>
      </c>
    </row>
    <row r="696" spans="1:35" x14ac:dyDescent="0.25">
      <c r="A696">
        <v>259</v>
      </c>
      <c r="B696" t="s">
        <v>35</v>
      </c>
      <c r="C696">
        <v>3</v>
      </c>
      <c r="D696" t="s">
        <v>36</v>
      </c>
      <c r="E696">
        <v>4</v>
      </c>
      <c r="F696" t="s">
        <v>259</v>
      </c>
      <c r="G696">
        <v>4</v>
      </c>
      <c r="H696">
        <v>12</v>
      </c>
      <c r="I696">
        <v>1</v>
      </c>
      <c r="J696">
        <v>47</v>
      </c>
      <c r="K696">
        <v>26</v>
      </c>
      <c r="L696">
        <v>72</v>
      </c>
      <c r="M696">
        <v>2</v>
      </c>
      <c r="N696" t="s">
        <v>112</v>
      </c>
      <c r="O696" t="s">
        <v>113</v>
      </c>
      <c r="P696" t="s">
        <v>114</v>
      </c>
      <c r="Q696" t="s">
        <v>115</v>
      </c>
      <c r="R696" t="s">
        <v>114</v>
      </c>
      <c r="S696" t="s">
        <v>43</v>
      </c>
      <c r="T696" t="s">
        <v>104</v>
      </c>
      <c r="U696">
        <v>5</v>
      </c>
      <c r="V696" t="s">
        <v>116</v>
      </c>
      <c r="W696" t="s">
        <v>47</v>
      </c>
      <c r="X696" t="s">
        <v>106</v>
      </c>
      <c r="Y696">
        <v>2</v>
      </c>
      <c r="Z696">
        <v>1</v>
      </c>
      <c r="AA696">
        <v>44.1</v>
      </c>
      <c r="AB696">
        <v>-1</v>
      </c>
      <c r="AC696" t="s">
        <v>106</v>
      </c>
      <c r="AD696">
        <v>4</v>
      </c>
      <c r="AE696">
        <v>1</v>
      </c>
      <c r="AF696">
        <v>0</v>
      </c>
      <c r="AG696">
        <v>2.7970000000000002</v>
      </c>
      <c r="AH696">
        <v>3.0310000000000001</v>
      </c>
      <c r="AI696">
        <v>-1</v>
      </c>
    </row>
    <row r="697" spans="1:35" x14ac:dyDescent="0.25">
      <c r="A697">
        <v>259</v>
      </c>
      <c r="B697" t="s">
        <v>35</v>
      </c>
      <c r="C697">
        <v>3</v>
      </c>
      <c r="D697" t="s">
        <v>36</v>
      </c>
      <c r="E697">
        <v>4</v>
      </c>
      <c r="F697" t="s">
        <v>259</v>
      </c>
      <c r="G697">
        <v>4</v>
      </c>
      <c r="H697">
        <v>12</v>
      </c>
      <c r="I697">
        <v>1</v>
      </c>
      <c r="J697">
        <v>48</v>
      </c>
      <c r="K697">
        <v>29</v>
      </c>
      <c r="L697">
        <v>61</v>
      </c>
      <c r="M697">
        <v>2</v>
      </c>
      <c r="N697" t="s">
        <v>125</v>
      </c>
      <c r="O697" t="s">
        <v>113</v>
      </c>
      <c r="P697" t="s">
        <v>114</v>
      </c>
      <c r="Q697" t="s">
        <v>126</v>
      </c>
      <c r="R697" t="s">
        <v>114</v>
      </c>
      <c r="S697" t="s">
        <v>92</v>
      </c>
      <c r="T697" t="s">
        <v>127</v>
      </c>
      <c r="U697">
        <v>5</v>
      </c>
      <c r="V697" t="s">
        <v>128</v>
      </c>
      <c r="W697" t="s">
        <v>96</v>
      </c>
      <c r="X697" t="s">
        <v>66</v>
      </c>
      <c r="Y697">
        <v>1</v>
      </c>
      <c r="Z697">
        <v>1</v>
      </c>
      <c r="AA697">
        <v>44.1</v>
      </c>
      <c r="AB697">
        <v>-1</v>
      </c>
      <c r="AC697" t="s">
        <v>128</v>
      </c>
      <c r="AD697">
        <v>2</v>
      </c>
      <c r="AE697">
        <v>2</v>
      </c>
      <c r="AF697">
        <v>0</v>
      </c>
      <c r="AG697">
        <v>3.0339999999999998</v>
      </c>
      <c r="AH697">
        <v>3.03</v>
      </c>
      <c r="AI697">
        <v>-1</v>
      </c>
    </row>
    <row r="698" spans="1:35" x14ac:dyDescent="0.25">
      <c r="A698">
        <v>259</v>
      </c>
      <c r="B698" t="s">
        <v>35</v>
      </c>
      <c r="C698">
        <v>3</v>
      </c>
      <c r="D698" t="s">
        <v>36</v>
      </c>
      <c r="E698">
        <v>4</v>
      </c>
      <c r="F698" t="s">
        <v>259</v>
      </c>
      <c r="G698">
        <v>4</v>
      </c>
      <c r="H698">
        <v>12</v>
      </c>
      <c r="I698">
        <v>1</v>
      </c>
      <c r="J698">
        <v>49</v>
      </c>
      <c r="K698">
        <v>49</v>
      </c>
      <c r="L698">
        <v>59</v>
      </c>
      <c r="M698">
        <v>2</v>
      </c>
      <c r="N698" t="s">
        <v>171</v>
      </c>
      <c r="O698" t="s">
        <v>151</v>
      </c>
      <c r="P698" t="s">
        <v>158</v>
      </c>
      <c r="Q698" t="s">
        <v>159</v>
      </c>
      <c r="R698" t="s">
        <v>170</v>
      </c>
      <c r="S698" t="s">
        <v>59</v>
      </c>
      <c r="T698" t="s">
        <v>103</v>
      </c>
      <c r="U698">
        <v>5</v>
      </c>
      <c r="V698" t="s">
        <v>161</v>
      </c>
      <c r="W698" t="s">
        <v>69</v>
      </c>
      <c r="X698" t="s">
        <v>172</v>
      </c>
      <c r="Y698">
        <v>1</v>
      </c>
      <c r="Z698">
        <v>1</v>
      </c>
      <c r="AA698">
        <v>44.1</v>
      </c>
      <c r="AB698">
        <v>-1</v>
      </c>
      <c r="AC698" t="s">
        <v>103</v>
      </c>
      <c r="AD698">
        <v>1</v>
      </c>
      <c r="AE698">
        <v>5</v>
      </c>
      <c r="AF698">
        <v>1</v>
      </c>
      <c r="AG698">
        <v>0.57899999999999996</v>
      </c>
      <c r="AH698">
        <v>0.26200000000000001</v>
      </c>
      <c r="AI698">
        <v>-1</v>
      </c>
    </row>
    <row r="699" spans="1:35" x14ac:dyDescent="0.25">
      <c r="A699">
        <v>259</v>
      </c>
      <c r="B699" t="s">
        <v>35</v>
      </c>
      <c r="C699">
        <v>3</v>
      </c>
      <c r="D699" t="s">
        <v>36</v>
      </c>
      <c r="E699">
        <v>4</v>
      </c>
      <c r="F699" t="s">
        <v>259</v>
      </c>
      <c r="G699">
        <v>4</v>
      </c>
      <c r="H699">
        <v>12</v>
      </c>
      <c r="I699">
        <v>1</v>
      </c>
      <c r="J699">
        <v>50</v>
      </c>
      <c r="K699">
        <v>63</v>
      </c>
      <c r="L699">
        <v>19</v>
      </c>
      <c r="M699">
        <v>1</v>
      </c>
      <c r="N699" t="s">
        <v>253</v>
      </c>
      <c r="O699" t="s">
        <v>151</v>
      </c>
      <c r="P699" t="s">
        <v>239</v>
      </c>
      <c r="Q699" t="s">
        <v>240</v>
      </c>
      <c r="R699" t="s">
        <v>170</v>
      </c>
      <c r="S699" t="s">
        <v>59</v>
      </c>
      <c r="T699" t="s">
        <v>211</v>
      </c>
      <c r="U699">
        <v>2</v>
      </c>
      <c r="V699" t="s">
        <v>82</v>
      </c>
      <c r="W699" t="s">
        <v>79</v>
      </c>
      <c r="X699" t="s">
        <v>209</v>
      </c>
      <c r="Y699">
        <v>1</v>
      </c>
      <c r="Z699">
        <v>1</v>
      </c>
      <c r="AA699">
        <v>44.1</v>
      </c>
      <c r="AB699">
        <v>-1</v>
      </c>
      <c r="AC699" t="s">
        <v>211</v>
      </c>
      <c r="AD699">
        <v>1</v>
      </c>
      <c r="AE699">
        <v>2</v>
      </c>
      <c r="AF699">
        <v>1</v>
      </c>
      <c r="AG699">
        <v>0.88700000000000001</v>
      </c>
      <c r="AH699">
        <v>0.1</v>
      </c>
      <c r="AI699">
        <v>-1</v>
      </c>
    </row>
    <row r="700" spans="1:35" x14ac:dyDescent="0.25">
      <c r="A700">
        <v>259</v>
      </c>
      <c r="B700" t="s">
        <v>35</v>
      </c>
      <c r="C700">
        <v>3</v>
      </c>
      <c r="D700" t="s">
        <v>36</v>
      </c>
      <c r="E700">
        <v>4</v>
      </c>
      <c r="F700" t="s">
        <v>259</v>
      </c>
      <c r="G700">
        <v>4</v>
      </c>
      <c r="H700">
        <v>12</v>
      </c>
      <c r="I700">
        <v>1</v>
      </c>
      <c r="J700">
        <v>51</v>
      </c>
      <c r="K700">
        <v>68</v>
      </c>
      <c r="L700">
        <v>18</v>
      </c>
      <c r="M700">
        <v>1</v>
      </c>
      <c r="N700" t="s">
        <v>258</v>
      </c>
      <c r="O700" t="s">
        <v>151</v>
      </c>
      <c r="P700" t="s">
        <v>255</v>
      </c>
      <c r="Q700" t="s">
        <v>256</v>
      </c>
      <c r="R700" t="s">
        <v>160</v>
      </c>
      <c r="S700" t="s">
        <v>43</v>
      </c>
      <c r="T700" t="s">
        <v>110</v>
      </c>
      <c r="U700">
        <v>5</v>
      </c>
      <c r="V700" t="s">
        <v>47</v>
      </c>
      <c r="W700" t="s">
        <v>98</v>
      </c>
      <c r="X700" t="s">
        <v>130</v>
      </c>
      <c r="Y700">
        <v>1</v>
      </c>
      <c r="Z700">
        <v>1</v>
      </c>
      <c r="AA700">
        <v>44.1</v>
      </c>
      <c r="AB700">
        <v>-1</v>
      </c>
      <c r="AC700" t="s">
        <v>110</v>
      </c>
      <c r="AD700">
        <v>1</v>
      </c>
      <c r="AE700">
        <v>5</v>
      </c>
      <c r="AF700">
        <v>1</v>
      </c>
      <c r="AG700">
        <v>1.712</v>
      </c>
      <c r="AH700">
        <v>0.2</v>
      </c>
      <c r="AI700">
        <v>-1</v>
      </c>
    </row>
    <row r="701" spans="1:35" x14ac:dyDescent="0.25">
      <c r="A701">
        <v>259</v>
      </c>
      <c r="B701" t="s">
        <v>35</v>
      </c>
      <c r="C701">
        <v>3</v>
      </c>
      <c r="D701" t="s">
        <v>36</v>
      </c>
      <c r="E701">
        <v>4</v>
      </c>
      <c r="F701" t="s">
        <v>259</v>
      </c>
      <c r="G701">
        <v>4</v>
      </c>
      <c r="H701">
        <v>12</v>
      </c>
      <c r="I701">
        <v>1</v>
      </c>
      <c r="J701">
        <v>52</v>
      </c>
      <c r="K701">
        <v>62</v>
      </c>
      <c r="L701">
        <v>24</v>
      </c>
      <c r="M701">
        <v>1</v>
      </c>
      <c r="N701" t="s">
        <v>251</v>
      </c>
      <c r="O701" t="s">
        <v>151</v>
      </c>
      <c r="P701" t="s">
        <v>245</v>
      </c>
      <c r="Q701" t="s">
        <v>246</v>
      </c>
      <c r="R701" t="s">
        <v>160</v>
      </c>
      <c r="S701" t="s">
        <v>43</v>
      </c>
      <c r="T701" t="s">
        <v>121</v>
      </c>
      <c r="U701">
        <v>5</v>
      </c>
      <c r="V701" t="s">
        <v>62</v>
      </c>
      <c r="W701" t="s">
        <v>102</v>
      </c>
      <c r="X701" t="s">
        <v>119</v>
      </c>
      <c r="Y701">
        <v>1</v>
      </c>
      <c r="Z701">
        <v>1</v>
      </c>
      <c r="AA701">
        <v>44.1</v>
      </c>
      <c r="AB701">
        <v>-1</v>
      </c>
      <c r="AC701" t="s">
        <v>62</v>
      </c>
      <c r="AD701">
        <v>2</v>
      </c>
      <c r="AE701">
        <v>2</v>
      </c>
      <c r="AF701">
        <v>0</v>
      </c>
      <c r="AG701">
        <v>2.2530000000000001</v>
      </c>
      <c r="AH701">
        <v>0.35</v>
      </c>
      <c r="AI701">
        <v>-1</v>
      </c>
    </row>
    <row r="702" spans="1:35" x14ac:dyDescent="0.25">
      <c r="A702">
        <v>259</v>
      </c>
      <c r="B702" t="s">
        <v>35</v>
      </c>
      <c r="C702">
        <v>3</v>
      </c>
      <c r="D702" t="s">
        <v>36</v>
      </c>
      <c r="E702">
        <v>4</v>
      </c>
      <c r="F702" t="s">
        <v>259</v>
      </c>
      <c r="G702">
        <v>4</v>
      </c>
      <c r="H702">
        <v>12</v>
      </c>
      <c r="I702">
        <v>1</v>
      </c>
      <c r="J702">
        <v>53</v>
      </c>
      <c r="K702">
        <v>67</v>
      </c>
      <c r="L702">
        <v>17</v>
      </c>
      <c r="M702">
        <v>1</v>
      </c>
      <c r="N702" t="s">
        <v>254</v>
      </c>
      <c r="O702" t="s">
        <v>151</v>
      </c>
      <c r="P702" t="s">
        <v>255</v>
      </c>
      <c r="Q702" t="s">
        <v>256</v>
      </c>
      <c r="R702" t="s">
        <v>174</v>
      </c>
      <c r="S702" t="s">
        <v>52</v>
      </c>
      <c r="T702" t="s">
        <v>47</v>
      </c>
      <c r="U702">
        <v>2</v>
      </c>
      <c r="V702" t="s">
        <v>187</v>
      </c>
      <c r="W702" t="s">
        <v>111</v>
      </c>
      <c r="X702" t="s">
        <v>67</v>
      </c>
      <c r="Y702">
        <v>2</v>
      </c>
      <c r="Z702">
        <v>1</v>
      </c>
      <c r="AA702">
        <v>44.1</v>
      </c>
      <c r="AB702">
        <v>-1</v>
      </c>
      <c r="AC702" t="s">
        <v>47</v>
      </c>
      <c r="AD702">
        <v>1</v>
      </c>
      <c r="AE702">
        <v>2</v>
      </c>
      <c r="AF702">
        <v>1</v>
      </c>
      <c r="AG702">
        <v>0.84399999999999997</v>
      </c>
      <c r="AH702">
        <v>0.34499999999999997</v>
      </c>
      <c r="AI702">
        <v>-1</v>
      </c>
    </row>
    <row r="703" spans="1:35" x14ac:dyDescent="0.25">
      <c r="A703">
        <v>259</v>
      </c>
      <c r="B703" t="s">
        <v>35</v>
      </c>
      <c r="C703">
        <v>3</v>
      </c>
      <c r="D703" t="s">
        <v>36</v>
      </c>
      <c r="E703">
        <v>4</v>
      </c>
      <c r="F703" t="s">
        <v>259</v>
      </c>
      <c r="G703">
        <v>4</v>
      </c>
      <c r="H703">
        <v>12</v>
      </c>
      <c r="I703">
        <v>1</v>
      </c>
      <c r="J703">
        <v>54</v>
      </c>
      <c r="K703">
        <v>52</v>
      </c>
      <c r="L703">
        <v>14</v>
      </c>
      <c r="M703">
        <v>1</v>
      </c>
      <c r="N703" t="s">
        <v>184</v>
      </c>
      <c r="O703" t="s">
        <v>151</v>
      </c>
      <c r="P703" t="s">
        <v>168</v>
      </c>
      <c r="Q703" t="s">
        <v>169</v>
      </c>
      <c r="R703" t="s">
        <v>154</v>
      </c>
      <c r="S703" t="s">
        <v>92</v>
      </c>
      <c r="T703" t="s">
        <v>141</v>
      </c>
      <c r="U703">
        <v>4</v>
      </c>
      <c r="V703" t="s">
        <v>96</v>
      </c>
      <c r="W703" t="s">
        <v>185</v>
      </c>
      <c r="X703" t="s">
        <v>107</v>
      </c>
      <c r="Y703">
        <v>1</v>
      </c>
      <c r="Z703">
        <v>1</v>
      </c>
      <c r="AA703">
        <v>44.1</v>
      </c>
      <c r="AB703">
        <v>-1</v>
      </c>
      <c r="AC703" t="s">
        <v>107</v>
      </c>
      <c r="AD703">
        <v>4</v>
      </c>
      <c r="AE703">
        <v>2</v>
      </c>
      <c r="AF703">
        <v>0</v>
      </c>
      <c r="AG703">
        <v>2.6459999999999999</v>
      </c>
      <c r="AH703">
        <v>3.0339999999999998</v>
      </c>
      <c r="AI703">
        <v>-1</v>
      </c>
    </row>
    <row r="704" spans="1:35" x14ac:dyDescent="0.25">
      <c r="A704">
        <v>259</v>
      </c>
      <c r="B704" t="s">
        <v>35</v>
      </c>
      <c r="C704">
        <v>3</v>
      </c>
      <c r="D704" t="s">
        <v>36</v>
      </c>
      <c r="E704">
        <v>4</v>
      </c>
      <c r="F704" t="s">
        <v>259</v>
      </c>
      <c r="G704">
        <v>4</v>
      </c>
      <c r="H704">
        <v>12</v>
      </c>
      <c r="I704">
        <v>1</v>
      </c>
      <c r="J704">
        <v>55</v>
      </c>
      <c r="K704">
        <v>54</v>
      </c>
      <c r="L704">
        <v>50</v>
      </c>
      <c r="M704">
        <v>2</v>
      </c>
      <c r="N704" t="s">
        <v>186</v>
      </c>
      <c r="O704" t="s">
        <v>151</v>
      </c>
      <c r="P704" t="s">
        <v>181</v>
      </c>
      <c r="Q704" t="s">
        <v>182</v>
      </c>
      <c r="R704" t="s">
        <v>174</v>
      </c>
      <c r="S704" t="s">
        <v>52</v>
      </c>
      <c r="T704" t="s">
        <v>187</v>
      </c>
      <c r="U704">
        <v>2</v>
      </c>
      <c r="V704" t="s">
        <v>183</v>
      </c>
      <c r="W704" t="s">
        <v>45</v>
      </c>
      <c r="X704" t="s">
        <v>116</v>
      </c>
      <c r="Y704">
        <v>1</v>
      </c>
      <c r="Z704">
        <v>1</v>
      </c>
      <c r="AA704">
        <v>44.1</v>
      </c>
      <c r="AB704">
        <v>-1</v>
      </c>
      <c r="AC704" t="s">
        <v>187</v>
      </c>
      <c r="AD704">
        <v>1</v>
      </c>
      <c r="AE704">
        <v>2</v>
      </c>
      <c r="AF704">
        <v>1</v>
      </c>
      <c r="AG704">
        <v>2.4620000000000002</v>
      </c>
      <c r="AH704">
        <v>0.25</v>
      </c>
      <c r="AI704">
        <v>-1</v>
      </c>
    </row>
    <row r="705" spans="1:35" x14ac:dyDescent="0.25">
      <c r="A705">
        <v>259</v>
      </c>
      <c r="B705" t="s">
        <v>35</v>
      </c>
      <c r="C705">
        <v>3</v>
      </c>
      <c r="D705" t="s">
        <v>36</v>
      </c>
      <c r="E705">
        <v>4</v>
      </c>
      <c r="F705" t="s">
        <v>259</v>
      </c>
      <c r="G705">
        <v>4</v>
      </c>
      <c r="H705">
        <v>12</v>
      </c>
      <c r="I705">
        <v>1</v>
      </c>
      <c r="J705">
        <v>56</v>
      </c>
      <c r="K705">
        <v>72</v>
      </c>
      <c r="L705">
        <v>22</v>
      </c>
      <c r="M705">
        <v>1</v>
      </c>
      <c r="N705" t="s">
        <v>241</v>
      </c>
      <c r="O705" t="s">
        <v>151</v>
      </c>
      <c r="P705" t="s">
        <v>242</v>
      </c>
      <c r="Q705" t="s">
        <v>243</v>
      </c>
      <c r="R705" t="s">
        <v>174</v>
      </c>
      <c r="S705" t="s">
        <v>52</v>
      </c>
      <c r="T705" t="s">
        <v>132</v>
      </c>
      <c r="U705">
        <v>1</v>
      </c>
      <c r="V705" t="s">
        <v>146</v>
      </c>
      <c r="W705" t="s">
        <v>120</v>
      </c>
      <c r="X705" t="s">
        <v>44</v>
      </c>
      <c r="Y705">
        <v>1</v>
      </c>
      <c r="Z705">
        <v>1</v>
      </c>
      <c r="AA705">
        <v>44.1</v>
      </c>
      <c r="AB705">
        <v>-1</v>
      </c>
      <c r="AC705" t="s">
        <v>132</v>
      </c>
      <c r="AD705">
        <v>1</v>
      </c>
      <c r="AE705">
        <v>1</v>
      </c>
      <c r="AF705">
        <v>1</v>
      </c>
      <c r="AG705">
        <v>2.157</v>
      </c>
      <c r="AH705">
        <v>0.11600000000000001</v>
      </c>
      <c r="AI705">
        <v>-1</v>
      </c>
    </row>
    <row r="706" spans="1:35" x14ac:dyDescent="0.25">
      <c r="A706">
        <v>259</v>
      </c>
      <c r="B706" t="s">
        <v>35</v>
      </c>
      <c r="C706">
        <v>3</v>
      </c>
      <c r="D706" t="s">
        <v>36</v>
      </c>
      <c r="E706">
        <v>4</v>
      </c>
      <c r="F706" t="s">
        <v>259</v>
      </c>
      <c r="G706">
        <v>4</v>
      </c>
      <c r="H706">
        <v>12</v>
      </c>
      <c r="I706">
        <v>1</v>
      </c>
      <c r="J706">
        <v>57</v>
      </c>
      <c r="K706">
        <v>61</v>
      </c>
      <c r="L706">
        <v>23</v>
      </c>
      <c r="M706">
        <v>1</v>
      </c>
      <c r="N706" t="s">
        <v>244</v>
      </c>
      <c r="O706" t="s">
        <v>151</v>
      </c>
      <c r="P706" t="s">
        <v>245</v>
      </c>
      <c r="Q706" t="s">
        <v>246</v>
      </c>
      <c r="R706" t="s">
        <v>154</v>
      </c>
      <c r="S706" t="s">
        <v>92</v>
      </c>
      <c r="T706" t="s">
        <v>62</v>
      </c>
      <c r="U706">
        <v>1</v>
      </c>
      <c r="V706" t="s">
        <v>68</v>
      </c>
      <c r="W706" t="s">
        <v>87</v>
      </c>
      <c r="X706" t="s">
        <v>73</v>
      </c>
      <c r="Y706">
        <v>2</v>
      </c>
      <c r="Z706">
        <v>1</v>
      </c>
      <c r="AA706">
        <v>44.1</v>
      </c>
      <c r="AB706">
        <v>-1</v>
      </c>
      <c r="AC706" t="s">
        <v>73</v>
      </c>
      <c r="AD706">
        <v>4</v>
      </c>
      <c r="AE706">
        <v>2</v>
      </c>
      <c r="AF706">
        <v>0</v>
      </c>
      <c r="AG706">
        <v>2.8290000000000002</v>
      </c>
      <c r="AH706">
        <v>0.2</v>
      </c>
      <c r="AI706">
        <v>-1</v>
      </c>
    </row>
    <row r="707" spans="1:35" x14ac:dyDescent="0.25">
      <c r="A707">
        <v>259</v>
      </c>
      <c r="B707" t="s">
        <v>35</v>
      </c>
      <c r="C707">
        <v>3</v>
      </c>
      <c r="D707" t="s">
        <v>36</v>
      </c>
      <c r="E707">
        <v>4</v>
      </c>
      <c r="F707" t="s">
        <v>259</v>
      </c>
      <c r="G707">
        <v>4</v>
      </c>
      <c r="H707">
        <v>12</v>
      </c>
      <c r="I707">
        <v>1</v>
      </c>
      <c r="J707">
        <v>58</v>
      </c>
      <c r="K707">
        <v>55</v>
      </c>
      <c r="L707">
        <v>51</v>
      </c>
      <c r="M707">
        <v>2</v>
      </c>
      <c r="N707" t="s">
        <v>176</v>
      </c>
      <c r="O707" t="s">
        <v>151</v>
      </c>
      <c r="P707" t="s">
        <v>177</v>
      </c>
      <c r="Q707" t="s">
        <v>178</v>
      </c>
      <c r="R707" t="s">
        <v>170</v>
      </c>
      <c r="S707" t="s">
        <v>59</v>
      </c>
      <c r="T707" t="s">
        <v>139</v>
      </c>
      <c r="U707">
        <v>1</v>
      </c>
      <c r="V707" t="s">
        <v>108</v>
      </c>
      <c r="W707" t="s">
        <v>179</v>
      </c>
      <c r="X707" t="s">
        <v>144</v>
      </c>
      <c r="Y707">
        <v>1</v>
      </c>
      <c r="Z707">
        <v>1</v>
      </c>
      <c r="AA707">
        <v>44.1</v>
      </c>
      <c r="AB707">
        <v>-1</v>
      </c>
      <c r="AC707" t="s">
        <v>139</v>
      </c>
      <c r="AD707">
        <v>1</v>
      </c>
      <c r="AE707">
        <v>1</v>
      </c>
      <c r="AF707">
        <v>1</v>
      </c>
      <c r="AG707">
        <v>0.98599999999999999</v>
      </c>
      <c r="AH707">
        <v>1.8129999999999999</v>
      </c>
      <c r="AI707">
        <v>-1</v>
      </c>
    </row>
    <row r="708" spans="1:35" x14ac:dyDescent="0.25">
      <c r="A708">
        <v>259</v>
      </c>
      <c r="B708" t="s">
        <v>35</v>
      </c>
      <c r="C708">
        <v>3</v>
      </c>
      <c r="D708" t="s">
        <v>36</v>
      </c>
      <c r="E708">
        <v>4</v>
      </c>
      <c r="F708" t="s">
        <v>259</v>
      </c>
      <c r="G708">
        <v>4</v>
      </c>
      <c r="H708">
        <v>12</v>
      </c>
      <c r="I708">
        <v>1</v>
      </c>
      <c r="J708">
        <v>59</v>
      </c>
      <c r="K708">
        <v>69</v>
      </c>
      <c r="L708">
        <v>57</v>
      </c>
      <c r="M708">
        <v>2</v>
      </c>
      <c r="N708" t="s">
        <v>247</v>
      </c>
      <c r="O708" t="s">
        <v>151</v>
      </c>
      <c r="P708" t="s">
        <v>236</v>
      </c>
      <c r="Q708" t="s">
        <v>237</v>
      </c>
      <c r="R708" t="s">
        <v>174</v>
      </c>
      <c r="S708" t="s">
        <v>52</v>
      </c>
      <c r="T708" t="s">
        <v>75</v>
      </c>
      <c r="U708">
        <v>4</v>
      </c>
      <c r="V708" t="s">
        <v>99</v>
      </c>
      <c r="W708" t="s">
        <v>147</v>
      </c>
      <c r="X708" t="s">
        <v>46</v>
      </c>
      <c r="Y708">
        <v>2</v>
      </c>
      <c r="Z708">
        <v>1</v>
      </c>
      <c r="AA708">
        <v>44.1</v>
      </c>
      <c r="AB708">
        <v>-1</v>
      </c>
      <c r="AC708" t="s">
        <v>75</v>
      </c>
      <c r="AD708">
        <v>1</v>
      </c>
      <c r="AE708">
        <v>4</v>
      </c>
      <c r="AF708">
        <v>1</v>
      </c>
      <c r="AG708">
        <v>0.55000000000000004</v>
      </c>
      <c r="AH708">
        <v>0.05</v>
      </c>
      <c r="AI708">
        <v>-1</v>
      </c>
    </row>
    <row r="709" spans="1:35" x14ac:dyDescent="0.25">
      <c r="A709">
        <v>259</v>
      </c>
      <c r="B709" t="s">
        <v>35</v>
      </c>
      <c r="C709">
        <v>3</v>
      </c>
      <c r="D709" t="s">
        <v>36</v>
      </c>
      <c r="E709">
        <v>4</v>
      </c>
      <c r="F709" t="s">
        <v>259</v>
      </c>
      <c r="G709">
        <v>4</v>
      </c>
      <c r="H709">
        <v>12</v>
      </c>
      <c r="I709">
        <v>1</v>
      </c>
      <c r="J709">
        <v>60</v>
      </c>
      <c r="K709">
        <v>57</v>
      </c>
      <c r="L709">
        <v>15</v>
      </c>
      <c r="M709">
        <v>1</v>
      </c>
      <c r="N709" t="s">
        <v>150</v>
      </c>
      <c r="O709" t="s">
        <v>151</v>
      </c>
      <c r="P709" t="s">
        <v>152</v>
      </c>
      <c r="Q709" t="s">
        <v>153</v>
      </c>
      <c r="R709" t="s">
        <v>154</v>
      </c>
      <c r="S709" t="s">
        <v>92</v>
      </c>
      <c r="T709" t="s">
        <v>155</v>
      </c>
      <c r="U709">
        <v>1</v>
      </c>
      <c r="V709" t="s">
        <v>141</v>
      </c>
      <c r="W709" t="s">
        <v>124</v>
      </c>
      <c r="X709" t="s">
        <v>156</v>
      </c>
      <c r="Y709">
        <v>2</v>
      </c>
      <c r="Z709">
        <v>1</v>
      </c>
      <c r="AA709">
        <v>44.1</v>
      </c>
      <c r="AB709">
        <v>-1</v>
      </c>
      <c r="AC709" t="s">
        <v>155</v>
      </c>
      <c r="AD709">
        <v>1</v>
      </c>
      <c r="AE709">
        <v>1</v>
      </c>
      <c r="AF709">
        <v>1</v>
      </c>
      <c r="AG709">
        <v>1.6919999999999999</v>
      </c>
      <c r="AH709">
        <v>1.7000000000000001E-2</v>
      </c>
      <c r="AI709">
        <v>-1</v>
      </c>
    </row>
    <row r="710" spans="1:35" x14ac:dyDescent="0.25">
      <c r="A710">
        <v>259</v>
      </c>
      <c r="B710" t="s">
        <v>35</v>
      </c>
      <c r="C710">
        <v>3</v>
      </c>
      <c r="D710" t="s">
        <v>36</v>
      </c>
      <c r="E710">
        <v>4</v>
      </c>
      <c r="F710" t="s">
        <v>259</v>
      </c>
      <c r="G710">
        <v>4</v>
      </c>
      <c r="H710">
        <v>12</v>
      </c>
      <c r="I710">
        <v>1</v>
      </c>
      <c r="J710">
        <v>61</v>
      </c>
      <c r="K710">
        <v>60</v>
      </c>
      <c r="L710">
        <v>56</v>
      </c>
      <c r="M710">
        <v>2</v>
      </c>
      <c r="N710" t="s">
        <v>175</v>
      </c>
      <c r="O710" t="s">
        <v>151</v>
      </c>
      <c r="P710" t="s">
        <v>164</v>
      </c>
      <c r="Q710" t="s">
        <v>165</v>
      </c>
      <c r="R710" t="s">
        <v>174</v>
      </c>
      <c r="S710" t="s">
        <v>52</v>
      </c>
      <c r="T710" t="s">
        <v>166</v>
      </c>
      <c r="U710">
        <v>4</v>
      </c>
      <c r="V710" t="s">
        <v>132</v>
      </c>
      <c r="W710" t="s">
        <v>100</v>
      </c>
      <c r="X710" t="s">
        <v>80</v>
      </c>
      <c r="Y710">
        <v>2</v>
      </c>
      <c r="Z710">
        <v>1</v>
      </c>
      <c r="AA710">
        <v>44.1</v>
      </c>
      <c r="AB710">
        <v>-1</v>
      </c>
      <c r="AC710" t="s">
        <v>166</v>
      </c>
      <c r="AD710">
        <v>1</v>
      </c>
      <c r="AE710">
        <v>4</v>
      </c>
      <c r="AF710">
        <v>1</v>
      </c>
      <c r="AG710">
        <v>1.907</v>
      </c>
      <c r="AH710">
        <v>0.11600000000000001</v>
      </c>
      <c r="AI710">
        <v>-1</v>
      </c>
    </row>
    <row r="711" spans="1:35" x14ac:dyDescent="0.25">
      <c r="A711">
        <v>259</v>
      </c>
      <c r="B711" t="s">
        <v>35</v>
      </c>
      <c r="C711">
        <v>3</v>
      </c>
      <c r="D711" t="s">
        <v>36</v>
      </c>
      <c r="E711">
        <v>4</v>
      </c>
      <c r="F711" t="s">
        <v>259</v>
      </c>
      <c r="G711">
        <v>4</v>
      </c>
      <c r="H711">
        <v>12</v>
      </c>
      <c r="I711">
        <v>1</v>
      </c>
      <c r="J711">
        <v>62</v>
      </c>
      <c r="K711">
        <v>51</v>
      </c>
      <c r="L711">
        <v>13</v>
      </c>
      <c r="M711">
        <v>1</v>
      </c>
      <c r="N711" t="s">
        <v>167</v>
      </c>
      <c r="O711" t="s">
        <v>151</v>
      </c>
      <c r="P711" t="s">
        <v>168</v>
      </c>
      <c r="Q711" t="s">
        <v>169</v>
      </c>
      <c r="R711" t="s">
        <v>170</v>
      </c>
      <c r="S711" t="s">
        <v>59</v>
      </c>
      <c r="T711" t="s">
        <v>96</v>
      </c>
      <c r="U711">
        <v>2</v>
      </c>
      <c r="V711" t="s">
        <v>103</v>
      </c>
      <c r="W711" t="s">
        <v>128</v>
      </c>
      <c r="X711" t="s">
        <v>93</v>
      </c>
      <c r="Y711">
        <v>2</v>
      </c>
      <c r="Z711">
        <v>1</v>
      </c>
      <c r="AA711">
        <v>44.1</v>
      </c>
      <c r="AB711">
        <v>-1</v>
      </c>
      <c r="AC711" t="s">
        <v>128</v>
      </c>
      <c r="AD711">
        <v>4</v>
      </c>
      <c r="AE711">
        <v>1</v>
      </c>
      <c r="AF711">
        <v>0</v>
      </c>
      <c r="AG711">
        <v>2.5939999999999999</v>
      </c>
      <c r="AH711">
        <v>0.433</v>
      </c>
      <c r="AI711">
        <v>-1</v>
      </c>
    </row>
    <row r="712" spans="1:35" x14ac:dyDescent="0.25">
      <c r="A712">
        <v>259</v>
      </c>
      <c r="B712" t="s">
        <v>35</v>
      </c>
      <c r="C712">
        <v>3</v>
      </c>
      <c r="D712" t="s">
        <v>36</v>
      </c>
      <c r="E712">
        <v>4</v>
      </c>
      <c r="F712" t="s">
        <v>259</v>
      </c>
      <c r="G712">
        <v>4</v>
      </c>
      <c r="H712">
        <v>12</v>
      </c>
      <c r="I712">
        <v>1</v>
      </c>
      <c r="J712">
        <v>63</v>
      </c>
      <c r="K712">
        <v>71</v>
      </c>
      <c r="L712">
        <v>21</v>
      </c>
      <c r="M712">
        <v>1</v>
      </c>
      <c r="N712" t="s">
        <v>252</v>
      </c>
      <c r="O712" t="s">
        <v>151</v>
      </c>
      <c r="P712" t="s">
        <v>242</v>
      </c>
      <c r="Q712" t="s">
        <v>243</v>
      </c>
      <c r="R712" t="s">
        <v>170</v>
      </c>
      <c r="S712" t="s">
        <v>59</v>
      </c>
      <c r="T712" t="s">
        <v>146</v>
      </c>
      <c r="U712">
        <v>5</v>
      </c>
      <c r="V712" t="s">
        <v>139</v>
      </c>
      <c r="W712" t="s">
        <v>104</v>
      </c>
      <c r="X712" t="s">
        <v>54</v>
      </c>
      <c r="Y712">
        <v>2</v>
      </c>
      <c r="Z712">
        <v>1</v>
      </c>
      <c r="AA712">
        <v>44.1</v>
      </c>
      <c r="AB712">
        <v>-1</v>
      </c>
      <c r="AC712" t="s">
        <v>104</v>
      </c>
      <c r="AD712">
        <v>4</v>
      </c>
      <c r="AE712">
        <v>4</v>
      </c>
      <c r="AF712">
        <v>0</v>
      </c>
      <c r="AG712">
        <v>2.5510000000000002</v>
      </c>
      <c r="AH712">
        <v>8.3000000000000004E-2</v>
      </c>
      <c r="AI712">
        <v>-1</v>
      </c>
    </row>
    <row r="713" spans="1:35" x14ac:dyDescent="0.25">
      <c r="A713">
        <v>259</v>
      </c>
      <c r="B713" t="s">
        <v>35</v>
      </c>
      <c r="C713">
        <v>3</v>
      </c>
      <c r="D713" t="s">
        <v>36</v>
      </c>
      <c r="E713">
        <v>4</v>
      </c>
      <c r="F713" t="s">
        <v>259</v>
      </c>
      <c r="G713">
        <v>4</v>
      </c>
      <c r="H713">
        <v>12</v>
      </c>
      <c r="I713">
        <v>1</v>
      </c>
      <c r="J713">
        <v>64</v>
      </c>
      <c r="K713">
        <v>58</v>
      </c>
      <c r="L713">
        <v>16</v>
      </c>
      <c r="M713">
        <v>1</v>
      </c>
      <c r="N713" t="s">
        <v>173</v>
      </c>
      <c r="O713" t="s">
        <v>151</v>
      </c>
      <c r="P713" t="s">
        <v>152</v>
      </c>
      <c r="Q713" t="s">
        <v>153</v>
      </c>
      <c r="R713" t="s">
        <v>174</v>
      </c>
      <c r="S713" t="s">
        <v>52</v>
      </c>
      <c r="T713" t="s">
        <v>99</v>
      </c>
      <c r="U713">
        <v>4</v>
      </c>
      <c r="V713" t="s">
        <v>155</v>
      </c>
      <c r="W713" t="s">
        <v>66</v>
      </c>
      <c r="X713" t="s">
        <v>81</v>
      </c>
      <c r="Y713">
        <v>1</v>
      </c>
      <c r="Z713">
        <v>1</v>
      </c>
      <c r="AA713">
        <v>44.1</v>
      </c>
      <c r="AB713">
        <v>-1</v>
      </c>
      <c r="AC713" t="s">
        <v>81</v>
      </c>
      <c r="AD713">
        <v>4</v>
      </c>
      <c r="AE713">
        <v>1</v>
      </c>
      <c r="AF713">
        <v>0</v>
      </c>
      <c r="AG713">
        <v>2.5299999999999998</v>
      </c>
      <c r="AH713">
        <v>0.33300000000000002</v>
      </c>
      <c r="AI713">
        <v>-1</v>
      </c>
    </row>
    <row r="714" spans="1:35" x14ac:dyDescent="0.25">
      <c r="A714">
        <v>259</v>
      </c>
      <c r="B714" t="s">
        <v>35</v>
      </c>
      <c r="C714">
        <v>3</v>
      </c>
      <c r="D714" t="s">
        <v>36</v>
      </c>
      <c r="E714">
        <v>4</v>
      </c>
      <c r="F714" t="s">
        <v>259</v>
      </c>
      <c r="G714">
        <v>4</v>
      </c>
      <c r="H714">
        <v>12</v>
      </c>
      <c r="I714">
        <v>1</v>
      </c>
      <c r="J714">
        <v>65</v>
      </c>
      <c r="K714">
        <v>50</v>
      </c>
      <c r="L714">
        <v>60</v>
      </c>
      <c r="M714">
        <v>2</v>
      </c>
      <c r="N714" t="s">
        <v>157</v>
      </c>
      <c r="O714" t="s">
        <v>151</v>
      </c>
      <c r="P714" t="s">
        <v>158</v>
      </c>
      <c r="Q714" t="s">
        <v>159</v>
      </c>
      <c r="R714" t="s">
        <v>160</v>
      </c>
      <c r="S714" t="s">
        <v>43</v>
      </c>
      <c r="T714" t="s">
        <v>161</v>
      </c>
      <c r="U714">
        <v>2</v>
      </c>
      <c r="V714" t="s">
        <v>121</v>
      </c>
      <c r="W714" t="s">
        <v>94</v>
      </c>
      <c r="X714" t="s">
        <v>162</v>
      </c>
      <c r="Y714">
        <v>2</v>
      </c>
      <c r="Z714">
        <v>1</v>
      </c>
      <c r="AA714">
        <v>44.1</v>
      </c>
      <c r="AB714">
        <v>-1</v>
      </c>
      <c r="AC714" t="s">
        <v>161</v>
      </c>
      <c r="AD714">
        <v>1</v>
      </c>
      <c r="AE714">
        <v>2</v>
      </c>
      <c r="AF714">
        <v>1</v>
      </c>
      <c r="AG714">
        <v>0.71899999999999997</v>
      </c>
      <c r="AH714">
        <v>9.5000000000000001E-2</v>
      </c>
      <c r="AI714">
        <v>-1</v>
      </c>
    </row>
    <row r="715" spans="1:35" x14ac:dyDescent="0.25">
      <c r="A715">
        <v>259</v>
      </c>
      <c r="B715" t="s">
        <v>35</v>
      </c>
      <c r="C715">
        <v>3</v>
      </c>
      <c r="D715" t="s">
        <v>36</v>
      </c>
      <c r="E715">
        <v>4</v>
      </c>
      <c r="F715" t="s">
        <v>259</v>
      </c>
      <c r="G715">
        <v>4</v>
      </c>
      <c r="H715">
        <v>12</v>
      </c>
      <c r="I715">
        <v>1</v>
      </c>
      <c r="J715">
        <v>66</v>
      </c>
      <c r="K715">
        <v>66</v>
      </c>
      <c r="L715">
        <v>54</v>
      </c>
      <c r="M715">
        <v>2</v>
      </c>
      <c r="N715" t="s">
        <v>248</v>
      </c>
      <c r="O715" t="s">
        <v>151</v>
      </c>
      <c r="P715" t="s">
        <v>249</v>
      </c>
      <c r="Q715" t="s">
        <v>250</v>
      </c>
      <c r="R715" t="s">
        <v>154</v>
      </c>
      <c r="S715" t="s">
        <v>92</v>
      </c>
      <c r="T715" t="s">
        <v>68</v>
      </c>
      <c r="U715">
        <v>2</v>
      </c>
      <c r="V715" t="s">
        <v>204</v>
      </c>
      <c r="W715" t="s">
        <v>214</v>
      </c>
      <c r="X715" t="s">
        <v>131</v>
      </c>
      <c r="Y715">
        <v>1</v>
      </c>
      <c r="Z715">
        <v>1</v>
      </c>
      <c r="AA715">
        <v>44.1</v>
      </c>
      <c r="AB715">
        <v>-1</v>
      </c>
      <c r="AC715" t="s">
        <v>68</v>
      </c>
      <c r="AD715">
        <v>1</v>
      </c>
      <c r="AE715">
        <v>2</v>
      </c>
      <c r="AF715">
        <v>1</v>
      </c>
      <c r="AG715">
        <v>2.9830000000000001</v>
      </c>
      <c r="AH715">
        <v>0.2</v>
      </c>
      <c r="AI715">
        <v>-1</v>
      </c>
    </row>
    <row r="716" spans="1:35" x14ac:dyDescent="0.25">
      <c r="A716">
        <v>259</v>
      </c>
      <c r="B716" t="s">
        <v>35</v>
      </c>
      <c r="C716">
        <v>3</v>
      </c>
      <c r="D716" t="s">
        <v>36</v>
      </c>
      <c r="E716">
        <v>4</v>
      </c>
      <c r="F716" t="s">
        <v>259</v>
      </c>
      <c r="G716">
        <v>4</v>
      </c>
      <c r="H716">
        <v>12</v>
      </c>
      <c r="I716">
        <v>1</v>
      </c>
      <c r="J716">
        <v>67</v>
      </c>
      <c r="K716">
        <v>56</v>
      </c>
      <c r="L716">
        <v>52</v>
      </c>
      <c r="M716">
        <v>2</v>
      </c>
      <c r="N716" t="s">
        <v>188</v>
      </c>
      <c r="O716" t="s">
        <v>151</v>
      </c>
      <c r="P716" t="s">
        <v>177</v>
      </c>
      <c r="Q716" t="s">
        <v>178</v>
      </c>
      <c r="R716" t="s">
        <v>160</v>
      </c>
      <c r="S716" t="s">
        <v>43</v>
      </c>
      <c r="T716" t="s">
        <v>108</v>
      </c>
      <c r="U716">
        <v>2</v>
      </c>
      <c r="V716" t="s">
        <v>55</v>
      </c>
      <c r="W716" t="s">
        <v>56</v>
      </c>
      <c r="X716" t="s">
        <v>138</v>
      </c>
      <c r="Y716">
        <v>2</v>
      </c>
      <c r="Z716">
        <v>1</v>
      </c>
      <c r="AA716">
        <v>44.1</v>
      </c>
      <c r="AB716">
        <v>-1</v>
      </c>
      <c r="AC716" t="s">
        <v>108</v>
      </c>
      <c r="AD716">
        <v>1</v>
      </c>
      <c r="AE716">
        <v>2</v>
      </c>
      <c r="AF716">
        <v>1</v>
      </c>
      <c r="AG716">
        <v>1.1379999999999999</v>
      </c>
      <c r="AH716">
        <v>6.6000000000000003E-2</v>
      </c>
      <c r="AI716">
        <v>-1</v>
      </c>
    </row>
    <row r="717" spans="1:35" x14ac:dyDescent="0.25">
      <c r="A717">
        <v>259</v>
      </c>
      <c r="B717" t="s">
        <v>35</v>
      </c>
      <c r="C717">
        <v>3</v>
      </c>
      <c r="D717" t="s">
        <v>36</v>
      </c>
      <c r="E717">
        <v>4</v>
      </c>
      <c r="F717" t="s">
        <v>259</v>
      </c>
      <c r="G717">
        <v>4</v>
      </c>
      <c r="H717">
        <v>12</v>
      </c>
      <c r="I717">
        <v>1</v>
      </c>
      <c r="J717">
        <v>68</v>
      </c>
      <c r="K717">
        <v>70</v>
      </c>
      <c r="L717">
        <v>58</v>
      </c>
      <c r="M717">
        <v>2</v>
      </c>
      <c r="N717" t="s">
        <v>235</v>
      </c>
      <c r="O717" t="s">
        <v>151</v>
      </c>
      <c r="P717" t="s">
        <v>236</v>
      </c>
      <c r="Q717" t="s">
        <v>237</v>
      </c>
      <c r="R717" t="s">
        <v>160</v>
      </c>
      <c r="S717" t="s">
        <v>43</v>
      </c>
      <c r="T717" t="s">
        <v>55</v>
      </c>
      <c r="U717">
        <v>1</v>
      </c>
      <c r="V717" t="s">
        <v>75</v>
      </c>
      <c r="W717" t="s">
        <v>106</v>
      </c>
      <c r="X717" t="s">
        <v>127</v>
      </c>
      <c r="Y717">
        <v>1</v>
      </c>
      <c r="Z717">
        <v>1</v>
      </c>
      <c r="AA717">
        <v>44.1</v>
      </c>
      <c r="AB717">
        <v>-1</v>
      </c>
      <c r="AC717" t="s">
        <v>55</v>
      </c>
      <c r="AD717">
        <v>1</v>
      </c>
      <c r="AE717">
        <v>1</v>
      </c>
      <c r="AF717">
        <v>1</v>
      </c>
      <c r="AG717">
        <v>2.5430000000000001</v>
      </c>
      <c r="AH717">
        <v>0.1</v>
      </c>
      <c r="AI717">
        <v>-1</v>
      </c>
    </row>
    <row r="718" spans="1:35" x14ac:dyDescent="0.25">
      <c r="A718">
        <v>259</v>
      </c>
      <c r="B718" t="s">
        <v>35</v>
      </c>
      <c r="C718">
        <v>3</v>
      </c>
      <c r="D718" t="s">
        <v>36</v>
      </c>
      <c r="E718">
        <v>4</v>
      </c>
      <c r="F718" t="s">
        <v>259</v>
      </c>
      <c r="G718">
        <v>4</v>
      </c>
      <c r="H718">
        <v>12</v>
      </c>
      <c r="I718">
        <v>1</v>
      </c>
      <c r="J718">
        <v>69</v>
      </c>
      <c r="K718">
        <v>65</v>
      </c>
      <c r="L718">
        <v>53</v>
      </c>
      <c r="M718">
        <v>2</v>
      </c>
      <c r="N718" t="s">
        <v>257</v>
      </c>
      <c r="O718" t="s">
        <v>151</v>
      </c>
      <c r="P718" t="s">
        <v>249</v>
      </c>
      <c r="Q718" t="s">
        <v>250</v>
      </c>
      <c r="R718" t="s">
        <v>170</v>
      </c>
      <c r="S718" t="s">
        <v>59</v>
      </c>
      <c r="T718" t="s">
        <v>204</v>
      </c>
      <c r="U718">
        <v>5</v>
      </c>
      <c r="V718" t="s">
        <v>211</v>
      </c>
      <c r="W718" t="s">
        <v>53</v>
      </c>
      <c r="X718" t="s">
        <v>74</v>
      </c>
      <c r="Y718">
        <v>2</v>
      </c>
      <c r="Z718">
        <v>1</v>
      </c>
      <c r="AA718">
        <v>44.1</v>
      </c>
      <c r="AB718">
        <v>-1</v>
      </c>
      <c r="AC718" t="s">
        <v>74</v>
      </c>
      <c r="AD718">
        <v>4</v>
      </c>
      <c r="AE718">
        <v>2</v>
      </c>
      <c r="AF718">
        <v>0</v>
      </c>
      <c r="AG718">
        <v>2.581</v>
      </c>
      <c r="AH718">
        <v>0.05</v>
      </c>
      <c r="AI718">
        <v>-1</v>
      </c>
    </row>
    <row r="719" spans="1:35" x14ac:dyDescent="0.25">
      <c r="A719">
        <v>259</v>
      </c>
      <c r="B719" t="s">
        <v>35</v>
      </c>
      <c r="C719">
        <v>3</v>
      </c>
      <c r="D719" t="s">
        <v>36</v>
      </c>
      <c r="E719">
        <v>4</v>
      </c>
      <c r="F719" t="s">
        <v>259</v>
      </c>
      <c r="G719">
        <v>4</v>
      </c>
      <c r="H719">
        <v>12</v>
      </c>
      <c r="I719">
        <v>1</v>
      </c>
      <c r="J719">
        <v>70</v>
      </c>
      <c r="K719">
        <v>59</v>
      </c>
      <c r="L719">
        <v>55</v>
      </c>
      <c r="M719">
        <v>2</v>
      </c>
      <c r="N719" t="s">
        <v>163</v>
      </c>
      <c r="O719" t="s">
        <v>151</v>
      </c>
      <c r="P719" t="s">
        <v>164</v>
      </c>
      <c r="Q719" t="s">
        <v>165</v>
      </c>
      <c r="R719" t="s">
        <v>154</v>
      </c>
      <c r="S719" t="s">
        <v>92</v>
      </c>
      <c r="T719" t="s">
        <v>86</v>
      </c>
      <c r="U719">
        <v>2</v>
      </c>
      <c r="V719" t="s">
        <v>166</v>
      </c>
      <c r="W719" t="s">
        <v>85</v>
      </c>
      <c r="X719" t="s">
        <v>95</v>
      </c>
      <c r="Y719">
        <v>1</v>
      </c>
      <c r="Z719">
        <v>1</v>
      </c>
      <c r="AA719">
        <v>44.1</v>
      </c>
      <c r="AB719">
        <v>-1</v>
      </c>
      <c r="AC719" t="s">
        <v>86</v>
      </c>
      <c r="AD719">
        <v>1</v>
      </c>
      <c r="AE719">
        <v>2</v>
      </c>
      <c r="AF719">
        <v>1</v>
      </c>
      <c r="AG719">
        <v>1.45</v>
      </c>
      <c r="AH719">
        <v>0.216</v>
      </c>
      <c r="AI719">
        <v>-1</v>
      </c>
    </row>
    <row r="720" spans="1:35" x14ac:dyDescent="0.25">
      <c r="A720">
        <v>259</v>
      </c>
      <c r="B720" t="s">
        <v>35</v>
      </c>
      <c r="C720">
        <v>3</v>
      </c>
      <c r="D720" t="s">
        <v>36</v>
      </c>
      <c r="E720">
        <v>4</v>
      </c>
      <c r="F720" t="s">
        <v>259</v>
      </c>
      <c r="G720">
        <v>4</v>
      </c>
      <c r="H720">
        <v>12</v>
      </c>
      <c r="I720">
        <v>1</v>
      </c>
      <c r="J720">
        <v>71</v>
      </c>
      <c r="K720">
        <v>53</v>
      </c>
      <c r="L720">
        <v>49</v>
      </c>
      <c r="M720">
        <v>2</v>
      </c>
      <c r="N720" t="s">
        <v>180</v>
      </c>
      <c r="O720" t="s">
        <v>151</v>
      </c>
      <c r="P720" t="s">
        <v>181</v>
      </c>
      <c r="Q720" t="s">
        <v>182</v>
      </c>
      <c r="R720" t="s">
        <v>154</v>
      </c>
      <c r="S720" t="s">
        <v>92</v>
      </c>
      <c r="T720" t="s">
        <v>183</v>
      </c>
      <c r="U720">
        <v>5</v>
      </c>
      <c r="V720" t="s">
        <v>86</v>
      </c>
      <c r="W720" t="s">
        <v>60</v>
      </c>
      <c r="X720" t="s">
        <v>61</v>
      </c>
      <c r="Y720">
        <v>2</v>
      </c>
      <c r="Z720">
        <v>1</v>
      </c>
      <c r="AA720">
        <v>44.1</v>
      </c>
      <c r="AB720">
        <v>-1</v>
      </c>
      <c r="AC720" t="s">
        <v>60</v>
      </c>
      <c r="AD720">
        <v>4</v>
      </c>
      <c r="AE720">
        <v>1</v>
      </c>
      <c r="AF720">
        <v>0</v>
      </c>
      <c r="AG720">
        <v>2.68</v>
      </c>
      <c r="AH720">
        <v>0.183</v>
      </c>
      <c r="AI720">
        <v>-1</v>
      </c>
    </row>
    <row r="721" spans="1:35" x14ac:dyDescent="0.25">
      <c r="A721">
        <v>259</v>
      </c>
      <c r="B721" t="s">
        <v>35</v>
      </c>
      <c r="C721">
        <v>3</v>
      </c>
      <c r="D721" t="s">
        <v>36</v>
      </c>
      <c r="E721">
        <v>4</v>
      </c>
      <c r="F721" t="s">
        <v>259</v>
      </c>
      <c r="G721">
        <v>4</v>
      </c>
      <c r="H721">
        <v>12</v>
      </c>
      <c r="I721">
        <v>1</v>
      </c>
      <c r="J721">
        <v>72</v>
      </c>
      <c r="K721">
        <v>64</v>
      </c>
      <c r="L721">
        <v>20</v>
      </c>
      <c r="M721">
        <v>1</v>
      </c>
      <c r="N721" t="s">
        <v>238</v>
      </c>
      <c r="O721" t="s">
        <v>151</v>
      </c>
      <c r="P721" t="s">
        <v>239</v>
      </c>
      <c r="Q721" t="s">
        <v>240</v>
      </c>
      <c r="R721" t="s">
        <v>160</v>
      </c>
      <c r="S721" t="s">
        <v>43</v>
      </c>
      <c r="T721" t="s">
        <v>82</v>
      </c>
      <c r="U721">
        <v>4</v>
      </c>
      <c r="V721" t="s">
        <v>110</v>
      </c>
      <c r="W721" t="s">
        <v>137</v>
      </c>
      <c r="X721" t="s">
        <v>149</v>
      </c>
      <c r="Y721">
        <v>2</v>
      </c>
      <c r="Z721">
        <v>1</v>
      </c>
      <c r="AA721">
        <v>44.1</v>
      </c>
      <c r="AB721">
        <v>-1</v>
      </c>
      <c r="AC721" t="s">
        <v>82</v>
      </c>
      <c r="AD721">
        <v>1</v>
      </c>
      <c r="AE721">
        <v>4</v>
      </c>
      <c r="AF721">
        <v>1</v>
      </c>
      <c r="AG721">
        <v>0.46</v>
      </c>
      <c r="AH721">
        <v>0.15</v>
      </c>
      <c r="AI721">
        <v>-1</v>
      </c>
    </row>
    <row r="722" spans="1:35" x14ac:dyDescent="0.25">
      <c r="A722">
        <v>259</v>
      </c>
      <c r="B722" t="s">
        <v>35</v>
      </c>
      <c r="C722">
        <v>3</v>
      </c>
      <c r="D722" t="s">
        <v>36</v>
      </c>
      <c r="E722">
        <v>4</v>
      </c>
      <c r="F722" t="s">
        <v>259</v>
      </c>
      <c r="G722">
        <v>4</v>
      </c>
      <c r="H722">
        <v>12</v>
      </c>
      <c r="I722">
        <v>2</v>
      </c>
      <c r="J722">
        <v>1</v>
      </c>
      <c r="K722">
        <v>24</v>
      </c>
      <c r="L722">
        <v>10</v>
      </c>
      <c r="M722">
        <v>1</v>
      </c>
      <c r="N722" t="s">
        <v>201</v>
      </c>
      <c r="O722" t="s">
        <v>39</v>
      </c>
      <c r="P722" t="s">
        <v>202</v>
      </c>
      <c r="Q722" t="s">
        <v>203</v>
      </c>
      <c r="R722" t="s">
        <v>51</v>
      </c>
      <c r="S722" t="s">
        <v>52</v>
      </c>
      <c r="T722" t="s">
        <v>172</v>
      </c>
      <c r="U722">
        <v>2</v>
      </c>
      <c r="V722" t="s">
        <v>147</v>
      </c>
      <c r="W722" t="s">
        <v>155</v>
      </c>
      <c r="X722" t="s">
        <v>104</v>
      </c>
      <c r="Y722">
        <v>1</v>
      </c>
      <c r="Z722">
        <v>3</v>
      </c>
      <c r="AA722">
        <v>44.1</v>
      </c>
      <c r="AB722">
        <v>-1</v>
      </c>
      <c r="AC722" t="s">
        <v>172</v>
      </c>
      <c r="AD722">
        <v>1</v>
      </c>
      <c r="AE722">
        <v>2</v>
      </c>
      <c r="AF722">
        <v>1</v>
      </c>
      <c r="AG722">
        <v>1.1080000000000001</v>
      </c>
      <c r="AH722">
        <v>0.61599999999999999</v>
      </c>
      <c r="AI722">
        <v>-1</v>
      </c>
    </row>
    <row r="723" spans="1:35" x14ac:dyDescent="0.25">
      <c r="A723">
        <v>259</v>
      </c>
      <c r="B723" t="s">
        <v>35</v>
      </c>
      <c r="C723">
        <v>3</v>
      </c>
      <c r="D723" t="s">
        <v>36</v>
      </c>
      <c r="E723">
        <v>4</v>
      </c>
      <c r="F723" t="s">
        <v>259</v>
      </c>
      <c r="G723">
        <v>4</v>
      </c>
      <c r="H723">
        <v>12</v>
      </c>
      <c r="I723">
        <v>2</v>
      </c>
      <c r="J723">
        <v>2</v>
      </c>
      <c r="K723">
        <v>9</v>
      </c>
      <c r="L723">
        <v>3</v>
      </c>
      <c r="M723">
        <v>1</v>
      </c>
      <c r="N723" t="s">
        <v>88</v>
      </c>
      <c r="O723" t="s">
        <v>39</v>
      </c>
      <c r="P723" t="s">
        <v>89</v>
      </c>
      <c r="Q723" t="s">
        <v>90</v>
      </c>
      <c r="R723" t="s">
        <v>91</v>
      </c>
      <c r="S723" t="s">
        <v>92</v>
      </c>
      <c r="T723" t="s">
        <v>93</v>
      </c>
      <c r="U723">
        <v>5</v>
      </c>
      <c r="V723" t="s">
        <v>102</v>
      </c>
      <c r="W723" t="s">
        <v>108</v>
      </c>
      <c r="X723" t="s">
        <v>100</v>
      </c>
      <c r="Y723">
        <v>1</v>
      </c>
      <c r="Z723">
        <v>3</v>
      </c>
      <c r="AA723">
        <v>44.1</v>
      </c>
      <c r="AB723">
        <v>-1</v>
      </c>
      <c r="AC723" t="s">
        <v>102</v>
      </c>
      <c r="AD723">
        <v>2</v>
      </c>
      <c r="AE723">
        <v>1</v>
      </c>
      <c r="AF723">
        <v>0</v>
      </c>
      <c r="AG723">
        <v>2.1619999999999999</v>
      </c>
      <c r="AH723">
        <v>9.6000000000000002E-2</v>
      </c>
      <c r="AI723">
        <v>-1</v>
      </c>
    </row>
    <row r="724" spans="1:35" x14ac:dyDescent="0.25">
      <c r="A724">
        <v>259</v>
      </c>
      <c r="B724" t="s">
        <v>35</v>
      </c>
      <c r="C724">
        <v>3</v>
      </c>
      <c r="D724" t="s">
        <v>36</v>
      </c>
      <c r="E724">
        <v>4</v>
      </c>
      <c r="F724" t="s">
        <v>259</v>
      </c>
      <c r="G724">
        <v>4</v>
      </c>
      <c r="H724">
        <v>12</v>
      </c>
      <c r="I724">
        <v>2</v>
      </c>
      <c r="J724">
        <v>3</v>
      </c>
      <c r="K724">
        <v>17</v>
      </c>
      <c r="L724">
        <v>41</v>
      </c>
      <c r="M724">
        <v>2</v>
      </c>
      <c r="N724" t="s">
        <v>198</v>
      </c>
      <c r="O724" t="s">
        <v>39</v>
      </c>
      <c r="P724" t="s">
        <v>199</v>
      </c>
      <c r="Q724" t="s">
        <v>200</v>
      </c>
      <c r="R724" t="s">
        <v>58</v>
      </c>
      <c r="S724" t="s">
        <v>59</v>
      </c>
      <c r="T724" t="s">
        <v>138</v>
      </c>
      <c r="U724">
        <v>4</v>
      </c>
      <c r="V724" t="s">
        <v>98</v>
      </c>
      <c r="W724" t="s">
        <v>47</v>
      </c>
      <c r="X724" t="s">
        <v>214</v>
      </c>
      <c r="Y724">
        <v>1</v>
      </c>
      <c r="Z724">
        <v>3</v>
      </c>
      <c r="AA724">
        <v>44.1</v>
      </c>
      <c r="AB724">
        <v>-1</v>
      </c>
      <c r="AC724" t="s">
        <v>98</v>
      </c>
      <c r="AD724">
        <v>2</v>
      </c>
      <c r="AE724">
        <v>2</v>
      </c>
      <c r="AF724">
        <v>0</v>
      </c>
      <c r="AG724">
        <v>2.1789999999999998</v>
      </c>
      <c r="AH724">
        <v>0.73299999999999998</v>
      </c>
      <c r="AI724">
        <v>-1</v>
      </c>
    </row>
    <row r="725" spans="1:35" x14ac:dyDescent="0.25">
      <c r="A725">
        <v>259</v>
      </c>
      <c r="B725" t="s">
        <v>35</v>
      </c>
      <c r="C725">
        <v>3</v>
      </c>
      <c r="D725" t="s">
        <v>36</v>
      </c>
      <c r="E725">
        <v>4</v>
      </c>
      <c r="F725" t="s">
        <v>259</v>
      </c>
      <c r="G725">
        <v>4</v>
      </c>
      <c r="H725">
        <v>12</v>
      </c>
      <c r="I725">
        <v>2</v>
      </c>
      <c r="J725">
        <v>4</v>
      </c>
      <c r="K725">
        <v>20</v>
      </c>
      <c r="L725">
        <v>6</v>
      </c>
      <c r="M725">
        <v>1</v>
      </c>
      <c r="N725" t="s">
        <v>215</v>
      </c>
      <c r="O725" t="s">
        <v>39</v>
      </c>
      <c r="P725" t="s">
        <v>193</v>
      </c>
      <c r="Q725" t="s">
        <v>194</v>
      </c>
      <c r="R725" t="s">
        <v>42</v>
      </c>
      <c r="S725" t="s">
        <v>43</v>
      </c>
      <c r="T725" t="s">
        <v>185</v>
      </c>
      <c r="U725">
        <v>5</v>
      </c>
      <c r="V725" t="s">
        <v>131</v>
      </c>
      <c r="W725" t="s">
        <v>209</v>
      </c>
      <c r="X725" t="s">
        <v>86</v>
      </c>
      <c r="Y725">
        <v>2</v>
      </c>
      <c r="Z725">
        <v>3</v>
      </c>
      <c r="AA725">
        <v>44.1</v>
      </c>
      <c r="AB725">
        <v>-1</v>
      </c>
      <c r="AC725" t="s">
        <v>185</v>
      </c>
      <c r="AD725">
        <v>1</v>
      </c>
      <c r="AE725">
        <v>5</v>
      </c>
      <c r="AF725">
        <v>1</v>
      </c>
      <c r="AG725">
        <v>2.3959999999999999</v>
      </c>
      <c r="AH725">
        <v>2.7170000000000001</v>
      </c>
      <c r="AI725">
        <v>-1</v>
      </c>
    </row>
    <row r="726" spans="1:35" x14ac:dyDescent="0.25">
      <c r="A726">
        <v>259</v>
      </c>
      <c r="B726" t="s">
        <v>35</v>
      </c>
      <c r="C726">
        <v>3</v>
      </c>
      <c r="D726" t="s">
        <v>36</v>
      </c>
      <c r="E726">
        <v>4</v>
      </c>
      <c r="F726" t="s">
        <v>259</v>
      </c>
      <c r="G726">
        <v>4</v>
      </c>
      <c r="H726">
        <v>12</v>
      </c>
      <c r="I726">
        <v>2</v>
      </c>
      <c r="J726">
        <v>5</v>
      </c>
      <c r="K726">
        <v>22</v>
      </c>
      <c r="L726">
        <v>46</v>
      </c>
      <c r="M726">
        <v>2</v>
      </c>
      <c r="N726" t="s">
        <v>189</v>
      </c>
      <c r="O726" t="s">
        <v>39</v>
      </c>
      <c r="P726" t="s">
        <v>190</v>
      </c>
      <c r="Q726" t="s">
        <v>191</v>
      </c>
      <c r="R726" t="s">
        <v>42</v>
      </c>
      <c r="S726" t="s">
        <v>43</v>
      </c>
      <c r="T726" t="s">
        <v>45</v>
      </c>
      <c r="U726">
        <v>4</v>
      </c>
      <c r="V726" t="s">
        <v>67</v>
      </c>
      <c r="W726" t="s">
        <v>127</v>
      </c>
      <c r="X726" t="s">
        <v>187</v>
      </c>
      <c r="Y726">
        <v>2</v>
      </c>
      <c r="Z726">
        <v>3</v>
      </c>
      <c r="AA726">
        <v>44.1</v>
      </c>
      <c r="AB726">
        <v>-1</v>
      </c>
      <c r="AC726" t="s">
        <v>187</v>
      </c>
      <c r="AD726">
        <v>4</v>
      </c>
      <c r="AE726">
        <v>1</v>
      </c>
      <c r="AF726">
        <v>0</v>
      </c>
      <c r="AG726">
        <v>2.0499999999999998</v>
      </c>
      <c r="AH726">
        <v>0.2</v>
      </c>
      <c r="AI726">
        <v>-1</v>
      </c>
    </row>
    <row r="727" spans="1:35" x14ac:dyDescent="0.25">
      <c r="A727">
        <v>259</v>
      </c>
      <c r="B727" t="s">
        <v>35</v>
      </c>
      <c r="C727">
        <v>3</v>
      </c>
      <c r="D727" t="s">
        <v>36</v>
      </c>
      <c r="E727">
        <v>4</v>
      </c>
      <c r="F727" t="s">
        <v>259</v>
      </c>
      <c r="G727">
        <v>4</v>
      </c>
      <c r="H727">
        <v>12</v>
      </c>
      <c r="I727">
        <v>2</v>
      </c>
      <c r="J727">
        <v>6</v>
      </c>
      <c r="K727">
        <v>7</v>
      </c>
      <c r="L727">
        <v>39</v>
      </c>
      <c r="M727">
        <v>2</v>
      </c>
      <c r="N727" t="s">
        <v>63</v>
      </c>
      <c r="O727" t="s">
        <v>39</v>
      </c>
      <c r="P727" t="s">
        <v>64</v>
      </c>
      <c r="Q727" t="s">
        <v>65</v>
      </c>
      <c r="R727" t="s">
        <v>58</v>
      </c>
      <c r="S727" t="s">
        <v>59</v>
      </c>
      <c r="T727" t="s">
        <v>66</v>
      </c>
      <c r="U727">
        <v>4</v>
      </c>
      <c r="V727" t="s">
        <v>73</v>
      </c>
      <c r="W727" t="s">
        <v>161</v>
      </c>
      <c r="X727" t="s">
        <v>69</v>
      </c>
      <c r="Y727">
        <v>2</v>
      </c>
      <c r="Z727">
        <v>3</v>
      </c>
      <c r="AA727">
        <v>44.1</v>
      </c>
      <c r="AB727">
        <v>-1</v>
      </c>
      <c r="AC727" t="s">
        <v>66</v>
      </c>
      <c r="AD727">
        <v>1</v>
      </c>
      <c r="AE727">
        <v>4</v>
      </c>
      <c r="AF727">
        <v>1</v>
      </c>
      <c r="AG727">
        <v>1.4279999999999999</v>
      </c>
      <c r="AH727">
        <v>4.5999999999999999E-2</v>
      </c>
      <c r="AI727">
        <v>-1</v>
      </c>
    </row>
    <row r="728" spans="1:35" x14ac:dyDescent="0.25">
      <c r="A728">
        <v>259</v>
      </c>
      <c r="B728" t="s">
        <v>35</v>
      </c>
      <c r="C728">
        <v>3</v>
      </c>
      <c r="D728" t="s">
        <v>36</v>
      </c>
      <c r="E728">
        <v>4</v>
      </c>
      <c r="F728" t="s">
        <v>259</v>
      </c>
      <c r="G728">
        <v>4</v>
      </c>
      <c r="H728">
        <v>12</v>
      </c>
      <c r="I728">
        <v>2</v>
      </c>
      <c r="J728">
        <v>7</v>
      </c>
      <c r="K728">
        <v>6</v>
      </c>
      <c r="L728">
        <v>38</v>
      </c>
      <c r="M728">
        <v>2</v>
      </c>
      <c r="N728" t="s">
        <v>48</v>
      </c>
      <c r="O728" t="s">
        <v>39</v>
      </c>
      <c r="P728" t="s">
        <v>49</v>
      </c>
      <c r="Q728" t="s">
        <v>50</v>
      </c>
      <c r="R728" t="s">
        <v>51</v>
      </c>
      <c r="S728" t="s">
        <v>52</v>
      </c>
      <c r="T728" t="s">
        <v>53</v>
      </c>
      <c r="U728">
        <v>4</v>
      </c>
      <c r="V728" t="s">
        <v>172</v>
      </c>
      <c r="W728" t="s">
        <v>96</v>
      </c>
      <c r="X728" t="s">
        <v>137</v>
      </c>
      <c r="Y728">
        <v>2</v>
      </c>
      <c r="Z728">
        <v>3</v>
      </c>
      <c r="AA728">
        <v>44.1</v>
      </c>
      <c r="AB728">
        <v>-1</v>
      </c>
      <c r="AC728" t="s">
        <v>172</v>
      </c>
      <c r="AD728">
        <v>3</v>
      </c>
      <c r="AE728">
        <v>5</v>
      </c>
      <c r="AF728">
        <v>0</v>
      </c>
      <c r="AG728">
        <v>1.474</v>
      </c>
      <c r="AH728">
        <v>0.183</v>
      </c>
      <c r="AI728">
        <v>-1</v>
      </c>
    </row>
    <row r="729" spans="1:35" x14ac:dyDescent="0.25">
      <c r="A729">
        <v>259</v>
      </c>
      <c r="B729" t="s">
        <v>35</v>
      </c>
      <c r="C729">
        <v>3</v>
      </c>
      <c r="D729" t="s">
        <v>36</v>
      </c>
      <c r="E729">
        <v>4</v>
      </c>
      <c r="F729" t="s">
        <v>259</v>
      </c>
      <c r="G729">
        <v>4</v>
      </c>
      <c r="H729">
        <v>12</v>
      </c>
      <c r="I729">
        <v>2</v>
      </c>
      <c r="J729">
        <v>8</v>
      </c>
      <c r="K729">
        <v>4</v>
      </c>
      <c r="L729">
        <v>2</v>
      </c>
      <c r="M729">
        <v>1</v>
      </c>
      <c r="N729" t="s">
        <v>109</v>
      </c>
      <c r="O729" t="s">
        <v>39</v>
      </c>
      <c r="P729" t="s">
        <v>71</v>
      </c>
      <c r="Q729" t="s">
        <v>72</v>
      </c>
      <c r="R729" t="s">
        <v>91</v>
      </c>
      <c r="S729" t="s">
        <v>92</v>
      </c>
      <c r="T729" t="s">
        <v>94</v>
      </c>
      <c r="U729">
        <v>2</v>
      </c>
      <c r="V729" t="s">
        <v>54</v>
      </c>
      <c r="W729" t="s">
        <v>166</v>
      </c>
      <c r="X729" t="s">
        <v>111</v>
      </c>
      <c r="Y729">
        <v>2</v>
      </c>
      <c r="Z729">
        <v>3</v>
      </c>
      <c r="AA729">
        <v>44.1</v>
      </c>
      <c r="AB729">
        <v>-1</v>
      </c>
      <c r="AC729" t="s">
        <v>94</v>
      </c>
      <c r="AD729">
        <v>1</v>
      </c>
      <c r="AE729">
        <v>2</v>
      </c>
      <c r="AF729">
        <v>1</v>
      </c>
      <c r="AG729">
        <v>2.4769999999999999</v>
      </c>
      <c r="AH729">
        <v>0.183</v>
      </c>
      <c r="AI729">
        <v>-1</v>
      </c>
    </row>
    <row r="730" spans="1:35" x14ac:dyDescent="0.25">
      <c r="A730">
        <v>259</v>
      </c>
      <c r="B730" t="s">
        <v>35</v>
      </c>
      <c r="C730">
        <v>3</v>
      </c>
      <c r="D730" t="s">
        <v>36</v>
      </c>
      <c r="E730">
        <v>4</v>
      </c>
      <c r="F730" t="s">
        <v>259</v>
      </c>
      <c r="G730">
        <v>4</v>
      </c>
      <c r="H730">
        <v>12</v>
      </c>
      <c r="I730">
        <v>2</v>
      </c>
      <c r="J730">
        <v>9</v>
      </c>
      <c r="K730">
        <v>1</v>
      </c>
      <c r="L730">
        <v>47</v>
      </c>
      <c r="M730">
        <v>2</v>
      </c>
      <c r="N730" t="s">
        <v>57</v>
      </c>
      <c r="O730" t="s">
        <v>39</v>
      </c>
      <c r="P730" t="s">
        <v>40</v>
      </c>
      <c r="Q730" t="s">
        <v>41</v>
      </c>
      <c r="R730" t="s">
        <v>58</v>
      </c>
      <c r="S730" t="s">
        <v>59</v>
      </c>
      <c r="T730" t="s">
        <v>60</v>
      </c>
      <c r="U730">
        <v>1</v>
      </c>
      <c r="V730" t="s">
        <v>138</v>
      </c>
      <c r="W730" t="s">
        <v>81</v>
      </c>
      <c r="X730" t="s">
        <v>68</v>
      </c>
      <c r="Y730">
        <v>2</v>
      </c>
      <c r="Z730">
        <v>3</v>
      </c>
      <c r="AA730">
        <v>44.1</v>
      </c>
      <c r="AB730">
        <v>-1</v>
      </c>
      <c r="AC730" t="s">
        <v>68</v>
      </c>
      <c r="AD730">
        <v>4</v>
      </c>
      <c r="AE730">
        <v>5</v>
      </c>
      <c r="AF730">
        <v>0</v>
      </c>
      <c r="AG730">
        <v>3.37</v>
      </c>
      <c r="AH730">
        <v>0.75</v>
      </c>
      <c r="AI730">
        <v>-1</v>
      </c>
    </row>
    <row r="731" spans="1:35" x14ac:dyDescent="0.25">
      <c r="A731">
        <v>259</v>
      </c>
      <c r="B731" t="s">
        <v>35</v>
      </c>
      <c r="C731">
        <v>3</v>
      </c>
      <c r="D731" t="s">
        <v>36</v>
      </c>
      <c r="E731">
        <v>4</v>
      </c>
      <c r="F731" t="s">
        <v>259</v>
      </c>
      <c r="G731">
        <v>4</v>
      </c>
      <c r="H731">
        <v>12</v>
      </c>
      <c r="I731">
        <v>2</v>
      </c>
      <c r="J731">
        <v>10</v>
      </c>
      <c r="K731">
        <v>11</v>
      </c>
      <c r="L731">
        <v>43</v>
      </c>
      <c r="M731">
        <v>2</v>
      </c>
      <c r="N731" t="s">
        <v>105</v>
      </c>
      <c r="O731" t="s">
        <v>39</v>
      </c>
      <c r="P731" t="s">
        <v>77</v>
      </c>
      <c r="Q731" t="s">
        <v>78</v>
      </c>
      <c r="R731" t="s">
        <v>91</v>
      </c>
      <c r="S731" t="s">
        <v>92</v>
      </c>
      <c r="T731" t="s">
        <v>80</v>
      </c>
      <c r="U731">
        <v>5</v>
      </c>
      <c r="V731" t="s">
        <v>79</v>
      </c>
      <c r="W731" t="s">
        <v>146</v>
      </c>
      <c r="X731" t="s">
        <v>87</v>
      </c>
      <c r="Y731">
        <v>1</v>
      </c>
      <c r="Z731">
        <v>3</v>
      </c>
      <c r="AA731">
        <v>44.1</v>
      </c>
      <c r="AB731">
        <v>-1</v>
      </c>
      <c r="AC731" t="s">
        <v>80</v>
      </c>
      <c r="AD731">
        <v>1</v>
      </c>
      <c r="AE731">
        <v>5</v>
      </c>
      <c r="AF731">
        <v>1</v>
      </c>
      <c r="AG731">
        <v>1.341</v>
      </c>
      <c r="AH731">
        <v>0.48299999999999998</v>
      </c>
      <c r="AI731">
        <v>-1</v>
      </c>
    </row>
    <row r="732" spans="1:35" x14ac:dyDescent="0.25">
      <c r="A732">
        <v>259</v>
      </c>
      <c r="B732" t="s">
        <v>35</v>
      </c>
      <c r="C732">
        <v>3</v>
      </c>
      <c r="D732" t="s">
        <v>36</v>
      </c>
      <c r="E732">
        <v>4</v>
      </c>
      <c r="F732" t="s">
        <v>259</v>
      </c>
      <c r="G732">
        <v>4</v>
      </c>
      <c r="H732">
        <v>12</v>
      </c>
      <c r="I732">
        <v>2</v>
      </c>
      <c r="J732">
        <v>11</v>
      </c>
      <c r="K732">
        <v>5</v>
      </c>
      <c r="L732">
        <v>37</v>
      </c>
      <c r="M732">
        <v>2</v>
      </c>
      <c r="N732" t="s">
        <v>97</v>
      </c>
      <c r="O732" t="s">
        <v>39</v>
      </c>
      <c r="P732" t="s">
        <v>49</v>
      </c>
      <c r="Q732" t="s">
        <v>50</v>
      </c>
      <c r="R732" t="s">
        <v>91</v>
      </c>
      <c r="S732" t="s">
        <v>92</v>
      </c>
      <c r="T732" t="s">
        <v>54</v>
      </c>
      <c r="U732">
        <v>4</v>
      </c>
      <c r="V732" t="s">
        <v>53</v>
      </c>
      <c r="W732" t="s">
        <v>82</v>
      </c>
      <c r="X732" t="s">
        <v>124</v>
      </c>
      <c r="Y732">
        <v>1</v>
      </c>
      <c r="Z732">
        <v>3</v>
      </c>
      <c r="AA732">
        <v>44.1</v>
      </c>
      <c r="AB732">
        <v>-1</v>
      </c>
      <c r="AC732" t="s">
        <v>54</v>
      </c>
      <c r="AD732">
        <v>1</v>
      </c>
      <c r="AE732">
        <v>4</v>
      </c>
      <c r="AF732">
        <v>1</v>
      </c>
      <c r="AG732">
        <v>2.581</v>
      </c>
      <c r="AH732">
        <v>0.26600000000000001</v>
      </c>
      <c r="AI732">
        <v>-1</v>
      </c>
    </row>
    <row r="733" spans="1:35" x14ac:dyDescent="0.25">
      <c r="A733">
        <v>259</v>
      </c>
      <c r="B733" t="s">
        <v>35</v>
      </c>
      <c r="C733">
        <v>3</v>
      </c>
      <c r="D733" t="s">
        <v>36</v>
      </c>
      <c r="E733">
        <v>4</v>
      </c>
      <c r="F733" t="s">
        <v>259</v>
      </c>
      <c r="G733">
        <v>4</v>
      </c>
      <c r="H733">
        <v>12</v>
      </c>
      <c r="I733">
        <v>2</v>
      </c>
      <c r="J733">
        <v>12</v>
      </c>
      <c r="K733">
        <v>2</v>
      </c>
      <c r="L733">
        <v>48</v>
      </c>
      <c r="M733">
        <v>2</v>
      </c>
      <c r="N733" t="s">
        <v>38</v>
      </c>
      <c r="O733" t="s">
        <v>39</v>
      </c>
      <c r="P733" t="s">
        <v>40</v>
      </c>
      <c r="Q733" t="s">
        <v>41</v>
      </c>
      <c r="R733" t="s">
        <v>42</v>
      </c>
      <c r="S733" t="s">
        <v>43</v>
      </c>
      <c r="T733" t="s">
        <v>44</v>
      </c>
      <c r="U733">
        <v>4</v>
      </c>
      <c r="V733" t="s">
        <v>60</v>
      </c>
      <c r="W733" t="s">
        <v>130</v>
      </c>
      <c r="X733" t="s">
        <v>132</v>
      </c>
      <c r="Y733">
        <v>1</v>
      </c>
      <c r="Z733">
        <v>3</v>
      </c>
      <c r="AA733">
        <v>44.1</v>
      </c>
      <c r="AB733">
        <v>-1</v>
      </c>
      <c r="AC733" t="s">
        <v>132</v>
      </c>
      <c r="AD733">
        <v>4</v>
      </c>
      <c r="AE733">
        <v>5</v>
      </c>
      <c r="AF733">
        <v>0</v>
      </c>
      <c r="AG733">
        <v>2.508</v>
      </c>
      <c r="AH733">
        <v>0.35</v>
      </c>
      <c r="AI733">
        <v>-1</v>
      </c>
    </row>
    <row r="734" spans="1:35" x14ac:dyDescent="0.25">
      <c r="A734">
        <v>259</v>
      </c>
      <c r="B734" t="s">
        <v>35</v>
      </c>
      <c r="C734">
        <v>3</v>
      </c>
      <c r="D734" t="s">
        <v>36</v>
      </c>
      <c r="E734">
        <v>4</v>
      </c>
      <c r="F734" t="s">
        <v>259</v>
      </c>
      <c r="G734">
        <v>4</v>
      </c>
      <c r="H734">
        <v>12</v>
      </c>
      <c r="I734">
        <v>2</v>
      </c>
      <c r="J734">
        <v>13</v>
      </c>
      <c r="K734">
        <v>8</v>
      </c>
      <c r="L734">
        <v>40</v>
      </c>
      <c r="M734">
        <v>2</v>
      </c>
      <c r="N734" t="s">
        <v>84</v>
      </c>
      <c r="O734" t="s">
        <v>39</v>
      </c>
      <c r="P734" t="s">
        <v>64</v>
      </c>
      <c r="Q734" t="s">
        <v>65</v>
      </c>
      <c r="R734" t="s">
        <v>42</v>
      </c>
      <c r="S734" t="s">
        <v>43</v>
      </c>
      <c r="T734" t="s">
        <v>67</v>
      </c>
      <c r="U734">
        <v>5</v>
      </c>
      <c r="V734" t="s">
        <v>66</v>
      </c>
      <c r="W734" t="s">
        <v>74</v>
      </c>
      <c r="X734" t="s">
        <v>141</v>
      </c>
      <c r="Y734">
        <v>1</v>
      </c>
      <c r="Z734">
        <v>3</v>
      </c>
      <c r="AA734">
        <v>44.1</v>
      </c>
      <c r="AB734">
        <v>-1</v>
      </c>
      <c r="AC734" t="s">
        <v>74</v>
      </c>
      <c r="AD734">
        <v>4</v>
      </c>
      <c r="AE734">
        <v>2</v>
      </c>
      <c r="AF734">
        <v>0</v>
      </c>
      <c r="AG734">
        <v>2.9940000000000002</v>
      </c>
      <c r="AH734">
        <v>0.129</v>
      </c>
      <c r="AI734">
        <v>-1</v>
      </c>
    </row>
    <row r="735" spans="1:35" x14ac:dyDescent="0.25">
      <c r="A735">
        <v>259</v>
      </c>
      <c r="B735" t="s">
        <v>35</v>
      </c>
      <c r="C735">
        <v>3</v>
      </c>
      <c r="D735" t="s">
        <v>36</v>
      </c>
      <c r="E735">
        <v>4</v>
      </c>
      <c r="F735" t="s">
        <v>259</v>
      </c>
      <c r="G735">
        <v>4</v>
      </c>
      <c r="H735">
        <v>12</v>
      </c>
      <c r="I735">
        <v>2</v>
      </c>
      <c r="J735">
        <v>14</v>
      </c>
      <c r="K735">
        <v>14</v>
      </c>
      <c r="L735">
        <v>12</v>
      </c>
      <c r="M735">
        <v>1</v>
      </c>
      <c r="N735" t="s">
        <v>206</v>
      </c>
      <c r="O735" t="s">
        <v>39</v>
      </c>
      <c r="P735" t="s">
        <v>207</v>
      </c>
      <c r="Q735" t="s">
        <v>208</v>
      </c>
      <c r="R735" t="s">
        <v>42</v>
      </c>
      <c r="S735" t="s">
        <v>43</v>
      </c>
      <c r="T735" t="s">
        <v>131</v>
      </c>
      <c r="U735">
        <v>1</v>
      </c>
      <c r="V735" t="s">
        <v>106</v>
      </c>
      <c r="W735" t="s">
        <v>75</v>
      </c>
      <c r="X735" t="s">
        <v>128</v>
      </c>
      <c r="Y735">
        <v>1</v>
      </c>
      <c r="Z735">
        <v>3</v>
      </c>
      <c r="AA735">
        <v>44.1</v>
      </c>
      <c r="AB735">
        <v>-1</v>
      </c>
      <c r="AC735" t="s">
        <v>131</v>
      </c>
      <c r="AD735">
        <v>1</v>
      </c>
      <c r="AE735">
        <v>1</v>
      </c>
      <c r="AF735">
        <v>1</v>
      </c>
      <c r="AG735">
        <v>1.105</v>
      </c>
      <c r="AH735">
        <v>1.95</v>
      </c>
      <c r="AI735">
        <v>-1</v>
      </c>
    </row>
    <row r="736" spans="1:35" x14ac:dyDescent="0.25">
      <c r="A736">
        <v>259</v>
      </c>
      <c r="B736" t="s">
        <v>35</v>
      </c>
      <c r="C736">
        <v>3</v>
      </c>
      <c r="D736" t="s">
        <v>36</v>
      </c>
      <c r="E736">
        <v>4</v>
      </c>
      <c r="F736" t="s">
        <v>259</v>
      </c>
      <c r="G736">
        <v>4</v>
      </c>
      <c r="H736">
        <v>12</v>
      </c>
      <c r="I736">
        <v>2</v>
      </c>
      <c r="J736">
        <v>15</v>
      </c>
      <c r="K736">
        <v>21</v>
      </c>
      <c r="L736">
        <v>45</v>
      </c>
      <c r="M736">
        <v>2</v>
      </c>
      <c r="N736" t="s">
        <v>210</v>
      </c>
      <c r="O736" t="s">
        <v>39</v>
      </c>
      <c r="P736" t="s">
        <v>190</v>
      </c>
      <c r="Q736" t="s">
        <v>191</v>
      </c>
      <c r="R736" t="s">
        <v>51</v>
      </c>
      <c r="S736" t="s">
        <v>52</v>
      </c>
      <c r="T736" t="s">
        <v>149</v>
      </c>
      <c r="U736">
        <v>5</v>
      </c>
      <c r="V736" t="s">
        <v>45</v>
      </c>
      <c r="W736" t="s">
        <v>204</v>
      </c>
      <c r="X736" t="s">
        <v>179</v>
      </c>
      <c r="Y736">
        <v>1</v>
      </c>
      <c r="Z736">
        <v>3</v>
      </c>
      <c r="AA736">
        <v>44.1</v>
      </c>
      <c r="AB736">
        <v>-1</v>
      </c>
      <c r="AC736" t="s">
        <v>149</v>
      </c>
      <c r="AD736">
        <v>1</v>
      </c>
      <c r="AE736">
        <v>5</v>
      </c>
      <c r="AF736">
        <v>1</v>
      </c>
      <c r="AG736">
        <v>2.3530000000000002</v>
      </c>
      <c r="AH736">
        <v>3.0339999999999998</v>
      </c>
      <c r="AI736">
        <v>-1</v>
      </c>
    </row>
    <row r="737" spans="1:35" x14ac:dyDescent="0.25">
      <c r="A737">
        <v>259</v>
      </c>
      <c r="B737" t="s">
        <v>35</v>
      </c>
      <c r="C737">
        <v>3</v>
      </c>
      <c r="D737" t="s">
        <v>36</v>
      </c>
      <c r="E737">
        <v>4</v>
      </c>
      <c r="F737" t="s">
        <v>259</v>
      </c>
      <c r="G737">
        <v>4</v>
      </c>
      <c r="H737">
        <v>12</v>
      </c>
      <c r="I737">
        <v>2</v>
      </c>
      <c r="J737">
        <v>16</v>
      </c>
      <c r="K737">
        <v>12</v>
      </c>
      <c r="L737">
        <v>44</v>
      </c>
      <c r="M737">
        <v>2</v>
      </c>
      <c r="N737" t="s">
        <v>76</v>
      </c>
      <c r="O737" t="s">
        <v>39</v>
      </c>
      <c r="P737" t="s">
        <v>77</v>
      </c>
      <c r="Q737" t="s">
        <v>78</v>
      </c>
      <c r="R737" t="s">
        <v>51</v>
      </c>
      <c r="S737" t="s">
        <v>52</v>
      </c>
      <c r="T737" t="s">
        <v>79</v>
      </c>
      <c r="U737">
        <v>4</v>
      </c>
      <c r="V737" t="s">
        <v>149</v>
      </c>
      <c r="W737" t="s">
        <v>95</v>
      </c>
      <c r="X737" t="s">
        <v>103</v>
      </c>
      <c r="Y737">
        <v>2</v>
      </c>
      <c r="Z737">
        <v>3</v>
      </c>
      <c r="AA737">
        <v>44.1</v>
      </c>
      <c r="AB737">
        <v>-1</v>
      </c>
      <c r="AC737" t="s">
        <v>79</v>
      </c>
      <c r="AD737">
        <v>1</v>
      </c>
      <c r="AE737">
        <v>4</v>
      </c>
      <c r="AF737">
        <v>1</v>
      </c>
      <c r="AG737">
        <v>1.0609999999999999</v>
      </c>
      <c r="AH737">
        <v>6.6000000000000003E-2</v>
      </c>
      <c r="AI737">
        <v>-1</v>
      </c>
    </row>
    <row r="738" spans="1:35" x14ac:dyDescent="0.25">
      <c r="A738">
        <v>259</v>
      </c>
      <c r="B738" t="s">
        <v>35</v>
      </c>
      <c r="C738">
        <v>3</v>
      </c>
      <c r="D738" t="s">
        <v>36</v>
      </c>
      <c r="E738">
        <v>4</v>
      </c>
      <c r="F738" t="s">
        <v>259</v>
      </c>
      <c r="G738">
        <v>4</v>
      </c>
      <c r="H738">
        <v>12</v>
      </c>
      <c r="I738">
        <v>2</v>
      </c>
      <c r="J738">
        <v>17</v>
      </c>
      <c r="K738">
        <v>13</v>
      </c>
      <c r="L738">
        <v>11</v>
      </c>
      <c r="M738">
        <v>1</v>
      </c>
      <c r="N738" t="s">
        <v>213</v>
      </c>
      <c r="O738" t="s">
        <v>39</v>
      </c>
      <c r="P738" t="s">
        <v>207</v>
      </c>
      <c r="Q738" t="s">
        <v>208</v>
      </c>
      <c r="R738" t="s">
        <v>91</v>
      </c>
      <c r="S738" t="s">
        <v>92</v>
      </c>
      <c r="T738" t="s">
        <v>106</v>
      </c>
      <c r="U738">
        <v>1</v>
      </c>
      <c r="V738" t="s">
        <v>93</v>
      </c>
      <c r="W738" t="s">
        <v>107</v>
      </c>
      <c r="X738" t="s">
        <v>110</v>
      </c>
      <c r="Y738">
        <v>2</v>
      </c>
      <c r="Z738">
        <v>3</v>
      </c>
      <c r="AA738">
        <v>44.1</v>
      </c>
      <c r="AB738">
        <v>-1</v>
      </c>
      <c r="AC738" t="s">
        <v>106</v>
      </c>
      <c r="AD738">
        <v>1</v>
      </c>
      <c r="AE738">
        <v>1</v>
      </c>
      <c r="AF738">
        <v>1</v>
      </c>
      <c r="AG738">
        <v>2.1269999999999998</v>
      </c>
      <c r="AH738">
        <v>3.0339999999999998</v>
      </c>
      <c r="AI738">
        <v>-1</v>
      </c>
    </row>
    <row r="739" spans="1:35" x14ac:dyDescent="0.25">
      <c r="A739">
        <v>259</v>
      </c>
      <c r="B739" t="s">
        <v>35</v>
      </c>
      <c r="C739">
        <v>3</v>
      </c>
      <c r="D739" t="s">
        <v>36</v>
      </c>
      <c r="E739">
        <v>4</v>
      </c>
      <c r="F739" t="s">
        <v>259</v>
      </c>
      <c r="G739">
        <v>4</v>
      </c>
      <c r="H739">
        <v>12</v>
      </c>
      <c r="I739">
        <v>2</v>
      </c>
      <c r="J739">
        <v>18</v>
      </c>
      <c r="K739">
        <v>15</v>
      </c>
      <c r="L739">
        <v>7</v>
      </c>
      <c r="M739">
        <v>1</v>
      </c>
      <c r="N739" t="s">
        <v>205</v>
      </c>
      <c r="O739" t="s">
        <v>39</v>
      </c>
      <c r="P739" t="s">
        <v>196</v>
      </c>
      <c r="Q739" t="s">
        <v>197</v>
      </c>
      <c r="R739" t="s">
        <v>58</v>
      </c>
      <c r="S739" t="s">
        <v>59</v>
      </c>
      <c r="T739" t="s">
        <v>156</v>
      </c>
      <c r="U739">
        <v>1</v>
      </c>
      <c r="V739" t="s">
        <v>85</v>
      </c>
      <c r="W739" t="s">
        <v>61</v>
      </c>
      <c r="X739" t="s">
        <v>99</v>
      </c>
      <c r="Y739">
        <v>1</v>
      </c>
      <c r="Z739">
        <v>3</v>
      </c>
      <c r="AA739">
        <v>44.1</v>
      </c>
      <c r="AB739">
        <v>-1</v>
      </c>
      <c r="AC739" t="s">
        <v>85</v>
      </c>
      <c r="AD739">
        <v>2</v>
      </c>
      <c r="AE739">
        <v>5</v>
      </c>
      <c r="AF739">
        <v>0</v>
      </c>
      <c r="AG739">
        <v>2.665</v>
      </c>
      <c r="AH739">
        <v>3.0339999999999998</v>
      </c>
      <c r="AI739">
        <v>-1</v>
      </c>
    </row>
    <row r="740" spans="1:35" x14ac:dyDescent="0.25">
      <c r="A740">
        <v>259</v>
      </c>
      <c r="B740" t="s">
        <v>35</v>
      </c>
      <c r="C740">
        <v>3</v>
      </c>
      <c r="D740" t="s">
        <v>36</v>
      </c>
      <c r="E740">
        <v>4</v>
      </c>
      <c r="F740" t="s">
        <v>259</v>
      </c>
      <c r="G740">
        <v>4</v>
      </c>
      <c r="H740">
        <v>12</v>
      </c>
      <c r="I740">
        <v>2</v>
      </c>
      <c r="J740">
        <v>19</v>
      </c>
      <c r="K740">
        <v>23</v>
      </c>
      <c r="L740">
        <v>9</v>
      </c>
      <c r="M740">
        <v>1</v>
      </c>
      <c r="N740" t="s">
        <v>212</v>
      </c>
      <c r="O740" t="s">
        <v>39</v>
      </c>
      <c r="P740" t="s">
        <v>202</v>
      </c>
      <c r="Q740" t="s">
        <v>203</v>
      </c>
      <c r="R740" t="s">
        <v>58</v>
      </c>
      <c r="S740" t="s">
        <v>59</v>
      </c>
      <c r="T740" t="s">
        <v>147</v>
      </c>
      <c r="U740">
        <v>2</v>
      </c>
      <c r="V740" t="s">
        <v>156</v>
      </c>
      <c r="W740" t="s">
        <v>116</v>
      </c>
      <c r="X740" t="s">
        <v>121</v>
      </c>
      <c r="Y740">
        <v>2</v>
      </c>
      <c r="Z740">
        <v>3</v>
      </c>
      <c r="AA740">
        <v>44.1</v>
      </c>
      <c r="AB740">
        <v>-1</v>
      </c>
      <c r="AC740" t="s">
        <v>147</v>
      </c>
      <c r="AD740">
        <v>1</v>
      </c>
      <c r="AE740">
        <v>2</v>
      </c>
      <c r="AF740">
        <v>1</v>
      </c>
      <c r="AG740">
        <v>1.258</v>
      </c>
      <c r="AH740">
        <v>3.0339999999999998</v>
      </c>
      <c r="AI740">
        <v>-1</v>
      </c>
    </row>
    <row r="741" spans="1:35" x14ac:dyDescent="0.25">
      <c r="A741">
        <v>259</v>
      </c>
      <c r="B741" t="s">
        <v>35</v>
      </c>
      <c r="C741">
        <v>3</v>
      </c>
      <c r="D741" t="s">
        <v>36</v>
      </c>
      <c r="E741">
        <v>4</v>
      </c>
      <c r="F741" t="s">
        <v>259</v>
      </c>
      <c r="G741">
        <v>4</v>
      </c>
      <c r="H741">
        <v>12</v>
      </c>
      <c r="I741">
        <v>2</v>
      </c>
      <c r="J741">
        <v>20</v>
      </c>
      <c r="K741">
        <v>3</v>
      </c>
      <c r="L741">
        <v>1</v>
      </c>
      <c r="M741">
        <v>1</v>
      </c>
      <c r="N741" t="s">
        <v>70</v>
      </c>
      <c r="O741" t="s">
        <v>39</v>
      </c>
      <c r="P741" t="s">
        <v>71</v>
      </c>
      <c r="Q741" t="s">
        <v>72</v>
      </c>
      <c r="R741" t="s">
        <v>58</v>
      </c>
      <c r="S741" t="s">
        <v>59</v>
      </c>
      <c r="T741" t="s">
        <v>73</v>
      </c>
      <c r="U741">
        <v>5</v>
      </c>
      <c r="V741" t="s">
        <v>94</v>
      </c>
      <c r="W741" t="s">
        <v>119</v>
      </c>
      <c r="X741" t="s">
        <v>55</v>
      </c>
      <c r="Y741">
        <v>1</v>
      </c>
      <c r="Z741">
        <v>3</v>
      </c>
      <c r="AA741">
        <v>44.1</v>
      </c>
      <c r="AB741">
        <v>-1</v>
      </c>
      <c r="AC741" t="s">
        <v>94</v>
      </c>
      <c r="AD741">
        <v>2</v>
      </c>
      <c r="AE741">
        <v>2</v>
      </c>
      <c r="AF741">
        <v>0</v>
      </c>
      <c r="AG741">
        <v>3.4180000000000001</v>
      </c>
      <c r="AH741">
        <v>3.0339999999999998</v>
      </c>
      <c r="AI741">
        <v>-1</v>
      </c>
    </row>
    <row r="742" spans="1:35" x14ac:dyDescent="0.25">
      <c r="A742">
        <v>259</v>
      </c>
      <c r="B742" t="s">
        <v>35</v>
      </c>
      <c r="C742">
        <v>3</v>
      </c>
      <c r="D742" t="s">
        <v>36</v>
      </c>
      <c r="E742">
        <v>4</v>
      </c>
      <c r="F742" t="s">
        <v>259</v>
      </c>
      <c r="G742">
        <v>4</v>
      </c>
      <c r="H742">
        <v>12</v>
      </c>
      <c r="I742">
        <v>2</v>
      </c>
      <c r="J742">
        <v>21</v>
      </c>
      <c r="K742">
        <v>18</v>
      </c>
      <c r="L742">
        <v>42</v>
      </c>
      <c r="M742">
        <v>2</v>
      </c>
      <c r="N742" t="s">
        <v>216</v>
      </c>
      <c r="O742" t="s">
        <v>39</v>
      </c>
      <c r="P742" t="s">
        <v>199</v>
      </c>
      <c r="Q742" t="s">
        <v>200</v>
      </c>
      <c r="R742" t="s">
        <v>91</v>
      </c>
      <c r="S742" t="s">
        <v>92</v>
      </c>
      <c r="T742" t="s">
        <v>98</v>
      </c>
      <c r="U742">
        <v>1</v>
      </c>
      <c r="V742" t="s">
        <v>80</v>
      </c>
      <c r="W742" t="s">
        <v>46</v>
      </c>
      <c r="X742" t="s">
        <v>139</v>
      </c>
      <c r="Y742">
        <v>2</v>
      </c>
      <c r="Z742">
        <v>3</v>
      </c>
      <c r="AA742">
        <v>44.1</v>
      </c>
      <c r="AB742">
        <v>-1</v>
      </c>
      <c r="AC742" t="s">
        <v>98</v>
      </c>
      <c r="AD742">
        <v>1</v>
      </c>
      <c r="AE742">
        <v>1</v>
      </c>
      <c r="AF742">
        <v>1</v>
      </c>
      <c r="AG742">
        <v>2.032</v>
      </c>
      <c r="AH742">
        <v>1.7</v>
      </c>
      <c r="AI742">
        <v>-1</v>
      </c>
    </row>
    <row r="743" spans="1:35" x14ac:dyDescent="0.25">
      <c r="A743">
        <v>259</v>
      </c>
      <c r="B743" t="s">
        <v>35</v>
      </c>
      <c r="C743">
        <v>3</v>
      </c>
      <c r="D743" t="s">
        <v>36</v>
      </c>
      <c r="E743">
        <v>4</v>
      </c>
      <c r="F743" t="s">
        <v>259</v>
      </c>
      <c r="G743">
        <v>4</v>
      </c>
      <c r="H743">
        <v>12</v>
      </c>
      <c r="I743">
        <v>2</v>
      </c>
      <c r="J743">
        <v>22</v>
      </c>
      <c r="K743">
        <v>16</v>
      </c>
      <c r="L743">
        <v>8</v>
      </c>
      <c r="M743">
        <v>1</v>
      </c>
      <c r="N743" t="s">
        <v>195</v>
      </c>
      <c r="O743" t="s">
        <v>39</v>
      </c>
      <c r="P743" t="s">
        <v>196</v>
      </c>
      <c r="Q743" t="s">
        <v>197</v>
      </c>
      <c r="R743" t="s">
        <v>42</v>
      </c>
      <c r="S743" t="s">
        <v>43</v>
      </c>
      <c r="T743" t="s">
        <v>85</v>
      </c>
      <c r="U743">
        <v>1</v>
      </c>
      <c r="V743" t="s">
        <v>44</v>
      </c>
      <c r="W743" t="s">
        <v>162</v>
      </c>
      <c r="X743" t="s">
        <v>211</v>
      </c>
      <c r="Y743">
        <v>2</v>
      </c>
      <c r="Z743">
        <v>3</v>
      </c>
      <c r="AA743">
        <v>44.1</v>
      </c>
      <c r="AB743">
        <v>-1</v>
      </c>
      <c r="AC743" t="s">
        <v>85</v>
      </c>
      <c r="AD743">
        <v>1</v>
      </c>
      <c r="AE743">
        <v>1</v>
      </c>
      <c r="AF743">
        <v>1</v>
      </c>
      <c r="AG743">
        <v>0.90900000000000003</v>
      </c>
      <c r="AH743">
        <v>3.0339999999999998</v>
      </c>
      <c r="AI743">
        <v>-1</v>
      </c>
    </row>
    <row r="744" spans="1:35" x14ac:dyDescent="0.25">
      <c r="A744">
        <v>259</v>
      </c>
      <c r="B744" t="s">
        <v>35</v>
      </c>
      <c r="C744">
        <v>3</v>
      </c>
      <c r="D744" t="s">
        <v>36</v>
      </c>
      <c r="E744">
        <v>4</v>
      </c>
      <c r="F744" t="s">
        <v>259</v>
      </c>
      <c r="G744">
        <v>4</v>
      </c>
      <c r="H744">
        <v>12</v>
      </c>
      <c r="I744">
        <v>2</v>
      </c>
      <c r="J744">
        <v>23</v>
      </c>
      <c r="K744">
        <v>10</v>
      </c>
      <c r="L744">
        <v>4</v>
      </c>
      <c r="M744">
        <v>1</v>
      </c>
      <c r="N744" t="s">
        <v>101</v>
      </c>
      <c r="O744" t="s">
        <v>39</v>
      </c>
      <c r="P744" t="s">
        <v>89</v>
      </c>
      <c r="Q744" t="s">
        <v>90</v>
      </c>
      <c r="R744" t="s">
        <v>51</v>
      </c>
      <c r="S744" t="s">
        <v>52</v>
      </c>
      <c r="T744" t="s">
        <v>102</v>
      </c>
      <c r="U744">
        <v>1</v>
      </c>
      <c r="V744" t="s">
        <v>144</v>
      </c>
      <c r="W744" t="s">
        <v>183</v>
      </c>
      <c r="X744" t="s">
        <v>56</v>
      </c>
      <c r="Y744">
        <v>2</v>
      </c>
      <c r="Z744">
        <v>3</v>
      </c>
      <c r="AA744">
        <v>44.1</v>
      </c>
      <c r="AB744">
        <v>-1</v>
      </c>
      <c r="AC744" t="s">
        <v>83</v>
      </c>
      <c r="AD744">
        <v>0</v>
      </c>
      <c r="AE744">
        <v>0</v>
      </c>
      <c r="AF744">
        <v>0</v>
      </c>
      <c r="AG744">
        <v>-1</v>
      </c>
      <c r="AH744">
        <v>3.0339999999999998</v>
      </c>
      <c r="AI744">
        <v>-1</v>
      </c>
    </row>
    <row r="745" spans="1:35" x14ac:dyDescent="0.25">
      <c r="A745">
        <v>259</v>
      </c>
      <c r="B745" t="s">
        <v>35</v>
      </c>
      <c r="C745">
        <v>3</v>
      </c>
      <c r="D745" t="s">
        <v>36</v>
      </c>
      <c r="E745">
        <v>4</v>
      </c>
      <c r="F745" t="s">
        <v>259</v>
      </c>
      <c r="G745">
        <v>4</v>
      </c>
      <c r="H745">
        <v>12</v>
      </c>
      <c r="I745">
        <v>2</v>
      </c>
      <c r="J745">
        <v>24</v>
      </c>
      <c r="K745">
        <v>19</v>
      </c>
      <c r="L745">
        <v>5</v>
      </c>
      <c r="M745">
        <v>1</v>
      </c>
      <c r="N745" t="s">
        <v>192</v>
      </c>
      <c r="O745" t="s">
        <v>39</v>
      </c>
      <c r="P745" t="s">
        <v>193</v>
      </c>
      <c r="Q745" t="s">
        <v>194</v>
      </c>
      <c r="R745" t="s">
        <v>51</v>
      </c>
      <c r="S745" t="s">
        <v>52</v>
      </c>
      <c r="T745" t="s">
        <v>144</v>
      </c>
      <c r="U745">
        <v>1</v>
      </c>
      <c r="V745" t="s">
        <v>185</v>
      </c>
      <c r="W745" t="s">
        <v>62</v>
      </c>
      <c r="X745" t="s">
        <v>120</v>
      </c>
      <c r="Y745">
        <v>1</v>
      </c>
      <c r="Z745">
        <v>3</v>
      </c>
      <c r="AA745">
        <v>44.1</v>
      </c>
      <c r="AB745">
        <v>-1</v>
      </c>
      <c r="AC745" t="s">
        <v>144</v>
      </c>
      <c r="AD745">
        <v>1</v>
      </c>
      <c r="AE745">
        <v>1</v>
      </c>
      <c r="AF745">
        <v>1</v>
      </c>
      <c r="AG745">
        <v>2.7759999999999998</v>
      </c>
      <c r="AH745">
        <v>2.4340000000000002</v>
      </c>
      <c r="AI745">
        <v>-1</v>
      </c>
    </row>
    <row r="746" spans="1:35" x14ac:dyDescent="0.25">
      <c r="A746">
        <v>259</v>
      </c>
      <c r="B746" t="s">
        <v>35</v>
      </c>
      <c r="C746">
        <v>3</v>
      </c>
      <c r="D746" t="s">
        <v>36</v>
      </c>
      <c r="E746">
        <v>4</v>
      </c>
      <c r="F746" t="s">
        <v>259</v>
      </c>
      <c r="G746">
        <v>4</v>
      </c>
      <c r="H746">
        <v>12</v>
      </c>
      <c r="I746">
        <v>2</v>
      </c>
      <c r="J746">
        <v>25</v>
      </c>
      <c r="K746">
        <v>27</v>
      </c>
      <c r="L746">
        <v>25</v>
      </c>
      <c r="M746">
        <v>1</v>
      </c>
      <c r="N746" t="s">
        <v>122</v>
      </c>
      <c r="O746" t="s">
        <v>113</v>
      </c>
      <c r="P746" t="s">
        <v>114</v>
      </c>
      <c r="Q746" t="s">
        <v>123</v>
      </c>
      <c r="R746" t="s">
        <v>114</v>
      </c>
      <c r="S746" t="s">
        <v>59</v>
      </c>
      <c r="T746" t="s">
        <v>124</v>
      </c>
      <c r="U746">
        <v>5</v>
      </c>
      <c r="V746" t="s">
        <v>130</v>
      </c>
      <c r="W746" t="s">
        <v>166</v>
      </c>
      <c r="X746" t="s">
        <v>144</v>
      </c>
      <c r="Y746">
        <v>1</v>
      </c>
      <c r="Z746">
        <v>3</v>
      </c>
      <c r="AA746">
        <v>44.1</v>
      </c>
      <c r="AB746">
        <v>-1</v>
      </c>
      <c r="AC746" t="s">
        <v>130</v>
      </c>
      <c r="AD746">
        <v>2</v>
      </c>
      <c r="AE746">
        <v>4</v>
      </c>
      <c r="AF746">
        <v>0</v>
      </c>
      <c r="AG746">
        <v>1.5629999999999999</v>
      </c>
      <c r="AH746">
        <v>0.26600000000000001</v>
      </c>
      <c r="AI746">
        <v>-1</v>
      </c>
    </row>
    <row r="747" spans="1:35" x14ac:dyDescent="0.25">
      <c r="A747">
        <v>259</v>
      </c>
      <c r="B747" t="s">
        <v>35</v>
      </c>
      <c r="C747">
        <v>3</v>
      </c>
      <c r="D747" t="s">
        <v>36</v>
      </c>
      <c r="E747">
        <v>4</v>
      </c>
      <c r="F747" t="s">
        <v>259</v>
      </c>
      <c r="G747">
        <v>4</v>
      </c>
      <c r="H747">
        <v>12</v>
      </c>
      <c r="I747">
        <v>2</v>
      </c>
      <c r="J747">
        <v>26</v>
      </c>
      <c r="K747">
        <v>30</v>
      </c>
      <c r="L747">
        <v>62</v>
      </c>
      <c r="M747">
        <v>2</v>
      </c>
      <c r="N747" t="s">
        <v>142</v>
      </c>
      <c r="O747" t="s">
        <v>113</v>
      </c>
      <c r="P747" t="s">
        <v>114</v>
      </c>
      <c r="Q747" t="s">
        <v>126</v>
      </c>
      <c r="R747" t="s">
        <v>114</v>
      </c>
      <c r="S747" t="s">
        <v>52</v>
      </c>
      <c r="T747" t="s">
        <v>128</v>
      </c>
      <c r="U747">
        <v>4</v>
      </c>
      <c r="V747" t="s">
        <v>127</v>
      </c>
      <c r="W747" t="s">
        <v>146</v>
      </c>
      <c r="X747" t="s">
        <v>67</v>
      </c>
      <c r="Y747">
        <v>1</v>
      </c>
      <c r="Z747">
        <v>3</v>
      </c>
      <c r="AA747">
        <v>44.1</v>
      </c>
      <c r="AB747">
        <v>-1</v>
      </c>
      <c r="AC747" t="s">
        <v>128</v>
      </c>
      <c r="AD747">
        <v>1</v>
      </c>
      <c r="AE747">
        <v>4</v>
      </c>
      <c r="AF747">
        <v>1</v>
      </c>
      <c r="AG747">
        <v>3.1520000000000001</v>
      </c>
      <c r="AH747">
        <v>2.367</v>
      </c>
      <c r="AI747">
        <v>-1</v>
      </c>
    </row>
    <row r="748" spans="1:35" x14ac:dyDescent="0.25">
      <c r="A748">
        <v>259</v>
      </c>
      <c r="B748" t="s">
        <v>35</v>
      </c>
      <c r="C748">
        <v>3</v>
      </c>
      <c r="D748" t="s">
        <v>36</v>
      </c>
      <c r="E748">
        <v>4</v>
      </c>
      <c r="F748" t="s">
        <v>259</v>
      </c>
      <c r="G748">
        <v>4</v>
      </c>
      <c r="H748">
        <v>12</v>
      </c>
      <c r="I748">
        <v>2</v>
      </c>
      <c r="J748">
        <v>27</v>
      </c>
      <c r="K748">
        <v>46</v>
      </c>
      <c r="L748">
        <v>70</v>
      </c>
      <c r="M748">
        <v>2</v>
      </c>
      <c r="N748" t="s">
        <v>232</v>
      </c>
      <c r="O748" t="s">
        <v>113</v>
      </c>
      <c r="P748" t="s">
        <v>114</v>
      </c>
      <c r="Q748" t="s">
        <v>222</v>
      </c>
      <c r="R748" t="s">
        <v>114</v>
      </c>
      <c r="S748" t="s">
        <v>43</v>
      </c>
      <c r="T748" t="s">
        <v>81</v>
      </c>
      <c r="U748">
        <v>4</v>
      </c>
      <c r="V748" t="s">
        <v>104</v>
      </c>
      <c r="W748" t="s">
        <v>47</v>
      </c>
      <c r="X748" t="s">
        <v>54</v>
      </c>
      <c r="Y748">
        <v>2</v>
      </c>
      <c r="Z748">
        <v>3</v>
      </c>
      <c r="AA748">
        <v>44.1</v>
      </c>
      <c r="AB748">
        <v>-1</v>
      </c>
      <c r="AC748" t="s">
        <v>47</v>
      </c>
      <c r="AD748">
        <v>4</v>
      </c>
      <c r="AE748">
        <v>2</v>
      </c>
      <c r="AF748">
        <v>0</v>
      </c>
      <c r="AG748">
        <v>1.615</v>
      </c>
      <c r="AH748">
        <v>6.6000000000000003E-2</v>
      </c>
      <c r="AI748">
        <v>-1</v>
      </c>
    </row>
    <row r="749" spans="1:35" x14ac:dyDescent="0.25">
      <c r="A749">
        <v>259</v>
      </c>
      <c r="B749" t="s">
        <v>35</v>
      </c>
      <c r="C749">
        <v>3</v>
      </c>
      <c r="D749" t="s">
        <v>36</v>
      </c>
      <c r="E749">
        <v>4</v>
      </c>
      <c r="F749" t="s">
        <v>259</v>
      </c>
      <c r="G749">
        <v>4</v>
      </c>
      <c r="H749">
        <v>12</v>
      </c>
      <c r="I749">
        <v>2</v>
      </c>
      <c r="J749">
        <v>28</v>
      </c>
      <c r="K749">
        <v>42</v>
      </c>
      <c r="L749">
        <v>66</v>
      </c>
      <c r="M749">
        <v>2</v>
      </c>
      <c r="N749" t="s">
        <v>229</v>
      </c>
      <c r="O749" t="s">
        <v>113</v>
      </c>
      <c r="P749" t="s">
        <v>114</v>
      </c>
      <c r="Q749" t="s">
        <v>226</v>
      </c>
      <c r="R749" t="s">
        <v>114</v>
      </c>
      <c r="S749" t="s">
        <v>92</v>
      </c>
      <c r="T749" t="s">
        <v>209</v>
      </c>
      <c r="U749">
        <v>1</v>
      </c>
      <c r="V749" t="s">
        <v>120</v>
      </c>
      <c r="W749" t="s">
        <v>185</v>
      </c>
      <c r="X749" t="s">
        <v>103</v>
      </c>
      <c r="Y749">
        <v>2</v>
      </c>
      <c r="Z749">
        <v>3</v>
      </c>
      <c r="AA749">
        <v>44.1</v>
      </c>
      <c r="AB749">
        <v>-1</v>
      </c>
      <c r="AC749" t="s">
        <v>209</v>
      </c>
      <c r="AD749">
        <v>1</v>
      </c>
      <c r="AE749">
        <v>1</v>
      </c>
      <c r="AF749">
        <v>1</v>
      </c>
      <c r="AG749">
        <v>2.4500000000000002</v>
      </c>
      <c r="AH749">
        <v>0.23300000000000001</v>
      </c>
      <c r="AI749">
        <v>-1</v>
      </c>
    </row>
    <row r="750" spans="1:35" x14ac:dyDescent="0.25">
      <c r="A750">
        <v>259</v>
      </c>
      <c r="B750" t="s">
        <v>35</v>
      </c>
      <c r="C750">
        <v>3</v>
      </c>
      <c r="D750" t="s">
        <v>36</v>
      </c>
      <c r="E750">
        <v>4</v>
      </c>
      <c r="F750" t="s">
        <v>259</v>
      </c>
      <c r="G750">
        <v>4</v>
      </c>
      <c r="H750">
        <v>12</v>
      </c>
      <c r="I750">
        <v>2</v>
      </c>
      <c r="J750">
        <v>29</v>
      </c>
      <c r="K750">
        <v>38</v>
      </c>
      <c r="L750">
        <v>36</v>
      </c>
      <c r="M750">
        <v>1</v>
      </c>
      <c r="N750" t="s">
        <v>227</v>
      </c>
      <c r="O750" t="s">
        <v>113</v>
      </c>
      <c r="P750" t="s">
        <v>114</v>
      </c>
      <c r="Q750" t="s">
        <v>220</v>
      </c>
      <c r="R750" t="s">
        <v>114</v>
      </c>
      <c r="S750" t="s">
        <v>43</v>
      </c>
      <c r="T750" t="s">
        <v>116</v>
      </c>
      <c r="U750">
        <v>1</v>
      </c>
      <c r="V750" t="s">
        <v>100</v>
      </c>
      <c r="W750" t="s">
        <v>155</v>
      </c>
      <c r="X750" t="s">
        <v>80</v>
      </c>
      <c r="Y750">
        <v>2</v>
      </c>
      <c r="Z750">
        <v>3</v>
      </c>
      <c r="AA750">
        <v>44.1</v>
      </c>
      <c r="AB750">
        <v>-1</v>
      </c>
      <c r="AC750" t="s">
        <v>155</v>
      </c>
      <c r="AD750">
        <v>4</v>
      </c>
      <c r="AE750">
        <v>5</v>
      </c>
      <c r="AF750">
        <v>0</v>
      </c>
      <c r="AG750">
        <v>2.286</v>
      </c>
      <c r="AH750">
        <v>4.5999999999999999E-2</v>
      </c>
      <c r="AI750">
        <v>-1</v>
      </c>
    </row>
    <row r="751" spans="1:35" x14ac:dyDescent="0.25">
      <c r="A751">
        <v>259</v>
      </c>
      <c r="B751" t="s">
        <v>35</v>
      </c>
      <c r="C751">
        <v>3</v>
      </c>
      <c r="D751" t="s">
        <v>36</v>
      </c>
      <c r="E751">
        <v>4</v>
      </c>
      <c r="F751" t="s">
        <v>259</v>
      </c>
      <c r="G751">
        <v>4</v>
      </c>
      <c r="H751">
        <v>12</v>
      </c>
      <c r="I751">
        <v>2</v>
      </c>
      <c r="J751">
        <v>30</v>
      </c>
      <c r="K751">
        <v>33</v>
      </c>
      <c r="L751">
        <v>27</v>
      </c>
      <c r="M751">
        <v>1</v>
      </c>
      <c r="N751" t="s">
        <v>129</v>
      </c>
      <c r="O751" t="s">
        <v>113</v>
      </c>
      <c r="P751" t="s">
        <v>114</v>
      </c>
      <c r="Q751" t="s">
        <v>118</v>
      </c>
      <c r="R751" t="s">
        <v>114</v>
      </c>
      <c r="S751" t="s">
        <v>92</v>
      </c>
      <c r="T751" t="s">
        <v>120</v>
      </c>
      <c r="U751">
        <v>1</v>
      </c>
      <c r="V751" t="s">
        <v>119</v>
      </c>
      <c r="W751" t="s">
        <v>161</v>
      </c>
      <c r="X751" t="s">
        <v>156</v>
      </c>
      <c r="Y751">
        <v>1</v>
      </c>
      <c r="Z751">
        <v>3</v>
      </c>
      <c r="AA751">
        <v>44.1</v>
      </c>
      <c r="AB751">
        <v>-1</v>
      </c>
      <c r="AC751" t="s">
        <v>120</v>
      </c>
      <c r="AD751">
        <v>1</v>
      </c>
      <c r="AE751">
        <v>1</v>
      </c>
      <c r="AF751">
        <v>1</v>
      </c>
      <c r="AG751">
        <v>2.512</v>
      </c>
      <c r="AH751">
        <v>0.16600000000000001</v>
      </c>
      <c r="AI751">
        <v>-1</v>
      </c>
    </row>
    <row r="752" spans="1:35" x14ac:dyDescent="0.25">
      <c r="A752">
        <v>259</v>
      </c>
      <c r="B752" t="s">
        <v>35</v>
      </c>
      <c r="C752">
        <v>3</v>
      </c>
      <c r="D752" t="s">
        <v>36</v>
      </c>
      <c r="E752">
        <v>4</v>
      </c>
      <c r="F752" t="s">
        <v>259</v>
      </c>
      <c r="G752">
        <v>4</v>
      </c>
      <c r="H752">
        <v>12</v>
      </c>
      <c r="I752">
        <v>2</v>
      </c>
      <c r="J752">
        <v>31</v>
      </c>
      <c r="K752">
        <v>32</v>
      </c>
      <c r="L752">
        <v>64</v>
      </c>
      <c r="M752">
        <v>2</v>
      </c>
      <c r="N752" t="s">
        <v>133</v>
      </c>
      <c r="O752" t="s">
        <v>113</v>
      </c>
      <c r="P752" t="s">
        <v>114</v>
      </c>
      <c r="Q752" t="s">
        <v>134</v>
      </c>
      <c r="R752" t="s">
        <v>114</v>
      </c>
      <c r="S752" t="s">
        <v>43</v>
      </c>
      <c r="T752" t="s">
        <v>100</v>
      </c>
      <c r="U752">
        <v>1</v>
      </c>
      <c r="V752" t="s">
        <v>95</v>
      </c>
      <c r="W752" t="s">
        <v>62</v>
      </c>
      <c r="X752" t="s">
        <v>93</v>
      </c>
      <c r="Y752">
        <v>1</v>
      </c>
      <c r="Z752">
        <v>3</v>
      </c>
      <c r="AA752">
        <v>44.1</v>
      </c>
      <c r="AB752">
        <v>-1</v>
      </c>
      <c r="AC752" t="s">
        <v>100</v>
      </c>
      <c r="AD752">
        <v>1</v>
      </c>
      <c r="AE752">
        <v>1</v>
      </c>
      <c r="AF752">
        <v>1</v>
      </c>
      <c r="AG752">
        <v>0.67200000000000004</v>
      </c>
      <c r="AH752">
        <v>0.216</v>
      </c>
      <c r="AI752">
        <v>-1</v>
      </c>
    </row>
    <row r="753" spans="1:35" x14ac:dyDescent="0.25">
      <c r="A753">
        <v>259</v>
      </c>
      <c r="B753" t="s">
        <v>35</v>
      </c>
      <c r="C753">
        <v>3</v>
      </c>
      <c r="D753" t="s">
        <v>36</v>
      </c>
      <c r="E753">
        <v>4</v>
      </c>
      <c r="F753" t="s">
        <v>259</v>
      </c>
      <c r="G753">
        <v>4</v>
      </c>
      <c r="H753">
        <v>12</v>
      </c>
      <c r="I753">
        <v>2</v>
      </c>
      <c r="J753">
        <v>32</v>
      </c>
      <c r="K753">
        <v>44</v>
      </c>
      <c r="L753">
        <v>30</v>
      </c>
      <c r="M753">
        <v>1</v>
      </c>
      <c r="N753" t="s">
        <v>233</v>
      </c>
      <c r="O753" t="s">
        <v>113</v>
      </c>
      <c r="P753" t="s">
        <v>114</v>
      </c>
      <c r="Q753" t="s">
        <v>218</v>
      </c>
      <c r="R753" t="s">
        <v>114</v>
      </c>
      <c r="S753" t="s">
        <v>43</v>
      </c>
      <c r="T753" t="s">
        <v>107</v>
      </c>
      <c r="U753">
        <v>4</v>
      </c>
      <c r="V753" t="s">
        <v>111</v>
      </c>
      <c r="W753" t="s">
        <v>102</v>
      </c>
      <c r="X753" t="s">
        <v>187</v>
      </c>
      <c r="Y753">
        <v>2</v>
      </c>
      <c r="Z753">
        <v>3</v>
      </c>
      <c r="AA753">
        <v>44.1</v>
      </c>
      <c r="AB753">
        <v>-1</v>
      </c>
      <c r="AC753" t="s">
        <v>111</v>
      </c>
      <c r="AD753">
        <v>3</v>
      </c>
      <c r="AE753">
        <v>2</v>
      </c>
      <c r="AF753">
        <v>0</v>
      </c>
      <c r="AG753">
        <v>1.62</v>
      </c>
      <c r="AH753">
        <v>0.16600000000000001</v>
      </c>
      <c r="AI753">
        <v>-1</v>
      </c>
    </row>
    <row r="754" spans="1:35" x14ac:dyDescent="0.25">
      <c r="A754">
        <v>259</v>
      </c>
      <c r="B754" t="s">
        <v>35</v>
      </c>
      <c r="C754">
        <v>3</v>
      </c>
      <c r="D754" t="s">
        <v>36</v>
      </c>
      <c r="E754">
        <v>4</v>
      </c>
      <c r="F754" t="s">
        <v>259</v>
      </c>
      <c r="G754">
        <v>4</v>
      </c>
      <c r="H754">
        <v>12</v>
      </c>
      <c r="I754">
        <v>2</v>
      </c>
      <c r="J754">
        <v>33</v>
      </c>
      <c r="K754">
        <v>45</v>
      </c>
      <c r="L754">
        <v>69</v>
      </c>
      <c r="M754">
        <v>2</v>
      </c>
      <c r="N754" t="s">
        <v>221</v>
      </c>
      <c r="O754" t="s">
        <v>113</v>
      </c>
      <c r="P754" t="s">
        <v>114</v>
      </c>
      <c r="Q754" t="s">
        <v>222</v>
      </c>
      <c r="R754" t="s">
        <v>114</v>
      </c>
      <c r="S754" t="s">
        <v>52</v>
      </c>
      <c r="T754" t="s">
        <v>69</v>
      </c>
      <c r="U754">
        <v>2</v>
      </c>
      <c r="V754" t="s">
        <v>81</v>
      </c>
      <c r="W754" t="s">
        <v>66</v>
      </c>
      <c r="X754" t="s">
        <v>139</v>
      </c>
      <c r="Y754">
        <v>1</v>
      </c>
      <c r="Z754">
        <v>3</v>
      </c>
      <c r="AA754">
        <v>44.1</v>
      </c>
      <c r="AB754">
        <v>-1</v>
      </c>
      <c r="AC754" t="s">
        <v>69</v>
      </c>
      <c r="AD754">
        <v>1</v>
      </c>
      <c r="AE754">
        <v>2</v>
      </c>
      <c r="AF754">
        <v>1</v>
      </c>
      <c r="AG754">
        <v>0.71</v>
      </c>
      <c r="AH754">
        <v>1.2829999999999999</v>
      </c>
      <c r="AI754">
        <v>-1</v>
      </c>
    </row>
    <row r="755" spans="1:35" x14ac:dyDescent="0.25">
      <c r="A755">
        <v>259</v>
      </c>
      <c r="B755" t="s">
        <v>35</v>
      </c>
      <c r="C755">
        <v>3</v>
      </c>
      <c r="D755" t="s">
        <v>36</v>
      </c>
      <c r="E755">
        <v>4</v>
      </c>
      <c r="F755" t="s">
        <v>259</v>
      </c>
      <c r="G755">
        <v>4</v>
      </c>
      <c r="H755">
        <v>12</v>
      </c>
      <c r="I755">
        <v>2</v>
      </c>
      <c r="J755">
        <v>34</v>
      </c>
      <c r="K755">
        <v>28</v>
      </c>
      <c r="L755">
        <v>26</v>
      </c>
      <c r="M755">
        <v>1</v>
      </c>
      <c r="N755" t="s">
        <v>148</v>
      </c>
      <c r="O755" t="s">
        <v>113</v>
      </c>
      <c r="P755" t="s">
        <v>114</v>
      </c>
      <c r="Q755" t="s">
        <v>123</v>
      </c>
      <c r="R755" t="s">
        <v>114</v>
      </c>
      <c r="S755" t="s">
        <v>92</v>
      </c>
      <c r="T755" t="s">
        <v>130</v>
      </c>
      <c r="U755">
        <v>1</v>
      </c>
      <c r="V755" t="s">
        <v>137</v>
      </c>
      <c r="W755" t="s">
        <v>60</v>
      </c>
      <c r="X755" t="s">
        <v>132</v>
      </c>
      <c r="Y755">
        <v>2</v>
      </c>
      <c r="Z755">
        <v>3</v>
      </c>
      <c r="AA755">
        <v>44.1</v>
      </c>
      <c r="AB755">
        <v>-1</v>
      </c>
      <c r="AC755" t="s">
        <v>60</v>
      </c>
      <c r="AD755">
        <v>4</v>
      </c>
      <c r="AE755">
        <v>5</v>
      </c>
      <c r="AF755">
        <v>0</v>
      </c>
      <c r="AG755">
        <v>2.5649999999999999</v>
      </c>
      <c r="AH755">
        <v>6.6000000000000003E-2</v>
      </c>
      <c r="AI755">
        <v>-1</v>
      </c>
    </row>
    <row r="756" spans="1:35" x14ac:dyDescent="0.25">
      <c r="A756">
        <v>259</v>
      </c>
      <c r="B756" t="s">
        <v>35</v>
      </c>
      <c r="C756">
        <v>3</v>
      </c>
      <c r="D756" t="s">
        <v>36</v>
      </c>
      <c r="E756">
        <v>4</v>
      </c>
      <c r="F756" t="s">
        <v>259</v>
      </c>
      <c r="G756">
        <v>4</v>
      </c>
      <c r="H756">
        <v>12</v>
      </c>
      <c r="I756">
        <v>2</v>
      </c>
      <c r="J756">
        <v>35</v>
      </c>
      <c r="K756">
        <v>25</v>
      </c>
      <c r="L756">
        <v>71</v>
      </c>
      <c r="M756">
        <v>2</v>
      </c>
      <c r="N756" t="s">
        <v>143</v>
      </c>
      <c r="O756" t="s">
        <v>113</v>
      </c>
      <c r="P756" t="s">
        <v>114</v>
      </c>
      <c r="Q756" t="s">
        <v>115</v>
      </c>
      <c r="R756" t="s">
        <v>114</v>
      </c>
      <c r="S756" t="s">
        <v>59</v>
      </c>
      <c r="T756" t="s">
        <v>46</v>
      </c>
      <c r="U756">
        <v>4</v>
      </c>
      <c r="V756" t="s">
        <v>87</v>
      </c>
      <c r="W756" t="s">
        <v>45</v>
      </c>
      <c r="X756" t="s">
        <v>110</v>
      </c>
      <c r="Y756">
        <v>2</v>
      </c>
      <c r="Z756">
        <v>3</v>
      </c>
      <c r="AA756">
        <v>44.1</v>
      </c>
      <c r="AB756">
        <v>-1</v>
      </c>
      <c r="AC756" t="s">
        <v>46</v>
      </c>
      <c r="AD756">
        <v>1</v>
      </c>
      <c r="AE756">
        <v>4</v>
      </c>
      <c r="AF756">
        <v>1</v>
      </c>
      <c r="AG756">
        <v>2.1360000000000001</v>
      </c>
      <c r="AH756">
        <v>8.3000000000000004E-2</v>
      </c>
      <c r="AI756">
        <v>-1</v>
      </c>
    </row>
    <row r="757" spans="1:35" x14ac:dyDescent="0.25">
      <c r="A757">
        <v>259</v>
      </c>
      <c r="B757" t="s">
        <v>35</v>
      </c>
      <c r="C757">
        <v>3</v>
      </c>
      <c r="D757" t="s">
        <v>36</v>
      </c>
      <c r="E757">
        <v>4</v>
      </c>
      <c r="F757" t="s">
        <v>259</v>
      </c>
      <c r="G757">
        <v>4</v>
      </c>
      <c r="H757">
        <v>12</v>
      </c>
      <c r="I757">
        <v>2</v>
      </c>
      <c r="J757">
        <v>36</v>
      </c>
      <c r="K757">
        <v>29</v>
      </c>
      <c r="L757">
        <v>61</v>
      </c>
      <c r="M757">
        <v>2</v>
      </c>
      <c r="N757" t="s">
        <v>125</v>
      </c>
      <c r="O757" t="s">
        <v>113</v>
      </c>
      <c r="P757" t="s">
        <v>114</v>
      </c>
      <c r="Q757" t="s">
        <v>126</v>
      </c>
      <c r="R757" t="s">
        <v>114</v>
      </c>
      <c r="S757" t="s">
        <v>92</v>
      </c>
      <c r="T757" t="s">
        <v>127</v>
      </c>
      <c r="U757">
        <v>2</v>
      </c>
      <c r="V757" t="s">
        <v>179</v>
      </c>
      <c r="W757" t="s">
        <v>96</v>
      </c>
      <c r="X757" t="s">
        <v>131</v>
      </c>
      <c r="Y757">
        <v>2</v>
      </c>
      <c r="Z757">
        <v>3</v>
      </c>
      <c r="AA757">
        <v>44.1</v>
      </c>
      <c r="AB757">
        <v>-1</v>
      </c>
      <c r="AC757" t="s">
        <v>96</v>
      </c>
      <c r="AD757">
        <v>4</v>
      </c>
      <c r="AE757">
        <v>1</v>
      </c>
      <c r="AF757">
        <v>0</v>
      </c>
      <c r="AG757">
        <v>3.0870000000000002</v>
      </c>
      <c r="AH757">
        <v>9.9000000000000005E-2</v>
      </c>
      <c r="AI757">
        <v>-1</v>
      </c>
    </row>
    <row r="758" spans="1:35" x14ac:dyDescent="0.25">
      <c r="A758">
        <v>259</v>
      </c>
      <c r="B758" t="s">
        <v>35</v>
      </c>
      <c r="C758">
        <v>3</v>
      </c>
      <c r="D758" t="s">
        <v>36</v>
      </c>
      <c r="E758">
        <v>4</v>
      </c>
      <c r="F758" t="s">
        <v>259</v>
      </c>
      <c r="G758">
        <v>4</v>
      </c>
      <c r="H758">
        <v>12</v>
      </c>
      <c r="I758">
        <v>2</v>
      </c>
      <c r="J758">
        <v>37</v>
      </c>
      <c r="K758">
        <v>48</v>
      </c>
      <c r="L758">
        <v>34</v>
      </c>
      <c r="M758">
        <v>1</v>
      </c>
      <c r="N758" t="s">
        <v>228</v>
      </c>
      <c r="O758" t="s">
        <v>113</v>
      </c>
      <c r="P758" t="s">
        <v>114</v>
      </c>
      <c r="Q758" t="s">
        <v>224</v>
      </c>
      <c r="R758" t="s">
        <v>114</v>
      </c>
      <c r="S758" t="s">
        <v>52</v>
      </c>
      <c r="T758" t="s">
        <v>61</v>
      </c>
      <c r="U758">
        <v>2</v>
      </c>
      <c r="V758" t="s">
        <v>69</v>
      </c>
      <c r="W758" t="s">
        <v>108</v>
      </c>
      <c r="X758" t="s">
        <v>138</v>
      </c>
      <c r="Y758">
        <v>2</v>
      </c>
      <c r="Z758">
        <v>3</v>
      </c>
      <c r="AA758">
        <v>44.1</v>
      </c>
      <c r="AB758">
        <v>-1</v>
      </c>
      <c r="AC758" t="s">
        <v>61</v>
      </c>
      <c r="AD758">
        <v>1</v>
      </c>
      <c r="AE758">
        <v>2</v>
      </c>
      <c r="AF758">
        <v>1</v>
      </c>
      <c r="AG758">
        <v>0.93200000000000005</v>
      </c>
      <c r="AH758">
        <v>8.3000000000000004E-2</v>
      </c>
      <c r="AI758">
        <v>-1</v>
      </c>
    </row>
    <row r="759" spans="1:35" x14ac:dyDescent="0.25">
      <c r="A759">
        <v>259</v>
      </c>
      <c r="B759" t="s">
        <v>35</v>
      </c>
      <c r="C759">
        <v>3</v>
      </c>
      <c r="D759" t="s">
        <v>36</v>
      </c>
      <c r="E759">
        <v>4</v>
      </c>
      <c r="F759" t="s">
        <v>259</v>
      </c>
      <c r="G759">
        <v>4</v>
      </c>
      <c r="H759">
        <v>12</v>
      </c>
      <c r="I759">
        <v>2</v>
      </c>
      <c r="J759">
        <v>38</v>
      </c>
      <c r="K759">
        <v>40</v>
      </c>
      <c r="L759">
        <v>32</v>
      </c>
      <c r="M759">
        <v>1</v>
      </c>
      <c r="N759" t="s">
        <v>234</v>
      </c>
      <c r="O759" t="s">
        <v>113</v>
      </c>
      <c r="P759" t="s">
        <v>114</v>
      </c>
      <c r="Q759" t="s">
        <v>231</v>
      </c>
      <c r="R759" t="s">
        <v>114</v>
      </c>
      <c r="S759" t="s">
        <v>43</v>
      </c>
      <c r="T759" t="s">
        <v>111</v>
      </c>
      <c r="U759">
        <v>1</v>
      </c>
      <c r="V759" t="s">
        <v>162</v>
      </c>
      <c r="W759" t="s">
        <v>79</v>
      </c>
      <c r="X759" t="s">
        <v>68</v>
      </c>
      <c r="Y759">
        <v>1</v>
      </c>
      <c r="Z759">
        <v>3</v>
      </c>
      <c r="AA759">
        <v>44.1</v>
      </c>
      <c r="AB759">
        <v>-1</v>
      </c>
      <c r="AC759" t="s">
        <v>162</v>
      </c>
      <c r="AD759">
        <v>2</v>
      </c>
      <c r="AE759">
        <v>4</v>
      </c>
      <c r="AF759">
        <v>0</v>
      </c>
      <c r="AG759">
        <v>2.181</v>
      </c>
      <c r="AH759">
        <v>0.16600000000000001</v>
      </c>
      <c r="AI759">
        <v>-1</v>
      </c>
    </row>
    <row r="760" spans="1:35" x14ac:dyDescent="0.25">
      <c r="A760">
        <v>259</v>
      </c>
      <c r="B760" t="s">
        <v>35</v>
      </c>
      <c r="C760">
        <v>3</v>
      </c>
      <c r="D760" t="s">
        <v>36</v>
      </c>
      <c r="E760">
        <v>4</v>
      </c>
      <c r="F760" t="s">
        <v>259</v>
      </c>
      <c r="G760">
        <v>4</v>
      </c>
      <c r="H760">
        <v>12</v>
      </c>
      <c r="I760">
        <v>2</v>
      </c>
      <c r="J760">
        <v>39</v>
      </c>
      <c r="K760">
        <v>34</v>
      </c>
      <c r="L760">
        <v>28</v>
      </c>
      <c r="M760">
        <v>1</v>
      </c>
      <c r="N760" t="s">
        <v>117</v>
      </c>
      <c r="O760" t="s">
        <v>113</v>
      </c>
      <c r="P760" t="s">
        <v>114</v>
      </c>
      <c r="Q760" t="s">
        <v>118</v>
      </c>
      <c r="R760" t="s">
        <v>114</v>
      </c>
      <c r="S760" t="s">
        <v>52</v>
      </c>
      <c r="T760" t="s">
        <v>119</v>
      </c>
      <c r="U760">
        <v>4</v>
      </c>
      <c r="V760" t="s">
        <v>214</v>
      </c>
      <c r="W760" t="s">
        <v>98</v>
      </c>
      <c r="X760" t="s">
        <v>86</v>
      </c>
      <c r="Y760">
        <v>2</v>
      </c>
      <c r="Z760">
        <v>3</v>
      </c>
      <c r="AA760">
        <v>44.1</v>
      </c>
      <c r="AB760">
        <v>-1</v>
      </c>
      <c r="AC760" t="s">
        <v>119</v>
      </c>
      <c r="AD760">
        <v>1</v>
      </c>
      <c r="AE760">
        <v>4</v>
      </c>
      <c r="AF760">
        <v>1</v>
      </c>
      <c r="AG760">
        <v>1.8640000000000001</v>
      </c>
      <c r="AH760">
        <v>0.112</v>
      </c>
      <c r="AI760">
        <v>-1</v>
      </c>
    </row>
    <row r="761" spans="1:35" x14ac:dyDescent="0.25">
      <c r="A761">
        <v>259</v>
      </c>
      <c r="B761" t="s">
        <v>35</v>
      </c>
      <c r="C761">
        <v>3</v>
      </c>
      <c r="D761" t="s">
        <v>36</v>
      </c>
      <c r="E761">
        <v>4</v>
      </c>
      <c r="F761" t="s">
        <v>259</v>
      </c>
      <c r="G761">
        <v>4</v>
      </c>
      <c r="H761">
        <v>12</v>
      </c>
      <c r="I761">
        <v>2</v>
      </c>
      <c r="J761">
        <v>40</v>
      </c>
      <c r="K761">
        <v>41</v>
      </c>
      <c r="L761">
        <v>65</v>
      </c>
      <c r="M761">
        <v>2</v>
      </c>
      <c r="N761" t="s">
        <v>225</v>
      </c>
      <c r="O761" t="s">
        <v>113</v>
      </c>
      <c r="P761" t="s">
        <v>114</v>
      </c>
      <c r="Q761" t="s">
        <v>226</v>
      </c>
      <c r="R761" t="s">
        <v>114</v>
      </c>
      <c r="S761" t="s">
        <v>59</v>
      </c>
      <c r="T761" t="s">
        <v>87</v>
      </c>
      <c r="U761">
        <v>5</v>
      </c>
      <c r="V761" t="s">
        <v>209</v>
      </c>
      <c r="W761" t="s">
        <v>75</v>
      </c>
      <c r="X761" t="s">
        <v>172</v>
      </c>
      <c r="Y761">
        <v>1</v>
      </c>
      <c r="Z761">
        <v>3</v>
      </c>
      <c r="AA761">
        <v>44.1</v>
      </c>
      <c r="AB761">
        <v>-1</v>
      </c>
      <c r="AC761" t="s">
        <v>87</v>
      </c>
      <c r="AD761">
        <v>1</v>
      </c>
      <c r="AE761">
        <v>5</v>
      </c>
      <c r="AF761">
        <v>1</v>
      </c>
      <c r="AG761">
        <v>2.6440000000000001</v>
      </c>
      <c r="AH761">
        <v>0.55000000000000004</v>
      </c>
      <c r="AI761">
        <v>-1</v>
      </c>
    </row>
    <row r="762" spans="1:35" x14ac:dyDescent="0.25">
      <c r="A762">
        <v>259</v>
      </c>
      <c r="B762" t="s">
        <v>35</v>
      </c>
      <c r="C762">
        <v>3</v>
      </c>
      <c r="D762" t="s">
        <v>36</v>
      </c>
      <c r="E762">
        <v>4</v>
      </c>
      <c r="F762" t="s">
        <v>259</v>
      </c>
      <c r="G762">
        <v>4</v>
      </c>
      <c r="H762">
        <v>12</v>
      </c>
      <c r="I762">
        <v>2</v>
      </c>
      <c r="J762">
        <v>41</v>
      </c>
      <c r="K762">
        <v>35</v>
      </c>
      <c r="L762">
        <v>67</v>
      </c>
      <c r="M762">
        <v>2</v>
      </c>
      <c r="N762" t="s">
        <v>145</v>
      </c>
      <c r="O762" t="s">
        <v>113</v>
      </c>
      <c r="P762" t="s">
        <v>114</v>
      </c>
      <c r="Q762" t="s">
        <v>136</v>
      </c>
      <c r="R762" t="s">
        <v>114</v>
      </c>
      <c r="S762" t="s">
        <v>92</v>
      </c>
      <c r="T762" t="s">
        <v>137</v>
      </c>
      <c r="U762">
        <v>4</v>
      </c>
      <c r="V762" t="s">
        <v>74</v>
      </c>
      <c r="W762" t="s">
        <v>147</v>
      </c>
      <c r="X762" t="s">
        <v>55</v>
      </c>
      <c r="Y762">
        <v>1</v>
      </c>
      <c r="Z762">
        <v>3</v>
      </c>
      <c r="AA762">
        <v>44.1</v>
      </c>
      <c r="AB762">
        <v>-1</v>
      </c>
      <c r="AC762" t="s">
        <v>137</v>
      </c>
      <c r="AD762">
        <v>1</v>
      </c>
      <c r="AE762">
        <v>4</v>
      </c>
      <c r="AF762">
        <v>1</v>
      </c>
      <c r="AG762">
        <v>0.57399999999999995</v>
      </c>
      <c r="AH762">
        <v>3.3000000000000002E-2</v>
      </c>
      <c r="AI762">
        <v>-1</v>
      </c>
    </row>
    <row r="763" spans="1:35" x14ac:dyDescent="0.25">
      <c r="A763">
        <v>259</v>
      </c>
      <c r="B763" t="s">
        <v>35</v>
      </c>
      <c r="C763">
        <v>3</v>
      </c>
      <c r="D763" t="s">
        <v>36</v>
      </c>
      <c r="E763">
        <v>4</v>
      </c>
      <c r="F763" t="s">
        <v>259</v>
      </c>
      <c r="G763">
        <v>4</v>
      </c>
      <c r="H763">
        <v>12</v>
      </c>
      <c r="I763">
        <v>2</v>
      </c>
      <c r="J763">
        <v>42</v>
      </c>
      <c r="K763">
        <v>47</v>
      </c>
      <c r="L763">
        <v>33</v>
      </c>
      <c r="M763">
        <v>1</v>
      </c>
      <c r="N763" t="s">
        <v>223</v>
      </c>
      <c r="O763" t="s">
        <v>113</v>
      </c>
      <c r="P763" t="s">
        <v>114</v>
      </c>
      <c r="Q763" t="s">
        <v>224</v>
      </c>
      <c r="R763" t="s">
        <v>114</v>
      </c>
      <c r="S763" t="s">
        <v>59</v>
      </c>
      <c r="T763" t="s">
        <v>56</v>
      </c>
      <c r="U763">
        <v>5</v>
      </c>
      <c r="V763" t="s">
        <v>61</v>
      </c>
      <c r="W763" t="s">
        <v>183</v>
      </c>
      <c r="X763" t="s">
        <v>44</v>
      </c>
      <c r="Y763">
        <v>1</v>
      </c>
      <c r="Z763">
        <v>3</v>
      </c>
      <c r="AA763">
        <v>44.1</v>
      </c>
      <c r="AB763">
        <v>-1</v>
      </c>
      <c r="AC763" t="s">
        <v>44</v>
      </c>
      <c r="AD763">
        <v>4</v>
      </c>
      <c r="AE763">
        <v>2</v>
      </c>
      <c r="AF763">
        <v>0</v>
      </c>
      <c r="AG763">
        <v>2.1419999999999999</v>
      </c>
      <c r="AH763">
        <v>0.16600000000000001</v>
      </c>
      <c r="AI763">
        <v>-1</v>
      </c>
    </row>
    <row r="764" spans="1:35" x14ac:dyDescent="0.25">
      <c r="A764">
        <v>259</v>
      </c>
      <c r="B764" t="s">
        <v>35</v>
      </c>
      <c r="C764">
        <v>3</v>
      </c>
      <c r="D764" t="s">
        <v>36</v>
      </c>
      <c r="E764">
        <v>4</v>
      </c>
      <c r="F764" t="s">
        <v>259</v>
      </c>
      <c r="G764">
        <v>4</v>
      </c>
      <c r="H764">
        <v>12</v>
      </c>
      <c r="I764">
        <v>2</v>
      </c>
      <c r="J764">
        <v>43</v>
      </c>
      <c r="K764">
        <v>26</v>
      </c>
      <c r="L764">
        <v>72</v>
      </c>
      <c r="M764">
        <v>2</v>
      </c>
      <c r="N764" t="s">
        <v>112</v>
      </c>
      <c r="O764" t="s">
        <v>113</v>
      </c>
      <c r="P764" t="s">
        <v>114</v>
      </c>
      <c r="Q764" t="s">
        <v>115</v>
      </c>
      <c r="R764" t="s">
        <v>114</v>
      </c>
      <c r="S764" t="s">
        <v>43</v>
      </c>
      <c r="T764" t="s">
        <v>104</v>
      </c>
      <c r="U764">
        <v>1</v>
      </c>
      <c r="V764" t="s">
        <v>46</v>
      </c>
      <c r="W764" t="s">
        <v>53</v>
      </c>
      <c r="X764" t="s">
        <v>99</v>
      </c>
      <c r="Y764">
        <v>1</v>
      </c>
      <c r="Z764">
        <v>3</v>
      </c>
      <c r="AA764">
        <v>44.1</v>
      </c>
      <c r="AB764">
        <v>-1</v>
      </c>
      <c r="AC764" t="s">
        <v>99</v>
      </c>
      <c r="AD764">
        <v>4</v>
      </c>
      <c r="AE764">
        <v>2</v>
      </c>
      <c r="AF764">
        <v>0</v>
      </c>
      <c r="AG764">
        <v>2.262</v>
      </c>
      <c r="AH764">
        <v>2.9000000000000001E-2</v>
      </c>
      <c r="AI764">
        <v>-1</v>
      </c>
    </row>
    <row r="765" spans="1:35" x14ac:dyDescent="0.25">
      <c r="A765">
        <v>259</v>
      </c>
      <c r="B765" t="s">
        <v>35</v>
      </c>
      <c r="C765">
        <v>3</v>
      </c>
      <c r="D765" t="s">
        <v>36</v>
      </c>
      <c r="E765">
        <v>4</v>
      </c>
      <c r="F765" t="s">
        <v>259</v>
      </c>
      <c r="G765">
        <v>4</v>
      </c>
      <c r="H765">
        <v>12</v>
      </c>
      <c r="I765">
        <v>2</v>
      </c>
      <c r="J765">
        <v>44</v>
      </c>
      <c r="K765">
        <v>36</v>
      </c>
      <c r="L765">
        <v>68</v>
      </c>
      <c r="M765">
        <v>2</v>
      </c>
      <c r="N765" t="s">
        <v>135</v>
      </c>
      <c r="O765" t="s">
        <v>113</v>
      </c>
      <c r="P765" t="s">
        <v>114</v>
      </c>
      <c r="Q765" t="s">
        <v>136</v>
      </c>
      <c r="R765" t="s">
        <v>114</v>
      </c>
      <c r="S765" t="s">
        <v>52</v>
      </c>
      <c r="T765" t="s">
        <v>74</v>
      </c>
      <c r="U765">
        <v>2</v>
      </c>
      <c r="V765" t="s">
        <v>128</v>
      </c>
      <c r="W765" t="s">
        <v>85</v>
      </c>
      <c r="X765" t="s">
        <v>121</v>
      </c>
      <c r="Y765">
        <v>2</v>
      </c>
      <c r="Z765">
        <v>3</v>
      </c>
      <c r="AA765">
        <v>44.1</v>
      </c>
      <c r="AB765">
        <v>-1</v>
      </c>
      <c r="AC765" t="s">
        <v>121</v>
      </c>
      <c r="AD765">
        <v>4</v>
      </c>
      <c r="AE765">
        <v>4</v>
      </c>
      <c r="AF765">
        <v>0</v>
      </c>
      <c r="AG765">
        <v>2.431</v>
      </c>
      <c r="AH765">
        <v>0.23300000000000001</v>
      </c>
      <c r="AI765">
        <v>-1</v>
      </c>
    </row>
    <row r="766" spans="1:35" x14ac:dyDescent="0.25">
      <c r="A766">
        <v>259</v>
      </c>
      <c r="B766" t="s">
        <v>35</v>
      </c>
      <c r="C766">
        <v>3</v>
      </c>
      <c r="D766" t="s">
        <v>36</v>
      </c>
      <c r="E766">
        <v>4</v>
      </c>
      <c r="F766" t="s">
        <v>259</v>
      </c>
      <c r="G766">
        <v>4</v>
      </c>
      <c r="H766">
        <v>12</v>
      </c>
      <c r="I766">
        <v>2</v>
      </c>
      <c r="J766">
        <v>45</v>
      </c>
      <c r="K766">
        <v>39</v>
      </c>
      <c r="L766">
        <v>31</v>
      </c>
      <c r="M766">
        <v>1</v>
      </c>
      <c r="N766" t="s">
        <v>230</v>
      </c>
      <c r="O766" t="s">
        <v>113</v>
      </c>
      <c r="P766" t="s">
        <v>114</v>
      </c>
      <c r="Q766" t="s">
        <v>231</v>
      </c>
      <c r="R766" t="s">
        <v>114</v>
      </c>
      <c r="S766" t="s">
        <v>59</v>
      </c>
      <c r="T766" t="s">
        <v>162</v>
      </c>
      <c r="U766">
        <v>4</v>
      </c>
      <c r="V766" t="s">
        <v>56</v>
      </c>
      <c r="W766" t="s">
        <v>106</v>
      </c>
      <c r="X766" t="s">
        <v>141</v>
      </c>
      <c r="Y766">
        <v>2</v>
      </c>
      <c r="Z766">
        <v>3</v>
      </c>
      <c r="AA766">
        <v>44.1</v>
      </c>
      <c r="AB766">
        <v>-1</v>
      </c>
      <c r="AC766" t="s">
        <v>56</v>
      </c>
      <c r="AD766">
        <v>3</v>
      </c>
      <c r="AE766">
        <v>2</v>
      </c>
      <c r="AF766">
        <v>0</v>
      </c>
      <c r="AG766">
        <v>2.3050000000000002</v>
      </c>
      <c r="AH766">
        <v>6.6000000000000003E-2</v>
      </c>
      <c r="AI766">
        <v>-1</v>
      </c>
    </row>
    <row r="767" spans="1:35" x14ac:dyDescent="0.25">
      <c r="A767">
        <v>259</v>
      </c>
      <c r="B767" t="s">
        <v>35</v>
      </c>
      <c r="C767">
        <v>3</v>
      </c>
      <c r="D767" t="s">
        <v>36</v>
      </c>
      <c r="E767">
        <v>4</v>
      </c>
      <c r="F767" t="s">
        <v>259</v>
      </c>
      <c r="G767">
        <v>4</v>
      </c>
      <c r="H767">
        <v>12</v>
      </c>
      <c r="I767">
        <v>2</v>
      </c>
      <c r="J767">
        <v>46</v>
      </c>
      <c r="K767">
        <v>31</v>
      </c>
      <c r="L767">
        <v>63</v>
      </c>
      <c r="M767">
        <v>2</v>
      </c>
      <c r="N767" t="s">
        <v>140</v>
      </c>
      <c r="O767" t="s">
        <v>113</v>
      </c>
      <c r="P767" t="s">
        <v>114</v>
      </c>
      <c r="Q767" t="s">
        <v>134</v>
      </c>
      <c r="R767" t="s">
        <v>114</v>
      </c>
      <c r="S767" t="s">
        <v>59</v>
      </c>
      <c r="T767" t="s">
        <v>95</v>
      </c>
      <c r="U767">
        <v>2</v>
      </c>
      <c r="V767" t="s">
        <v>124</v>
      </c>
      <c r="W767" t="s">
        <v>82</v>
      </c>
      <c r="X767" t="s">
        <v>149</v>
      </c>
      <c r="Y767">
        <v>2</v>
      </c>
      <c r="Z767">
        <v>3</v>
      </c>
      <c r="AA767">
        <v>44.1</v>
      </c>
      <c r="AB767">
        <v>-1</v>
      </c>
      <c r="AC767" t="s">
        <v>149</v>
      </c>
      <c r="AD767">
        <v>4</v>
      </c>
      <c r="AE767">
        <v>5</v>
      </c>
      <c r="AF767">
        <v>0</v>
      </c>
      <c r="AG767">
        <v>2.137</v>
      </c>
      <c r="AH767">
        <v>1.7000000000000001E-2</v>
      </c>
      <c r="AI767">
        <v>-1</v>
      </c>
    </row>
    <row r="768" spans="1:35" x14ac:dyDescent="0.25">
      <c r="A768">
        <v>259</v>
      </c>
      <c r="B768" t="s">
        <v>35</v>
      </c>
      <c r="C768">
        <v>3</v>
      </c>
      <c r="D768" t="s">
        <v>36</v>
      </c>
      <c r="E768">
        <v>4</v>
      </c>
      <c r="F768" t="s">
        <v>259</v>
      </c>
      <c r="G768">
        <v>4</v>
      </c>
      <c r="H768">
        <v>12</v>
      </c>
      <c r="I768">
        <v>2</v>
      </c>
      <c r="J768">
        <v>47</v>
      </c>
      <c r="K768">
        <v>43</v>
      </c>
      <c r="L768">
        <v>29</v>
      </c>
      <c r="M768">
        <v>1</v>
      </c>
      <c r="N768" t="s">
        <v>217</v>
      </c>
      <c r="O768" t="s">
        <v>113</v>
      </c>
      <c r="P768" t="s">
        <v>114</v>
      </c>
      <c r="Q768" t="s">
        <v>218</v>
      </c>
      <c r="R768" t="s">
        <v>114</v>
      </c>
      <c r="S768" t="s">
        <v>52</v>
      </c>
      <c r="T768" t="s">
        <v>214</v>
      </c>
      <c r="U768">
        <v>2</v>
      </c>
      <c r="V768" t="s">
        <v>107</v>
      </c>
      <c r="W768" t="s">
        <v>94</v>
      </c>
      <c r="X768" t="s">
        <v>211</v>
      </c>
      <c r="Y768">
        <v>1</v>
      </c>
      <c r="Z768">
        <v>3</v>
      </c>
      <c r="AA768">
        <v>44.1</v>
      </c>
      <c r="AB768">
        <v>-1</v>
      </c>
      <c r="AC768" t="s">
        <v>107</v>
      </c>
      <c r="AD768">
        <v>2</v>
      </c>
      <c r="AE768">
        <v>4</v>
      </c>
      <c r="AF768">
        <v>0</v>
      </c>
      <c r="AG768">
        <v>1.7170000000000001</v>
      </c>
      <c r="AH768">
        <v>6.6000000000000003E-2</v>
      </c>
      <c r="AI768">
        <v>-1</v>
      </c>
    </row>
    <row r="769" spans="1:35" x14ac:dyDescent="0.25">
      <c r="A769">
        <v>259</v>
      </c>
      <c r="B769" t="s">
        <v>35</v>
      </c>
      <c r="C769">
        <v>3</v>
      </c>
      <c r="D769" t="s">
        <v>36</v>
      </c>
      <c r="E769">
        <v>4</v>
      </c>
      <c r="F769" t="s">
        <v>259</v>
      </c>
      <c r="G769">
        <v>4</v>
      </c>
      <c r="H769">
        <v>12</v>
      </c>
      <c r="I769">
        <v>2</v>
      </c>
      <c r="J769">
        <v>48</v>
      </c>
      <c r="K769">
        <v>37</v>
      </c>
      <c r="L769">
        <v>35</v>
      </c>
      <c r="M769">
        <v>1</v>
      </c>
      <c r="N769" t="s">
        <v>219</v>
      </c>
      <c r="O769" t="s">
        <v>113</v>
      </c>
      <c r="P769" t="s">
        <v>114</v>
      </c>
      <c r="Q769" t="s">
        <v>220</v>
      </c>
      <c r="R769" t="s">
        <v>114</v>
      </c>
      <c r="S769" t="s">
        <v>92</v>
      </c>
      <c r="T769" t="s">
        <v>179</v>
      </c>
      <c r="U769">
        <v>1</v>
      </c>
      <c r="V769" t="s">
        <v>116</v>
      </c>
      <c r="W769" t="s">
        <v>204</v>
      </c>
      <c r="X769" t="s">
        <v>73</v>
      </c>
      <c r="Y769">
        <v>1</v>
      </c>
      <c r="Z769">
        <v>3</v>
      </c>
      <c r="AA769">
        <v>44.1</v>
      </c>
      <c r="AB769">
        <v>-1</v>
      </c>
      <c r="AC769" t="s">
        <v>179</v>
      </c>
      <c r="AD769">
        <v>1</v>
      </c>
      <c r="AE769">
        <v>1</v>
      </c>
      <c r="AF769">
        <v>1</v>
      </c>
      <c r="AG769">
        <v>1.4350000000000001</v>
      </c>
      <c r="AH769">
        <v>0.112</v>
      </c>
      <c r="AI769">
        <v>-1</v>
      </c>
    </row>
    <row r="770" spans="1:35" x14ac:dyDescent="0.25">
      <c r="A770">
        <v>259</v>
      </c>
      <c r="B770" t="s">
        <v>35</v>
      </c>
      <c r="C770">
        <v>3</v>
      </c>
      <c r="D770" t="s">
        <v>36</v>
      </c>
      <c r="E770">
        <v>4</v>
      </c>
      <c r="F770" t="s">
        <v>259</v>
      </c>
      <c r="G770">
        <v>4</v>
      </c>
      <c r="H770">
        <v>12</v>
      </c>
      <c r="I770">
        <v>2</v>
      </c>
      <c r="J770">
        <v>49</v>
      </c>
      <c r="K770">
        <v>57</v>
      </c>
      <c r="L770">
        <v>15</v>
      </c>
      <c r="M770">
        <v>1</v>
      </c>
      <c r="N770" t="s">
        <v>150</v>
      </c>
      <c r="O770" t="s">
        <v>151</v>
      </c>
      <c r="P770" t="s">
        <v>152</v>
      </c>
      <c r="Q770" t="s">
        <v>153</v>
      </c>
      <c r="R770" t="s">
        <v>154</v>
      </c>
      <c r="S770" t="s">
        <v>92</v>
      </c>
      <c r="T770" t="s">
        <v>155</v>
      </c>
      <c r="U770">
        <v>5</v>
      </c>
      <c r="V770" t="s">
        <v>99</v>
      </c>
      <c r="W770" t="s">
        <v>104</v>
      </c>
      <c r="X770" t="s">
        <v>60</v>
      </c>
      <c r="Y770">
        <v>1</v>
      </c>
      <c r="Z770">
        <v>3</v>
      </c>
      <c r="AA770">
        <v>44.1</v>
      </c>
      <c r="AB770">
        <v>-1</v>
      </c>
      <c r="AC770" t="s">
        <v>155</v>
      </c>
      <c r="AD770">
        <v>1</v>
      </c>
      <c r="AE770">
        <v>5</v>
      </c>
      <c r="AF770">
        <v>1</v>
      </c>
      <c r="AG770">
        <v>3.09</v>
      </c>
      <c r="AH770">
        <v>0.13300000000000001</v>
      </c>
      <c r="AI770">
        <v>-1</v>
      </c>
    </row>
    <row r="771" spans="1:35" x14ac:dyDescent="0.25">
      <c r="A771">
        <v>259</v>
      </c>
      <c r="B771" t="s">
        <v>35</v>
      </c>
      <c r="C771">
        <v>3</v>
      </c>
      <c r="D771" t="s">
        <v>36</v>
      </c>
      <c r="E771">
        <v>4</v>
      </c>
      <c r="F771" t="s">
        <v>259</v>
      </c>
      <c r="G771">
        <v>4</v>
      </c>
      <c r="H771">
        <v>12</v>
      </c>
      <c r="I771">
        <v>2</v>
      </c>
      <c r="J771">
        <v>50</v>
      </c>
      <c r="K771">
        <v>52</v>
      </c>
      <c r="L771">
        <v>14</v>
      </c>
      <c r="M771">
        <v>1</v>
      </c>
      <c r="N771" t="s">
        <v>184</v>
      </c>
      <c r="O771" t="s">
        <v>151</v>
      </c>
      <c r="P771" t="s">
        <v>168</v>
      </c>
      <c r="Q771" t="s">
        <v>169</v>
      </c>
      <c r="R771" t="s">
        <v>154</v>
      </c>
      <c r="S771" t="s">
        <v>92</v>
      </c>
      <c r="T771" t="s">
        <v>141</v>
      </c>
      <c r="U771">
        <v>2</v>
      </c>
      <c r="V771" t="s">
        <v>62</v>
      </c>
      <c r="W771" t="s">
        <v>149</v>
      </c>
      <c r="X771" t="s">
        <v>61</v>
      </c>
      <c r="Y771">
        <v>2</v>
      </c>
      <c r="Z771">
        <v>3</v>
      </c>
      <c r="AA771">
        <v>44.1</v>
      </c>
      <c r="AB771">
        <v>-1</v>
      </c>
      <c r="AC771" t="s">
        <v>141</v>
      </c>
      <c r="AD771">
        <v>1</v>
      </c>
      <c r="AE771">
        <v>2</v>
      </c>
      <c r="AF771">
        <v>1</v>
      </c>
      <c r="AG771">
        <v>2.8959999999999999</v>
      </c>
      <c r="AH771">
        <v>0.26600000000000001</v>
      </c>
      <c r="AI771">
        <v>-1</v>
      </c>
    </row>
    <row r="772" spans="1:35" x14ac:dyDescent="0.25">
      <c r="A772">
        <v>259</v>
      </c>
      <c r="B772" t="s">
        <v>35</v>
      </c>
      <c r="C772">
        <v>3</v>
      </c>
      <c r="D772" t="s">
        <v>36</v>
      </c>
      <c r="E772">
        <v>4</v>
      </c>
      <c r="F772" t="s">
        <v>259</v>
      </c>
      <c r="G772">
        <v>4</v>
      </c>
      <c r="H772">
        <v>12</v>
      </c>
      <c r="I772">
        <v>2</v>
      </c>
      <c r="J772">
        <v>51</v>
      </c>
      <c r="K772">
        <v>50</v>
      </c>
      <c r="L772">
        <v>60</v>
      </c>
      <c r="M772">
        <v>2</v>
      </c>
      <c r="N772" t="s">
        <v>157</v>
      </c>
      <c r="O772" t="s">
        <v>151</v>
      </c>
      <c r="P772" t="s">
        <v>158</v>
      </c>
      <c r="Q772" t="s">
        <v>159</v>
      </c>
      <c r="R772" t="s">
        <v>160</v>
      </c>
      <c r="S772" t="s">
        <v>43</v>
      </c>
      <c r="T772" t="s">
        <v>161</v>
      </c>
      <c r="U772">
        <v>4</v>
      </c>
      <c r="V772" t="s">
        <v>103</v>
      </c>
      <c r="W772" t="s">
        <v>172</v>
      </c>
      <c r="X772" t="s">
        <v>127</v>
      </c>
      <c r="Y772">
        <v>1</v>
      </c>
      <c r="Z772">
        <v>3</v>
      </c>
      <c r="AA772">
        <v>44.1</v>
      </c>
      <c r="AB772">
        <v>-1</v>
      </c>
      <c r="AC772" t="s">
        <v>103</v>
      </c>
      <c r="AD772">
        <v>2</v>
      </c>
      <c r="AE772">
        <v>5</v>
      </c>
      <c r="AF772">
        <v>0</v>
      </c>
      <c r="AG772">
        <v>0.83699999999999997</v>
      </c>
      <c r="AH772">
        <v>0.5</v>
      </c>
      <c r="AI772">
        <v>-1</v>
      </c>
    </row>
    <row r="773" spans="1:35" x14ac:dyDescent="0.25">
      <c r="A773">
        <v>259</v>
      </c>
      <c r="B773" t="s">
        <v>35</v>
      </c>
      <c r="C773">
        <v>3</v>
      </c>
      <c r="D773" t="s">
        <v>36</v>
      </c>
      <c r="E773">
        <v>4</v>
      </c>
      <c r="F773" t="s">
        <v>259</v>
      </c>
      <c r="G773">
        <v>4</v>
      </c>
      <c r="H773">
        <v>12</v>
      </c>
      <c r="I773">
        <v>2</v>
      </c>
      <c r="J773">
        <v>52</v>
      </c>
      <c r="K773">
        <v>54</v>
      </c>
      <c r="L773">
        <v>50</v>
      </c>
      <c r="M773">
        <v>2</v>
      </c>
      <c r="N773" t="s">
        <v>186</v>
      </c>
      <c r="O773" t="s">
        <v>151</v>
      </c>
      <c r="P773" t="s">
        <v>181</v>
      </c>
      <c r="Q773" t="s">
        <v>182</v>
      </c>
      <c r="R773" t="s">
        <v>174</v>
      </c>
      <c r="S773" t="s">
        <v>52</v>
      </c>
      <c r="T773" t="s">
        <v>187</v>
      </c>
      <c r="U773">
        <v>5</v>
      </c>
      <c r="V773" t="s">
        <v>47</v>
      </c>
      <c r="W773" t="s">
        <v>100</v>
      </c>
      <c r="X773" t="s">
        <v>85</v>
      </c>
      <c r="Y773">
        <v>2</v>
      </c>
      <c r="Z773">
        <v>3</v>
      </c>
      <c r="AA773">
        <v>44.1</v>
      </c>
      <c r="AB773">
        <v>-1</v>
      </c>
      <c r="AC773" t="s">
        <v>85</v>
      </c>
      <c r="AD773">
        <v>4</v>
      </c>
      <c r="AE773">
        <v>4</v>
      </c>
      <c r="AF773">
        <v>0</v>
      </c>
      <c r="AG773">
        <v>1.093</v>
      </c>
      <c r="AH773">
        <v>0.129</v>
      </c>
      <c r="AI773">
        <v>-1</v>
      </c>
    </row>
    <row r="774" spans="1:35" x14ac:dyDescent="0.25">
      <c r="A774">
        <v>259</v>
      </c>
      <c r="B774" t="s">
        <v>35</v>
      </c>
      <c r="C774">
        <v>3</v>
      </c>
      <c r="D774" t="s">
        <v>36</v>
      </c>
      <c r="E774">
        <v>4</v>
      </c>
      <c r="F774" t="s">
        <v>259</v>
      </c>
      <c r="G774">
        <v>4</v>
      </c>
      <c r="H774">
        <v>12</v>
      </c>
      <c r="I774">
        <v>2</v>
      </c>
      <c r="J774">
        <v>53</v>
      </c>
      <c r="K774">
        <v>59</v>
      </c>
      <c r="L774">
        <v>55</v>
      </c>
      <c r="M774">
        <v>2</v>
      </c>
      <c r="N774" t="s">
        <v>163</v>
      </c>
      <c r="O774" t="s">
        <v>151</v>
      </c>
      <c r="P774" t="s">
        <v>164</v>
      </c>
      <c r="Q774" t="s">
        <v>165</v>
      </c>
      <c r="R774" t="s">
        <v>154</v>
      </c>
      <c r="S774" t="s">
        <v>92</v>
      </c>
      <c r="T774" t="s">
        <v>86</v>
      </c>
      <c r="U774">
        <v>4</v>
      </c>
      <c r="V774" t="s">
        <v>155</v>
      </c>
      <c r="W774" t="s">
        <v>56</v>
      </c>
      <c r="X774" t="s">
        <v>45</v>
      </c>
      <c r="Y774">
        <v>2</v>
      </c>
      <c r="Z774">
        <v>3</v>
      </c>
      <c r="AA774">
        <v>44.1</v>
      </c>
      <c r="AB774">
        <v>-1</v>
      </c>
      <c r="AC774" t="s">
        <v>86</v>
      </c>
      <c r="AD774">
        <v>1</v>
      </c>
      <c r="AE774">
        <v>4</v>
      </c>
      <c r="AF774">
        <v>1</v>
      </c>
      <c r="AG774">
        <v>1.173</v>
      </c>
      <c r="AH774">
        <v>0.05</v>
      </c>
      <c r="AI774">
        <v>-1</v>
      </c>
    </row>
    <row r="775" spans="1:35" x14ac:dyDescent="0.25">
      <c r="A775">
        <v>259</v>
      </c>
      <c r="B775" t="s">
        <v>35</v>
      </c>
      <c r="C775">
        <v>3</v>
      </c>
      <c r="D775" t="s">
        <v>36</v>
      </c>
      <c r="E775">
        <v>4</v>
      </c>
      <c r="F775" t="s">
        <v>259</v>
      </c>
      <c r="G775">
        <v>4</v>
      </c>
      <c r="H775">
        <v>12</v>
      </c>
      <c r="I775">
        <v>2</v>
      </c>
      <c r="J775">
        <v>54</v>
      </c>
      <c r="K775">
        <v>65</v>
      </c>
      <c r="L775">
        <v>53</v>
      </c>
      <c r="M775">
        <v>2</v>
      </c>
      <c r="N775" t="s">
        <v>257</v>
      </c>
      <c r="O775" t="s">
        <v>151</v>
      </c>
      <c r="P775" t="s">
        <v>249</v>
      </c>
      <c r="Q775" t="s">
        <v>250</v>
      </c>
      <c r="R775" t="s">
        <v>170</v>
      </c>
      <c r="S775" t="s">
        <v>59</v>
      </c>
      <c r="T775" t="s">
        <v>204</v>
      </c>
      <c r="U775">
        <v>4</v>
      </c>
      <c r="V775" t="s">
        <v>68</v>
      </c>
      <c r="W775" t="s">
        <v>131</v>
      </c>
      <c r="X775" t="s">
        <v>74</v>
      </c>
      <c r="Y775">
        <v>1</v>
      </c>
      <c r="Z775">
        <v>3</v>
      </c>
      <c r="AA775">
        <v>44.1</v>
      </c>
      <c r="AB775">
        <v>-1</v>
      </c>
      <c r="AC775" t="s">
        <v>204</v>
      </c>
      <c r="AD775">
        <v>1</v>
      </c>
      <c r="AE775">
        <v>4</v>
      </c>
      <c r="AF775">
        <v>1</v>
      </c>
      <c r="AG775">
        <v>1.53</v>
      </c>
      <c r="AH775">
        <v>1.0329999999999999</v>
      </c>
      <c r="AI775">
        <v>-1</v>
      </c>
    </row>
    <row r="776" spans="1:35" x14ac:dyDescent="0.25">
      <c r="A776">
        <v>259</v>
      </c>
      <c r="B776" t="s">
        <v>35</v>
      </c>
      <c r="C776">
        <v>3</v>
      </c>
      <c r="D776" t="s">
        <v>36</v>
      </c>
      <c r="E776">
        <v>4</v>
      </c>
      <c r="F776" t="s">
        <v>259</v>
      </c>
      <c r="G776">
        <v>4</v>
      </c>
      <c r="H776">
        <v>12</v>
      </c>
      <c r="I776">
        <v>2</v>
      </c>
      <c r="J776">
        <v>55</v>
      </c>
      <c r="K776">
        <v>62</v>
      </c>
      <c r="L776">
        <v>24</v>
      </c>
      <c r="M776">
        <v>1</v>
      </c>
      <c r="N776" t="s">
        <v>251</v>
      </c>
      <c r="O776" t="s">
        <v>151</v>
      </c>
      <c r="P776" t="s">
        <v>245</v>
      </c>
      <c r="Q776" t="s">
        <v>246</v>
      </c>
      <c r="R776" t="s">
        <v>160</v>
      </c>
      <c r="S776" t="s">
        <v>43</v>
      </c>
      <c r="T776" t="s">
        <v>121</v>
      </c>
      <c r="U776">
        <v>2</v>
      </c>
      <c r="V776" t="s">
        <v>161</v>
      </c>
      <c r="W776" t="s">
        <v>144</v>
      </c>
      <c r="X776" t="s">
        <v>119</v>
      </c>
      <c r="Y776">
        <v>2</v>
      </c>
      <c r="Z776">
        <v>3</v>
      </c>
      <c r="AA776">
        <v>44.1</v>
      </c>
      <c r="AB776">
        <v>-1</v>
      </c>
      <c r="AC776" t="s">
        <v>144</v>
      </c>
      <c r="AD776">
        <v>4</v>
      </c>
      <c r="AE776">
        <v>1</v>
      </c>
      <c r="AF776">
        <v>0</v>
      </c>
      <c r="AG776">
        <v>1.603</v>
      </c>
      <c r="AH776">
        <v>1.333</v>
      </c>
      <c r="AI776">
        <v>-1</v>
      </c>
    </row>
    <row r="777" spans="1:35" x14ac:dyDescent="0.25">
      <c r="A777">
        <v>259</v>
      </c>
      <c r="B777" t="s">
        <v>35</v>
      </c>
      <c r="C777">
        <v>3</v>
      </c>
      <c r="D777" t="s">
        <v>36</v>
      </c>
      <c r="E777">
        <v>4</v>
      </c>
      <c r="F777" t="s">
        <v>259</v>
      </c>
      <c r="G777">
        <v>4</v>
      </c>
      <c r="H777">
        <v>12</v>
      </c>
      <c r="I777">
        <v>2</v>
      </c>
      <c r="J777">
        <v>56</v>
      </c>
      <c r="K777">
        <v>67</v>
      </c>
      <c r="L777">
        <v>17</v>
      </c>
      <c r="M777">
        <v>1</v>
      </c>
      <c r="N777" t="s">
        <v>254</v>
      </c>
      <c r="O777" t="s">
        <v>151</v>
      </c>
      <c r="P777" t="s">
        <v>255</v>
      </c>
      <c r="Q777" t="s">
        <v>256</v>
      </c>
      <c r="R777" t="s">
        <v>174</v>
      </c>
      <c r="S777" t="s">
        <v>52</v>
      </c>
      <c r="T777" t="s">
        <v>47</v>
      </c>
      <c r="U777">
        <v>5</v>
      </c>
      <c r="V777" t="s">
        <v>110</v>
      </c>
      <c r="W777" t="s">
        <v>87</v>
      </c>
      <c r="X777" t="s">
        <v>98</v>
      </c>
      <c r="Y777">
        <v>1</v>
      </c>
      <c r="Z777">
        <v>3</v>
      </c>
      <c r="AA777">
        <v>44.1</v>
      </c>
      <c r="AB777">
        <v>-1</v>
      </c>
      <c r="AC777" t="s">
        <v>47</v>
      </c>
      <c r="AD777">
        <v>1</v>
      </c>
      <c r="AE777">
        <v>5</v>
      </c>
      <c r="AF777">
        <v>1</v>
      </c>
      <c r="AG777">
        <v>0.84599999999999997</v>
      </c>
      <c r="AH777">
        <v>6.6000000000000003E-2</v>
      </c>
      <c r="AI777">
        <v>-1</v>
      </c>
    </row>
    <row r="778" spans="1:35" x14ac:dyDescent="0.25">
      <c r="A778">
        <v>259</v>
      </c>
      <c r="B778" t="s">
        <v>35</v>
      </c>
      <c r="C778">
        <v>3</v>
      </c>
      <c r="D778" t="s">
        <v>36</v>
      </c>
      <c r="E778">
        <v>4</v>
      </c>
      <c r="F778" t="s">
        <v>259</v>
      </c>
      <c r="G778">
        <v>4</v>
      </c>
      <c r="H778">
        <v>12</v>
      </c>
      <c r="I778">
        <v>2</v>
      </c>
      <c r="J778">
        <v>57</v>
      </c>
      <c r="K778">
        <v>66</v>
      </c>
      <c r="L778">
        <v>54</v>
      </c>
      <c r="M778">
        <v>2</v>
      </c>
      <c r="N778" t="s">
        <v>248</v>
      </c>
      <c r="O778" t="s">
        <v>151</v>
      </c>
      <c r="P778" t="s">
        <v>249</v>
      </c>
      <c r="Q778" t="s">
        <v>250</v>
      </c>
      <c r="R778" t="s">
        <v>154</v>
      </c>
      <c r="S778" t="s">
        <v>92</v>
      </c>
      <c r="T778" t="s">
        <v>68</v>
      </c>
      <c r="U778">
        <v>2</v>
      </c>
      <c r="V778" t="s">
        <v>183</v>
      </c>
      <c r="W778" t="s">
        <v>156</v>
      </c>
      <c r="X778" t="s">
        <v>46</v>
      </c>
      <c r="Y778">
        <v>2</v>
      </c>
      <c r="Z778">
        <v>3</v>
      </c>
      <c r="AA778">
        <v>44.1</v>
      </c>
      <c r="AB778">
        <v>-1</v>
      </c>
      <c r="AC778" t="s">
        <v>68</v>
      </c>
      <c r="AD778">
        <v>1</v>
      </c>
      <c r="AE778">
        <v>2</v>
      </c>
      <c r="AF778">
        <v>1</v>
      </c>
      <c r="AG778">
        <v>1.8109999999999999</v>
      </c>
      <c r="AH778">
        <v>0.36699999999999999</v>
      </c>
      <c r="AI778">
        <v>-1</v>
      </c>
    </row>
    <row r="779" spans="1:35" x14ac:dyDescent="0.25">
      <c r="A779">
        <v>259</v>
      </c>
      <c r="B779" t="s">
        <v>35</v>
      </c>
      <c r="C779">
        <v>3</v>
      </c>
      <c r="D779" t="s">
        <v>36</v>
      </c>
      <c r="E779">
        <v>4</v>
      </c>
      <c r="F779" t="s">
        <v>259</v>
      </c>
      <c r="G779">
        <v>4</v>
      </c>
      <c r="H779">
        <v>12</v>
      </c>
      <c r="I779">
        <v>2</v>
      </c>
      <c r="J779">
        <v>58</v>
      </c>
      <c r="K779">
        <v>71</v>
      </c>
      <c r="L779">
        <v>21</v>
      </c>
      <c r="M779">
        <v>1</v>
      </c>
      <c r="N779" t="s">
        <v>252</v>
      </c>
      <c r="O779" t="s">
        <v>151</v>
      </c>
      <c r="P779" t="s">
        <v>242</v>
      </c>
      <c r="Q779" t="s">
        <v>243</v>
      </c>
      <c r="R779" t="s">
        <v>170</v>
      </c>
      <c r="S779" t="s">
        <v>59</v>
      </c>
      <c r="T779" t="s">
        <v>146</v>
      </c>
      <c r="U779">
        <v>1</v>
      </c>
      <c r="V779" t="s">
        <v>132</v>
      </c>
      <c r="W779" t="s">
        <v>80</v>
      </c>
      <c r="X779" t="s">
        <v>209</v>
      </c>
      <c r="Y779">
        <v>1</v>
      </c>
      <c r="Z779">
        <v>3</v>
      </c>
      <c r="AA779">
        <v>44.1</v>
      </c>
      <c r="AB779">
        <v>-1</v>
      </c>
      <c r="AC779" t="s">
        <v>132</v>
      </c>
      <c r="AD779">
        <v>2</v>
      </c>
      <c r="AE779">
        <v>4</v>
      </c>
      <c r="AF779">
        <v>0</v>
      </c>
      <c r="AG779">
        <v>1.5760000000000001</v>
      </c>
      <c r="AH779">
        <v>0.23300000000000001</v>
      </c>
      <c r="AI779">
        <v>-1</v>
      </c>
    </row>
    <row r="780" spans="1:35" x14ac:dyDescent="0.25">
      <c r="A780">
        <v>259</v>
      </c>
      <c r="B780" t="s">
        <v>35</v>
      </c>
      <c r="C780">
        <v>3</v>
      </c>
      <c r="D780" t="s">
        <v>36</v>
      </c>
      <c r="E780">
        <v>4</v>
      </c>
      <c r="F780" t="s">
        <v>259</v>
      </c>
      <c r="G780">
        <v>4</v>
      </c>
      <c r="H780">
        <v>12</v>
      </c>
      <c r="I780">
        <v>2</v>
      </c>
      <c r="J780">
        <v>59</v>
      </c>
      <c r="K780">
        <v>55</v>
      </c>
      <c r="L780">
        <v>51</v>
      </c>
      <c r="M780">
        <v>2</v>
      </c>
      <c r="N780" t="s">
        <v>176</v>
      </c>
      <c r="O780" t="s">
        <v>151</v>
      </c>
      <c r="P780" t="s">
        <v>177</v>
      </c>
      <c r="Q780" t="s">
        <v>178</v>
      </c>
      <c r="R780" t="s">
        <v>170</v>
      </c>
      <c r="S780" t="s">
        <v>59</v>
      </c>
      <c r="T780" t="s">
        <v>139</v>
      </c>
      <c r="U780">
        <v>1</v>
      </c>
      <c r="V780" t="s">
        <v>204</v>
      </c>
      <c r="W780" t="s">
        <v>69</v>
      </c>
      <c r="X780" t="s">
        <v>102</v>
      </c>
      <c r="Y780">
        <v>2</v>
      </c>
      <c r="Z780">
        <v>3</v>
      </c>
      <c r="AA780">
        <v>44.1</v>
      </c>
      <c r="AB780">
        <v>-1</v>
      </c>
      <c r="AC780" t="s">
        <v>139</v>
      </c>
      <c r="AD780">
        <v>1</v>
      </c>
      <c r="AE780">
        <v>1</v>
      </c>
      <c r="AF780">
        <v>1</v>
      </c>
      <c r="AG780">
        <v>2.802</v>
      </c>
      <c r="AH780">
        <v>0.112</v>
      </c>
      <c r="AI780">
        <v>-1</v>
      </c>
    </row>
    <row r="781" spans="1:35" x14ac:dyDescent="0.25">
      <c r="A781">
        <v>259</v>
      </c>
      <c r="B781" t="s">
        <v>35</v>
      </c>
      <c r="C781">
        <v>3</v>
      </c>
      <c r="D781" t="s">
        <v>36</v>
      </c>
      <c r="E781">
        <v>4</v>
      </c>
      <c r="F781" t="s">
        <v>259</v>
      </c>
      <c r="G781">
        <v>4</v>
      </c>
      <c r="H781">
        <v>12</v>
      </c>
      <c r="I781">
        <v>2</v>
      </c>
      <c r="J781">
        <v>60</v>
      </c>
      <c r="K781">
        <v>61</v>
      </c>
      <c r="L781">
        <v>23</v>
      </c>
      <c r="M781">
        <v>1</v>
      </c>
      <c r="N781" t="s">
        <v>244</v>
      </c>
      <c r="O781" t="s">
        <v>151</v>
      </c>
      <c r="P781" t="s">
        <v>245</v>
      </c>
      <c r="Q781" t="s">
        <v>246</v>
      </c>
      <c r="R781" t="s">
        <v>154</v>
      </c>
      <c r="S781" t="s">
        <v>92</v>
      </c>
      <c r="T781" t="s">
        <v>62</v>
      </c>
      <c r="U781">
        <v>1</v>
      </c>
      <c r="V781" t="s">
        <v>121</v>
      </c>
      <c r="W781" t="s">
        <v>73</v>
      </c>
      <c r="X781" t="s">
        <v>162</v>
      </c>
      <c r="Y781">
        <v>1</v>
      </c>
      <c r="Z781">
        <v>3</v>
      </c>
      <c r="AA781">
        <v>44.1</v>
      </c>
      <c r="AB781">
        <v>-1</v>
      </c>
      <c r="AC781" t="s">
        <v>62</v>
      </c>
      <c r="AD781">
        <v>1</v>
      </c>
      <c r="AE781">
        <v>1</v>
      </c>
      <c r="AF781">
        <v>1</v>
      </c>
      <c r="AG781">
        <v>2.5059999999999998</v>
      </c>
      <c r="AH781">
        <v>0.51600000000000001</v>
      </c>
      <c r="AI781">
        <v>-1</v>
      </c>
    </row>
    <row r="782" spans="1:35" x14ac:dyDescent="0.25">
      <c r="A782">
        <v>259</v>
      </c>
      <c r="B782" t="s">
        <v>35</v>
      </c>
      <c r="C782">
        <v>3</v>
      </c>
      <c r="D782" t="s">
        <v>36</v>
      </c>
      <c r="E782">
        <v>4</v>
      </c>
      <c r="F782" t="s">
        <v>259</v>
      </c>
      <c r="G782">
        <v>4</v>
      </c>
      <c r="H782">
        <v>12</v>
      </c>
      <c r="I782">
        <v>2</v>
      </c>
      <c r="J782">
        <v>61</v>
      </c>
      <c r="K782">
        <v>68</v>
      </c>
      <c r="L782">
        <v>18</v>
      </c>
      <c r="M782">
        <v>1</v>
      </c>
      <c r="N782" t="s">
        <v>258</v>
      </c>
      <c r="O782" t="s">
        <v>151</v>
      </c>
      <c r="P782" t="s">
        <v>255</v>
      </c>
      <c r="Q782" t="s">
        <v>256</v>
      </c>
      <c r="R782" t="s">
        <v>160</v>
      </c>
      <c r="S782" t="s">
        <v>43</v>
      </c>
      <c r="T782" t="s">
        <v>110</v>
      </c>
      <c r="U782">
        <v>4</v>
      </c>
      <c r="V782" t="s">
        <v>82</v>
      </c>
      <c r="W782" t="s">
        <v>214</v>
      </c>
      <c r="X782" t="s">
        <v>147</v>
      </c>
      <c r="Y782">
        <v>2</v>
      </c>
      <c r="Z782">
        <v>3</v>
      </c>
      <c r="AA782">
        <v>44.1</v>
      </c>
      <c r="AB782">
        <v>-1</v>
      </c>
      <c r="AC782" t="s">
        <v>110</v>
      </c>
      <c r="AD782">
        <v>1</v>
      </c>
      <c r="AE782">
        <v>4</v>
      </c>
      <c r="AF782">
        <v>1</v>
      </c>
      <c r="AG782">
        <v>0.68400000000000005</v>
      </c>
      <c r="AH782">
        <v>0.33300000000000002</v>
      </c>
      <c r="AI782">
        <v>-1</v>
      </c>
    </row>
    <row r="783" spans="1:35" x14ac:dyDescent="0.25">
      <c r="A783">
        <v>259</v>
      </c>
      <c r="B783" t="s">
        <v>35</v>
      </c>
      <c r="C783">
        <v>3</v>
      </c>
      <c r="D783" t="s">
        <v>36</v>
      </c>
      <c r="E783">
        <v>4</v>
      </c>
      <c r="F783" t="s">
        <v>259</v>
      </c>
      <c r="G783">
        <v>4</v>
      </c>
      <c r="H783">
        <v>12</v>
      </c>
      <c r="I783">
        <v>2</v>
      </c>
      <c r="J783">
        <v>62</v>
      </c>
      <c r="K783">
        <v>53</v>
      </c>
      <c r="L783">
        <v>49</v>
      </c>
      <c r="M783">
        <v>2</v>
      </c>
      <c r="N783" t="s">
        <v>180</v>
      </c>
      <c r="O783" t="s">
        <v>151</v>
      </c>
      <c r="P783" t="s">
        <v>181</v>
      </c>
      <c r="Q783" t="s">
        <v>182</v>
      </c>
      <c r="R783" t="s">
        <v>154</v>
      </c>
      <c r="S783" t="s">
        <v>92</v>
      </c>
      <c r="T783" t="s">
        <v>183</v>
      </c>
      <c r="U783">
        <v>1</v>
      </c>
      <c r="V783" t="s">
        <v>187</v>
      </c>
      <c r="W783" t="s">
        <v>138</v>
      </c>
      <c r="X783" t="s">
        <v>116</v>
      </c>
      <c r="Y783">
        <v>1</v>
      </c>
      <c r="Z783">
        <v>3</v>
      </c>
      <c r="AA783">
        <v>44.1</v>
      </c>
      <c r="AB783">
        <v>-1</v>
      </c>
      <c r="AC783" t="s">
        <v>187</v>
      </c>
      <c r="AD783">
        <v>2</v>
      </c>
      <c r="AE783">
        <v>4</v>
      </c>
      <c r="AF783">
        <v>0</v>
      </c>
      <c r="AG783">
        <v>2.415</v>
      </c>
      <c r="AH783">
        <v>3.3000000000000002E-2</v>
      </c>
      <c r="AI783">
        <v>-1</v>
      </c>
    </row>
    <row r="784" spans="1:35" x14ac:dyDescent="0.25">
      <c r="A784">
        <v>259</v>
      </c>
      <c r="B784" t="s">
        <v>35</v>
      </c>
      <c r="C784">
        <v>3</v>
      </c>
      <c r="D784" t="s">
        <v>36</v>
      </c>
      <c r="E784">
        <v>4</v>
      </c>
      <c r="F784" t="s">
        <v>259</v>
      </c>
      <c r="G784">
        <v>4</v>
      </c>
      <c r="H784">
        <v>12</v>
      </c>
      <c r="I784">
        <v>2</v>
      </c>
      <c r="J784">
        <v>63</v>
      </c>
      <c r="K784">
        <v>72</v>
      </c>
      <c r="L784">
        <v>22</v>
      </c>
      <c r="M784">
        <v>1</v>
      </c>
      <c r="N784" t="s">
        <v>241</v>
      </c>
      <c r="O784" t="s">
        <v>151</v>
      </c>
      <c r="P784" t="s">
        <v>242</v>
      </c>
      <c r="Q784" t="s">
        <v>243</v>
      </c>
      <c r="R784" t="s">
        <v>174</v>
      </c>
      <c r="S784" t="s">
        <v>52</v>
      </c>
      <c r="T784" t="s">
        <v>132</v>
      </c>
      <c r="U784">
        <v>4</v>
      </c>
      <c r="V784" t="s">
        <v>166</v>
      </c>
      <c r="W784" t="s">
        <v>111</v>
      </c>
      <c r="X784" t="s">
        <v>66</v>
      </c>
      <c r="Y784">
        <v>2</v>
      </c>
      <c r="Z784">
        <v>3</v>
      </c>
      <c r="AA784">
        <v>44.1</v>
      </c>
      <c r="AB784">
        <v>-1</v>
      </c>
      <c r="AC784" t="s">
        <v>166</v>
      </c>
      <c r="AD784">
        <v>3</v>
      </c>
      <c r="AE784">
        <v>2</v>
      </c>
      <c r="AF784">
        <v>0</v>
      </c>
      <c r="AG784">
        <v>2.5209999999999999</v>
      </c>
      <c r="AH784">
        <v>1.2290000000000001</v>
      </c>
      <c r="AI784">
        <v>-1</v>
      </c>
    </row>
    <row r="785" spans="1:35" x14ac:dyDescent="0.25">
      <c r="A785">
        <v>259</v>
      </c>
      <c r="B785" t="s">
        <v>35</v>
      </c>
      <c r="C785">
        <v>3</v>
      </c>
      <c r="D785" t="s">
        <v>36</v>
      </c>
      <c r="E785">
        <v>4</v>
      </c>
      <c r="F785" t="s">
        <v>259</v>
      </c>
      <c r="G785">
        <v>4</v>
      </c>
      <c r="H785">
        <v>12</v>
      </c>
      <c r="I785">
        <v>2</v>
      </c>
      <c r="J785">
        <v>64</v>
      </c>
      <c r="K785">
        <v>60</v>
      </c>
      <c r="L785">
        <v>56</v>
      </c>
      <c r="M785">
        <v>2</v>
      </c>
      <c r="N785" t="s">
        <v>175</v>
      </c>
      <c r="O785" t="s">
        <v>151</v>
      </c>
      <c r="P785" t="s">
        <v>164</v>
      </c>
      <c r="Q785" t="s">
        <v>165</v>
      </c>
      <c r="R785" t="s">
        <v>174</v>
      </c>
      <c r="S785" t="s">
        <v>52</v>
      </c>
      <c r="T785" t="s">
        <v>166</v>
      </c>
      <c r="U785">
        <v>5</v>
      </c>
      <c r="V785" t="s">
        <v>86</v>
      </c>
      <c r="W785" t="s">
        <v>67</v>
      </c>
      <c r="X785" t="s">
        <v>107</v>
      </c>
      <c r="Y785">
        <v>1</v>
      </c>
      <c r="Z785">
        <v>3</v>
      </c>
      <c r="AA785">
        <v>44.1</v>
      </c>
      <c r="AB785">
        <v>-1</v>
      </c>
      <c r="AC785" t="s">
        <v>86</v>
      </c>
      <c r="AD785">
        <v>2</v>
      </c>
      <c r="AE785">
        <v>4</v>
      </c>
      <c r="AF785">
        <v>0</v>
      </c>
      <c r="AG785">
        <v>1.264</v>
      </c>
      <c r="AH785">
        <v>3.0339999999999998</v>
      </c>
      <c r="AI785">
        <v>-1</v>
      </c>
    </row>
    <row r="786" spans="1:35" x14ac:dyDescent="0.25">
      <c r="A786">
        <v>259</v>
      </c>
      <c r="B786" t="s">
        <v>35</v>
      </c>
      <c r="C786">
        <v>3</v>
      </c>
      <c r="D786" t="s">
        <v>36</v>
      </c>
      <c r="E786">
        <v>4</v>
      </c>
      <c r="F786" t="s">
        <v>259</v>
      </c>
      <c r="G786">
        <v>4</v>
      </c>
      <c r="H786">
        <v>12</v>
      </c>
      <c r="I786">
        <v>2</v>
      </c>
      <c r="J786">
        <v>65</v>
      </c>
      <c r="K786">
        <v>63</v>
      </c>
      <c r="L786">
        <v>19</v>
      </c>
      <c r="M786">
        <v>1</v>
      </c>
      <c r="N786" t="s">
        <v>253</v>
      </c>
      <c r="O786" t="s">
        <v>151</v>
      </c>
      <c r="P786" t="s">
        <v>239</v>
      </c>
      <c r="Q786" t="s">
        <v>240</v>
      </c>
      <c r="R786" t="s">
        <v>170</v>
      </c>
      <c r="S786" t="s">
        <v>59</v>
      </c>
      <c r="T786" t="s">
        <v>211</v>
      </c>
      <c r="U786">
        <v>1</v>
      </c>
      <c r="V786" t="s">
        <v>96</v>
      </c>
      <c r="W786" t="s">
        <v>137</v>
      </c>
      <c r="X786" t="s">
        <v>53</v>
      </c>
      <c r="Y786">
        <v>2</v>
      </c>
      <c r="Z786">
        <v>3</v>
      </c>
      <c r="AA786">
        <v>44.1</v>
      </c>
      <c r="AB786">
        <v>-1</v>
      </c>
      <c r="AC786" t="s">
        <v>211</v>
      </c>
      <c r="AD786">
        <v>1</v>
      </c>
      <c r="AE786">
        <v>1</v>
      </c>
      <c r="AF786">
        <v>1</v>
      </c>
      <c r="AG786">
        <v>2.641</v>
      </c>
      <c r="AH786">
        <v>3.0339999999999998</v>
      </c>
      <c r="AI786">
        <v>-1</v>
      </c>
    </row>
    <row r="787" spans="1:35" x14ac:dyDescent="0.25">
      <c r="A787">
        <v>259</v>
      </c>
      <c r="B787" t="s">
        <v>35</v>
      </c>
      <c r="C787">
        <v>3</v>
      </c>
      <c r="D787" t="s">
        <v>36</v>
      </c>
      <c r="E787">
        <v>4</v>
      </c>
      <c r="F787" t="s">
        <v>259</v>
      </c>
      <c r="G787">
        <v>4</v>
      </c>
      <c r="H787">
        <v>12</v>
      </c>
      <c r="I787">
        <v>2</v>
      </c>
      <c r="J787">
        <v>66</v>
      </c>
      <c r="K787">
        <v>49</v>
      </c>
      <c r="L787">
        <v>59</v>
      </c>
      <c r="M787">
        <v>2</v>
      </c>
      <c r="N787" t="s">
        <v>171</v>
      </c>
      <c r="O787" t="s">
        <v>151</v>
      </c>
      <c r="P787" t="s">
        <v>158</v>
      </c>
      <c r="Q787" t="s">
        <v>159</v>
      </c>
      <c r="R787" t="s">
        <v>170</v>
      </c>
      <c r="S787" t="s">
        <v>59</v>
      </c>
      <c r="T787" t="s">
        <v>103</v>
      </c>
      <c r="U787">
        <v>2</v>
      </c>
      <c r="V787" t="s">
        <v>146</v>
      </c>
      <c r="W787" t="s">
        <v>179</v>
      </c>
      <c r="X787" t="s">
        <v>185</v>
      </c>
      <c r="Y787">
        <v>2</v>
      </c>
      <c r="Z787">
        <v>3</v>
      </c>
      <c r="AA787">
        <v>44.1</v>
      </c>
      <c r="AB787">
        <v>-1</v>
      </c>
      <c r="AC787" t="s">
        <v>103</v>
      </c>
      <c r="AD787">
        <v>1</v>
      </c>
      <c r="AE787">
        <v>2</v>
      </c>
      <c r="AF787">
        <v>1</v>
      </c>
      <c r="AG787">
        <v>1.4019999999999999</v>
      </c>
      <c r="AH787">
        <v>3.0339999999999998</v>
      </c>
      <c r="AI787">
        <v>-1</v>
      </c>
    </row>
    <row r="788" spans="1:35" x14ac:dyDescent="0.25">
      <c r="A788">
        <v>259</v>
      </c>
      <c r="B788" t="s">
        <v>35</v>
      </c>
      <c r="C788">
        <v>3</v>
      </c>
      <c r="D788" t="s">
        <v>36</v>
      </c>
      <c r="E788">
        <v>4</v>
      </c>
      <c r="F788" t="s">
        <v>259</v>
      </c>
      <c r="G788">
        <v>4</v>
      </c>
      <c r="H788">
        <v>12</v>
      </c>
      <c r="I788">
        <v>2</v>
      </c>
      <c r="J788">
        <v>67</v>
      </c>
      <c r="K788">
        <v>56</v>
      </c>
      <c r="L788">
        <v>52</v>
      </c>
      <c r="M788">
        <v>2</v>
      </c>
      <c r="N788" t="s">
        <v>188</v>
      </c>
      <c r="O788" t="s">
        <v>151</v>
      </c>
      <c r="P788" t="s">
        <v>177</v>
      </c>
      <c r="Q788" t="s">
        <v>178</v>
      </c>
      <c r="R788" t="s">
        <v>160</v>
      </c>
      <c r="S788" t="s">
        <v>43</v>
      </c>
      <c r="T788" t="s">
        <v>108</v>
      </c>
      <c r="U788">
        <v>4</v>
      </c>
      <c r="V788" t="s">
        <v>139</v>
      </c>
      <c r="W788" t="s">
        <v>128</v>
      </c>
      <c r="X788" t="s">
        <v>79</v>
      </c>
      <c r="Y788">
        <v>1</v>
      </c>
      <c r="Z788">
        <v>3</v>
      </c>
      <c r="AA788">
        <v>44.1</v>
      </c>
      <c r="AB788">
        <v>-1</v>
      </c>
      <c r="AC788" t="s">
        <v>108</v>
      </c>
      <c r="AD788">
        <v>1</v>
      </c>
      <c r="AE788">
        <v>4</v>
      </c>
      <c r="AF788">
        <v>1</v>
      </c>
      <c r="AG788">
        <v>1.093</v>
      </c>
      <c r="AH788">
        <v>3.0310000000000001</v>
      </c>
      <c r="AI788">
        <v>-1</v>
      </c>
    </row>
    <row r="789" spans="1:35" x14ac:dyDescent="0.25">
      <c r="A789">
        <v>259</v>
      </c>
      <c r="B789" t="s">
        <v>35</v>
      </c>
      <c r="C789">
        <v>3</v>
      </c>
      <c r="D789" t="s">
        <v>36</v>
      </c>
      <c r="E789">
        <v>4</v>
      </c>
      <c r="F789" t="s">
        <v>259</v>
      </c>
      <c r="G789">
        <v>4</v>
      </c>
      <c r="H789">
        <v>12</v>
      </c>
      <c r="I789">
        <v>2</v>
      </c>
      <c r="J789">
        <v>68</v>
      </c>
      <c r="K789">
        <v>70</v>
      </c>
      <c r="L789">
        <v>58</v>
      </c>
      <c r="M789">
        <v>2</v>
      </c>
      <c r="N789" t="s">
        <v>235</v>
      </c>
      <c r="O789" t="s">
        <v>151</v>
      </c>
      <c r="P789" t="s">
        <v>236</v>
      </c>
      <c r="Q789" t="s">
        <v>237</v>
      </c>
      <c r="R789" t="s">
        <v>160</v>
      </c>
      <c r="S789" t="s">
        <v>43</v>
      </c>
      <c r="T789" t="s">
        <v>55</v>
      </c>
      <c r="U789">
        <v>1</v>
      </c>
      <c r="V789" t="s">
        <v>108</v>
      </c>
      <c r="W789" t="s">
        <v>54</v>
      </c>
      <c r="X789" t="s">
        <v>130</v>
      </c>
      <c r="Y789">
        <v>2</v>
      </c>
      <c r="Z789">
        <v>3</v>
      </c>
      <c r="AA789">
        <v>44.1</v>
      </c>
      <c r="AB789">
        <v>-1</v>
      </c>
      <c r="AC789" t="s">
        <v>54</v>
      </c>
      <c r="AD789">
        <v>4</v>
      </c>
      <c r="AE789">
        <v>2</v>
      </c>
      <c r="AF789">
        <v>0</v>
      </c>
      <c r="AG789">
        <v>1.9339999999999999</v>
      </c>
      <c r="AH789">
        <v>0.15</v>
      </c>
      <c r="AI789">
        <v>-1</v>
      </c>
    </row>
    <row r="790" spans="1:35" x14ac:dyDescent="0.25">
      <c r="A790">
        <v>259</v>
      </c>
      <c r="B790" t="s">
        <v>35</v>
      </c>
      <c r="C790">
        <v>3</v>
      </c>
      <c r="D790" t="s">
        <v>36</v>
      </c>
      <c r="E790">
        <v>4</v>
      </c>
      <c r="F790" t="s">
        <v>259</v>
      </c>
      <c r="G790">
        <v>4</v>
      </c>
      <c r="H790">
        <v>12</v>
      </c>
      <c r="I790">
        <v>2</v>
      </c>
      <c r="J790">
        <v>69</v>
      </c>
      <c r="K790">
        <v>58</v>
      </c>
      <c r="L790">
        <v>16</v>
      </c>
      <c r="M790">
        <v>1</v>
      </c>
      <c r="N790" t="s">
        <v>173</v>
      </c>
      <c r="O790" t="s">
        <v>151</v>
      </c>
      <c r="P790" t="s">
        <v>152</v>
      </c>
      <c r="Q790" t="s">
        <v>153</v>
      </c>
      <c r="R790" t="s">
        <v>174</v>
      </c>
      <c r="S790" t="s">
        <v>52</v>
      </c>
      <c r="T790" t="s">
        <v>99</v>
      </c>
      <c r="U790">
        <v>5</v>
      </c>
      <c r="V790" t="s">
        <v>75</v>
      </c>
      <c r="W790" t="s">
        <v>124</v>
      </c>
      <c r="X790" t="s">
        <v>106</v>
      </c>
      <c r="Y790">
        <v>2</v>
      </c>
      <c r="Z790">
        <v>3</v>
      </c>
      <c r="AA790">
        <v>44.1</v>
      </c>
      <c r="AB790">
        <v>-1</v>
      </c>
      <c r="AC790" t="s">
        <v>99</v>
      </c>
      <c r="AD790">
        <v>1</v>
      </c>
      <c r="AE790">
        <v>5</v>
      </c>
      <c r="AF790">
        <v>1</v>
      </c>
      <c r="AG790">
        <v>1.591</v>
      </c>
      <c r="AH790">
        <v>0.2</v>
      </c>
      <c r="AI790">
        <v>-1</v>
      </c>
    </row>
    <row r="791" spans="1:35" x14ac:dyDescent="0.25">
      <c r="A791">
        <v>259</v>
      </c>
      <c r="B791" t="s">
        <v>35</v>
      </c>
      <c r="C791">
        <v>3</v>
      </c>
      <c r="D791" t="s">
        <v>36</v>
      </c>
      <c r="E791">
        <v>4</v>
      </c>
      <c r="F791" t="s">
        <v>259</v>
      </c>
      <c r="G791">
        <v>4</v>
      </c>
      <c r="H791">
        <v>12</v>
      </c>
      <c r="I791">
        <v>2</v>
      </c>
      <c r="J791">
        <v>70</v>
      </c>
      <c r="K791">
        <v>51</v>
      </c>
      <c r="L791">
        <v>13</v>
      </c>
      <c r="M791">
        <v>1</v>
      </c>
      <c r="N791" t="s">
        <v>167</v>
      </c>
      <c r="O791" t="s">
        <v>151</v>
      </c>
      <c r="P791" t="s">
        <v>168</v>
      </c>
      <c r="Q791" t="s">
        <v>169</v>
      </c>
      <c r="R791" t="s">
        <v>170</v>
      </c>
      <c r="S791" t="s">
        <v>59</v>
      </c>
      <c r="T791" t="s">
        <v>96</v>
      </c>
      <c r="U791">
        <v>2</v>
      </c>
      <c r="V791" t="s">
        <v>141</v>
      </c>
      <c r="W791" t="s">
        <v>44</v>
      </c>
      <c r="X791" t="s">
        <v>81</v>
      </c>
      <c r="Y791">
        <v>1</v>
      </c>
      <c r="Z791">
        <v>3</v>
      </c>
      <c r="AA791">
        <v>44.1</v>
      </c>
      <c r="AB791">
        <v>-1</v>
      </c>
      <c r="AC791" t="s">
        <v>96</v>
      </c>
      <c r="AD791">
        <v>1</v>
      </c>
      <c r="AE791">
        <v>2</v>
      </c>
      <c r="AF791">
        <v>1</v>
      </c>
      <c r="AG791">
        <v>2.5459999999999998</v>
      </c>
      <c r="AH791">
        <v>0.26600000000000001</v>
      </c>
      <c r="AI791">
        <v>-1</v>
      </c>
    </row>
    <row r="792" spans="1:35" x14ac:dyDescent="0.25">
      <c r="A792">
        <v>259</v>
      </c>
      <c r="B792" t="s">
        <v>35</v>
      </c>
      <c r="C792">
        <v>3</v>
      </c>
      <c r="D792" t="s">
        <v>36</v>
      </c>
      <c r="E792">
        <v>4</v>
      </c>
      <c r="F792" t="s">
        <v>259</v>
      </c>
      <c r="G792">
        <v>4</v>
      </c>
      <c r="H792">
        <v>12</v>
      </c>
      <c r="I792">
        <v>2</v>
      </c>
      <c r="J792">
        <v>71</v>
      </c>
      <c r="K792">
        <v>64</v>
      </c>
      <c r="L792">
        <v>20</v>
      </c>
      <c r="M792">
        <v>1</v>
      </c>
      <c r="N792" t="s">
        <v>238</v>
      </c>
      <c r="O792" t="s">
        <v>151</v>
      </c>
      <c r="P792" t="s">
        <v>239</v>
      </c>
      <c r="Q792" t="s">
        <v>240</v>
      </c>
      <c r="R792" t="s">
        <v>160</v>
      </c>
      <c r="S792" t="s">
        <v>43</v>
      </c>
      <c r="T792" t="s">
        <v>82</v>
      </c>
      <c r="U792">
        <v>4</v>
      </c>
      <c r="V792" t="s">
        <v>211</v>
      </c>
      <c r="W792" t="s">
        <v>120</v>
      </c>
      <c r="X792" t="s">
        <v>94</v>
      </c>
      <c r="Y792">
        <v>1</v>
      </c>
      <c r="Z792">
        <v>3</v>
      </c>
      <c r="AA792">
        <v>44.1</v>
      </c>
      <c r="AB792">
        <v>-1</v>
      </c>
      <c r="AC792" t="s">
        <v>82</v>
      </c>
      <c r="AD792">
        <v>1</v>
      </c>
      <c r="AE792">
        <v>4</v>
      </c>
      <c r="AF792">
        <v>1</v>
      </c>
      <c r="AG792">
        <v>0.436</v>
      </c>
      <c r="AH792">
        <v>0.35</v>
      </c>
      <c r="AI792">
        <v>-1</v>
      </c>
    </row>
    <row r="793" spans="1:35" x14ac:dyDescent="0.25">
      <c r="A793">
        <v>259</v>
      </c>
      <c r="B793" t="s">
        <v>35</v>
      </c>
      <c r="C793">
        <v>3</v>
      </c>
      <c r="D793" t="s">
        <v>36</v>
      </c>
      <c r="E793">
        <v>4</v>
      </c>
      <c r="F793" t="s">
        <v>259</v>
      </c>
      <c r="G793">
        <v>4</v>
      </c>
      <c r="H793">
        <v>12</v>
      </c>
      <c r="I793">
        <v>2</v>
      </c>
      <c r="J793">
        <v>72</v>
      </c>
      <c r="K793">
        <v>69</v>
      </c>
      <c r="L793">
        <v>57</v>
      </c>
      <c r="M793">
        <v>2</v>
      </c>
      <c r="N793" t="s">
        <v>247</v>
      </c>
      <c r="O793" t="s">
        <v>151</v>
      </c>
      <c r="P793" t="s">
        <v>236</v>
      </c>
      <c r="Q793" t="s">
        <v>237</v>
      </c>
      <c r="R793" t="s">
        <v>174</v>
      </c>
      <c r="S793" t="s">
        <v>52</v>
      </c>
      <c r="T793" t="s">
        <v>75</v>
      </c>
      <c r="U793">
        <v>1</v>
      </c>
      <c r="V793" t="s">
        <v>55</v>
      </c>
      <c r="W793" t="s">
        <v>93</v>
      </c>
      <c r="X793" t="s">
        <v>95</v>
      </c>
      <c r="Y793">
        <v>1</v>
      </c>
      <c r="Z793">
        <v>3</v>
      </c>
      <c r="AA793">
        <v>44.1</v>
      </c>
      <c r="AB793">
        <v>-1</v>
      </c>
      <c r="AC793" t="s">
        <v>75</v>
      </c>
      <c r="AD793">
        <v>1</v>
      </c>
      <c r="AE793">
        <v>1</v>
      </c>
      <c r="AF793">
        <v>1</v>
      </c>
      <c r="AG793">
        <v>1.391</v>
      </c>
      <c r="AH793">
        <v>0.45</v>
      </c>
      <c r="AI793">
        <v>-1</v>
      </c>
    </row>
    <row r="794" spans="1:35" x14ac:dyDescent="0.25">
      <c r="A794">
        <v>259</v>
      </c>
      <c r="B794" t="s">
        <v>35</v>
      </c>
      <c r="C794">
        <v>3</v>
      </c>
      <c r="D794" t="s">
        <v>36</v>
      </c>
      <c r="E794">
        <v>4</v>
      </c>
      <c r="F794" t="s">
        <v>259</v>
      </c>
      <c r="G794">
        <v>4</v>
      </c>
      <c r="H794">
        <v>12</v>
      </c>
      <c r="I794">
        <v>3</v>
      </c>
      <c r="J794">
        <v>1</v>
      </c>
      <c r="K794">
        <v>8</v>
      </c>
      <c r="L794">
        <v>40</v>
      </c>
      <c r="M794">
        <v>2</v>
      </c>
      <c r="N794" t="s">
        <v>84</v>
      </c>
      <c r="O794" t="s">
        <v>39</v>
      </c>
      <c r="P794" t="s">
        <v>64</v>
      </c>
      <c r="Q794" t="s">
        <v>65</v>
      </c>
      <c r="R794" t="s">
        <v>42</v>
      </c>
      <c r="S794" t="s">
        <v>43</v>
      </c>
      <c r="T794" t="s">
        <v>67</v>
      </c>
      <c r="U794">
        <v>5</v>
      </c>
      <c r="V794" t="s">
        <v>85</v>
      </c>
      <c r="W794" t="s">
        <v>162</v>
      </c>
      <c r="X794" t="s">
        <v>139</v>
      </c>
      <c r="Y794">
        <v>2</v>
      </c>
      <c r="Z794">
        <v>2</v>
      </c>
      <c r="AA794">
        <v>44.1</v>
      </c>
      <c r="AB794">
        <v>-1</v>
      </c>
      <c r="AC794" t="s">
        <v>67</v>
      </c>
      <c r="AD794">
        <v>1</v>
      </c>
      <c r="AE794">
        <v>5</v>
      </c>
      <c r="AF794">
        <v>1</v>
      </c>
      <c r="AG794">
        <v>2.504</v>
      </c>
      <c r="AH794">
        <v>3.0289999999999999</v>
      </c>
      <c r="AI794">
        <v>-1</v>
      </c>
    </row>
    <row r="795" spans="1:35" x14ac:dyDescent="0.25">
      <c r="A795">
        <v>259</v>
      </c>
      <c r="B795" t="s">
        <v>35</v>
      </c>
      <c r="C795">
        <v>3</v>
      </c>
      <c r="D795" t="s">
        <v>36</v>
      </c>
      <c r="E795">
        <v>4</v>
      </c>
      <c r="F795" t="s">
        <v>259</v>
      </c>
      <c r="G795">
        <v>4</v>
      </c>
      <c r="H795">
        <v>12</v>
      </c>
      <c r="I795">
        <v>3</v>
      </c>
      <c r="J795">
        <v>2</v>
      </c>
      <c r="K795">
        <v>9</v>
      </c>
      <c r="L795">
        <v>3</v>
      </c>
      <c r="M795">
        <v>1</v>
      </c>
      <c r="N795" t="s">
        <v>88</v>
      </c>
      <c r="O795" t="s">
        <v>39</v>
      </c>
      <c r="P795" t="s">
        <v>89</v>
      </c>
      <c r="Q795" t="s">
        <v>90</v>
      </c>
      <c r="R795" t="s">
        <v>91</v>
      </c>
      <c r="S795" t="s">
        <v>92</v>
      </c>
      <c r="T795" t="s">
        <v>93</v>
      </c>
      <c r="U795">
        <v>5</v>
      </c>
      <c r="V795" t="s">
        <v>94</v>
      </c>
      <c r="W795" t="s">
        <v>47</v>
      </c>
      <c r="X795" t="s">
        <v>100</v>
      </c>
      <c r="Y795">
        <v>2</v>
      </c>
      <c r="Z795">
        <v>2</v>
      </c>
      <c r="AA795">
        <v>44.1</v>
      </c>
      <c r="AB795">
        <v>-1</v>
      </c>
      <c r="AC795" t="s">
        <v>93</v>
      </c>
      <c r="AD795">
        <v>1</v>
      </c>
      <c r="AE795">
        <v>5</v>
      </c>
      <c r="AF795">
        <v>1</v>
      </c>
      <c r="AG795">
        <v>1.0640000000000001</v>
      </c>
      <c r="AH795">
        <v>0.45</v>
      </c>
      <c r="AI795">
        <v>-1</v>
      </c>
    </row>
    <row r="796" spans="1:35" x14ac:dyDescent="0.25">
      <c r="A796">
        <v>259</v>
      </c>
      <c r="B796" t="s">
        <v>35</v>
      </c>
      <c r="C796">
        <v>3</v>
      </c>
      <c r="D796" t="s">
        <v>36</v>
      </c>
      <c r="E796">
        <v>4</v>
      </c>
      <c r="F796" t="s">
        <v>259</v>
      </c>
      <c r="G796">
        <v>4</v>
      </c>
      <c r="H796">
        <v>12</v>
      </c>
      <c r="I796">
        <v>3</v>
      </c>
      <c r="J796">
        <v>3</v>
      </c>
      <c r="K796">
        <v>16</v>
      </c>
      <c r="L796">
        <v>8</v>
      </c>
      <c r="M796">
        <v>1</v>
      </c>
      <c r="N796" t="s">
        <v>195</v>
      </c>
      <c r="O796" t="s">
        <v>39</v>
      </c>
      <c r="P796" t="s">
        <v>196</v>
      </c>
      <c r="Q796" t="s">
        <v>197</v>
      </c>
      <c r="R796" t="s">
        <v>42</v>
      </c>
      <c r="S796" t="s">
        <v>43</v>
      </c>
      <c r="T796" t="s">
        <v>85</v>
      </c>
      <c r="U796">
        <v>4</v>
      </c>
      <c r="V796" t="s">
        <v>156</v>
      </c>
      <c r="W796" t="s">
        <v>61</v>
      </c>
      <c r="X796" t="s">
        <v>68</v>
      </c>
      <c r="Y796">
        <v>1</v>
      </c>
      <c r="Z796">
        <v>2</v>
      </c>
      <c r="AA796">
        <v>44.1</v>
      </c>
      <c r="AB796">
        <v>-1</v>
      </c>
      <c r="AC796" t="s">
        <v>85</v>
      </c>
      <c r="AD796">
        <v>1</v>
      </c>
      <c r="AE796">
        <v>4</v>
      </c>
      <c r="AF796">
        <v>1</v>
      </c>
      <c r="AG796">
        <v>0.68799999999999994</v>
      </c>
      <c r="AH796">
        <v>3.3000000000000002E-2</v>
      </c>
      <c r="AI796">
        <v>-1</v>
      </c>
    </row>
    <row r="797" spans="1:35" x14ac:dyDescent="0.25">
      <c r="A797">
        <v>259</v>
      </c>
      <c r="B797" t="s">
        <v>35</v>
      </c>
      <c r="C797">
        <v>3</v>
      </c>
      <c r="D797" t="s">
        <v>36</v>
      </c>
      <c r="E797">
        <v>4</v>
      </c>
      <c r="F797" t="s">
        <v>259</v>
      </c>
      <c r="G797">
        <v>4</v>
      </c>
      <c r="H797">
        <v>12</v>
      </c>
      <c r="I797">
        <v>3</v>
      </c>
      <c r="J797">
        <v>4</v>
      </c>
      <c r="K797">
        <v>11</v>
      </c>
      <c r="L797">
        <v>43</v>
      </c>
      <c r="M797">
        <v>2</v>
      </c>
      <c r="N797" t="s">
        <v>105</v>
      </c>
      <c r="O797" t="s">
        <v>39</v>
      </c>
      <c r="P797" t="s">
        <v>77</v>
      </c>
      <c r="Q797" t="s">
        <v>78</v>
      </c>
      <c r="R797" t="s">
        <v>91</v>
      </c>
      <c r="S797" t="s">
        <v>92</v>
      </c>
      <c r="T797" t="s">
        <v>80</v>
      </c>
      <c r="U797">
        <v>5</v>
      </c>
      <c r="V797" t="s">
        <v>106</v>
      </c>
      <c r="W797" t="s">
        <v>75</v>
      </c>
      <c r="X797" t="s">
        <v>104</v>
      </c>
      <c r="Y797">
        <v>2</v>
      </c>
      <c r="Z797">
        <v>2</v>
      </c>
      <c r="AA797">
        <v>44.1</v>
      </c>
      <c r="AB797">
        <v>-1</v>
      </c>
      <c r="AC797" t="s">
        <v>80</v>
      </c>
      <c r="AD797">
        <v>1</v>
      </c>
      <c r="AE797">
        <v>5</v>
      </c>
      <c r="AF797">
        <v>1</v>
      </c>
      <c r="AG797">
        <v>1.4570000000000001</v>
      </c>
      <c r="AH797">
        <v>0.33200000000000002</v>
      </c>
      <c r="AI797">
        <v>-1</v>
      </c>
    </row>
    <row r="798" spans="1:35" x14ac:dyDescent="0.25">
      <c r="A798">
        <v>259</v>
      </c>
      <c r="B798" t="s">
        <v>35</v>
      </c>
      <c r="C798">
        <v>3</v>
      </c>
      <c r="D798" t="s">
        <v>36</v>
      </c>
      <c r="E798">
        <v>4</v>
      </c>
      <c r="F798" t="s">
        <v>259</v>
      </c>
      <c r="G798">
        <v>4</v>
      </c>
      <c r="H798">
        <v>12</v>
      </c>
      <c r="I798">
        <v>3</v>
      </c>
      <c r="J798">
        <v>5</v>
      </c>
      <c r="K798">
        <v>22</v>
      </c>
      <c r="L798">
        <v>46</v>
      </c>
      <c r="M798">
        <v>2</v>
      </c>
      <c r="N798" t="s">
        <v>189</v>
      </c>
      <c r="O798" t="s">
        <v>39</v>
      </c>
      <c r="P798" t="s">
        <v>190</v>
      </c>
      <c r="Q798" t="s">
        <v>191</v>
      </c>
      <c r="R798" t="s">
        <v>42</v>
      </c>
      <c r="S798" t="s">
        <v>43</v>
      </c>
      <c r="T798" t="s">
        <v>45</v>
      </c>
      <c r="U798">
        <v>1</v>
      </c>
      <c r="V798" t="s">
        <v>149</v>
      </c>
      <c r="W798" t="s">
        <v>96</v>
      </c>
      <c r="X798" t="s">
        <v>56</v>
      </c>
      <c r="Y798">
        <v>1</v>
      </c>
      <c r="Z798">
        <v>2</v>
      </c>
      <c r="AA798">
        <v>44.1</v>
      </c>
      <c r="AB798">
        <v>-1</v>
      </c>
      <c r="AC798" t="s">
        <v>149</v>
      </c>
      <c r="AD798">
        <v>2</v>
      </c>
      <c r="AE798">
        <v>2</v>
      </c>
      <c r="AF798">
        <v>0</v>
      </c>
      <c r="AG798">
        <v>1.8340000000000001</v>
      </c>
      <c r="AH798">
        <v>0.28299999999999997</v>
      </c>
      <c r="AI798">
        <v>-1</v>
      </c>
    </row>
    <row r="799" spans="1:35" x14ac:dyDescent="0.25">
      <c r="A799">
        <v>259</v>
      </c>
      <c r="B799" t="s">
        <v>35</v>
      </c>
      <c r="C799">
        <v>3</v>
      </c>
      <c r="D799" t="s">
        <v>36</v>
      </c>
      <c r="E799">
        <v>4</v>
      </c>
      <c r="F799" t="s">
        <v>259</v>
      </c>
      <c r="G799">
        <v>4</v>
      </c>
      <c r="H799">
        <v>12</v>
      </c>
      <c r="I799">
        <v>3</v>
      </c>
      <c r="J799">
        <v>6</v>
      </c>
      <c r="K799">
        <v>23</v>
      </c>
      <c r="L799">
        <v>9</v>
      </c>
      <c r="M799">
        <v>1</v>
      </c>
      <c r="N799" t="s">
        <v>212</v>
      </c>
      <c r="O799" t="s">
        <v>39</v>
      </c>
      <c r="P799" t="s">
        <v>202</v>
      </c>
      <c r="Q799" t="s">
        <v>203</v>
      </c>
      <c r="R799" t="s">
        <v>58</v>
      </c>
      <c r="S799" t="s">
        <v>59</v>
      </c>
      <c r="T799" t="s">
        <v>147</v>
      </c>
      <c r="U799">
        <v>4</v>
      </c>
      <c r="V799" t="s">
        <v>172</v>
      </c>
      <c r="W799" t="s">
        <v>127</v>
      </c>
      <c r="X799" t="s">
        <v>121</v>
      </c>
      <c r="Y799">
        <v>1</v>
      </c>
      <c r="Z799">
        <v>2</v>
      </c>
      <c r="AA799">
        <v>44.1</v>
      </c>
      <c r="AB799">
        <v>-1</v>
      </c>
      <c r="AC799" t="s">
        <v>147</v>
      </c>
      <c r="AD799">
        <v>1</v>
      </c>
      <c r="AE799">
        <v>4</v>
      </c>
      <c r="AF799">
        <v>1</v>
      </c>
      <c r="AG799">
        <v>1.02</v>
      </c>
      <c r="AH799">
        <v>0.16700000000000001</v>
      </c>
      <c r="AI799">
        <v>-1</v>
      </c>
    </row>
    <row r="800" spans="1:35" x14ac:dyDescent="0.25">
      <c r="A800">
        <v>259</v>
      </c>
      <c r="B800" t="s">
        <v>35</v>
      </c>
      <c r="C800">
        <v>3</v>
      </c>
      <c r="D800" t="s">
        <v>36</v>
      </c>
      <c r="E800">
        <v>4</v>
      </c>
      <c r="F800" t="s">
        <v>259</v>
      </c>
      <c r="G800">
        <v>4</v>
      </c>
      <c r="H800">
        <v>12</v>
      </c>
      <c r="I800">
        <v>3</v>
      </c>
      <c r="J800">
        <v>7</v>
      </c>
      <c r="K800">
        <v>13</v>
      </c>
      <c r="L800">
        <v>11</v>
      </c>
      <c r="M800">
        <v>1</v>
      </c>
      <c r="N800" t="s">
        <v>213</v>
      </c>
      <c r="O800" t="s">
        <v>39</v>
      </c>
      <c r="P800" t="s">
        <v>207</v>
      </c>
      <c r="Q800" t="s">
        <v>208</v>
      </c>
      <c r="R800" t="s">
        <v>91</v>
      </c>
      <c r="S800" t="s">
        <v>92</v>
      </c>
      <c r="T800" t="s">
        <v>106</v>
      </c>
      <c r="U800">
        <v>1</v>
      </c>
      <c r="V800" t="s">
        <v>131</v>
      </c>
      <c r="W800" t="s">
        <v>119</v>
      </c>
      <c r="X800" t="s">
        <v>132</v>
      </c>
      <c r="Y800">
        <v>1</v>
      </c>
      <c r="Z800">
        <v>2</v>
      </c>
      <c r="AA800">
        <v>44.1</v>
      </c>
      <c r="AB800">
        <v>-1</v>
      </c>
      <c r="AC800" t="s">
        <v>131</v>
      </c>
      <c r="AD800">
        <v>2</v>
      </c>
      <c r="AE800">
        <v>4</v>
      </c>
      <c r="AF800">
        <v>0</v>
      </c>
      <c r="AG800">
        <v>0.73199999999999998</v>
      </c>
      <c r="AH800">
        <v>0.183</v>
      </c>
      <c r="AI800">
        <v>-1</v>
      </c>
    </row>
    <row r="801" spans="1:35" x14ac:dyDescent="0.25">
      <c r="A801">
        <v>259</v>
      </c>
      <c r="B801" t="s">
        <v>35</v>
      </c>
      <c r="C801">
        <v>3</v>
      </c>
      <c r="D801" t="s">
        <v>36</v>
      </c>
      <c r="E801">
        <v>4</v>
      </c>
      <c r="F801" t="s">
        <v>259</v>
      </c>
      <c r="G801">
        <v>4</v>
      </c>
      <c r="H801">
        <v>12</v>
      </c>
      <c r="I801">
        <v>3</v>
      </c>
      <c r="J801">
        <v>8</v>
      </c>
      <c r="K801">
        <v>21</v>
      </c>
      <c r="L801">
        <v>45</v>
      </c>
      <c r="M801">
        <v>2</v>
      </c>
      <c r="N801" t="s">
        <v>210</v>
      </c>
      <c r="O801" t="s">
        <v>39</v>
      </c>
      <c r="P801" t="s">
        <v>190</v>
      </c>
      <c r="Q801" t="s">
        <v>191</v>
      </c>
      <c r="R801" t="s">
        <v>51</v>
      </c>
      <c r="S801" t="s">
        <v>52</v>
      </c>
      <c r="T801" t="s">
        <v>149</v>
      </c>
      <c r="U801">
        <v>4</v>
      </c>
      <c r="V801" t="s">
        <v>79</v>
      </c>
      <c r="W801" t="s">
        <v>62</v>
      </c>
      <c r="X801" t="s">
        <v>120</v>
      </c>
      <c r="Y801">
        <v>2</v>
      </c>
      <c r="Z801">
        <v>2</v>
      </c>
      <c r="AA801">
        <v>44.1</v>
      </c>
      <c r="AB801">
        <v>-1</v>
      </c>
      <c r="AC801" t="s">
        <v>62</v>
      </c>
      <c r="AD801">
        <v>4</v>
      </c>
      <c r="AE801">
        <v>2</v>
      </c>
      <c r="AF801">
        <v>0</v>
      </c>
      <c r="AG801">
        <v>2.798</v>
      </c>
      <c r="AH801">
        <v>0.16700000000000001</v>
      </c>
      <c r="AI801">
        <v>-1</v>
      </c>
    </row>
    <row r="802" spans="1:35" x14ac:dyDescent="0.25">
      <c r="A802">
        <v>259</v>
      </c>
      <c r="B802" t="s">
        <v>35</v>
      </c>
      <c r="C802">
        <v>3</v>
      </c>
      <c r="D802" t="s">
        <v>36</v>
      </c>
      <c r="E802">
        <v>4</v>
      </c>
      <c r="F802" t="s">
        <v>259</v>
      </c>
      <c r="G802">
        <v>4</v>
      </c>
      <c r="H802">
        <v>12</v>
      </c>
      <c r="I802">
        <v>3</v>
      </c>
      <c r="J802">
        <v>9</v>
      </c>
      <c r="K802">
        <v>7</v>
      </c>
      <c r="L802">
        <v>39</v>
      </c>
      <c r="M802">
        <v>2</v>
      </c>
      <c r="N802" t="s">
        <v>63</v>
      </c>
      <c r="O802" t="s">
        <v>39</v>
      </c>
      <c r="P802" t="s">
        <v>64</v>
      </c>
      <c r="Q802" t="s">
        <v>65</v>
      </c>
      <c r="R802" t="s">
        <v>58</v>
      </c>
      <c r="S802" t="s">
        <v>59</v>
      </c>
      <c r="T802" t="s">
        <v>66</v>
      </c>
      <c r="U802">
        <v>5</v>
      </c>
      <c r="V802" t="s">
        <v>67</v>
      </c>
      <c r="W802" t="s">
        <v>155</v>
      </c>
      <c r="X802" t="s">
        <v>128</v>
      </c>
      <c r="Y802">
        <v>1</v>
      </c>
      <c r="Z802">
        <v>2</v>
      </c>
      <c r="AA802">
        <v>44.1</v>
      </c>
      <c r="AB802">
        <v>-1</v>
      </c>
      <c r="AC802" t="s">
        <v>66</v>
      </c>
      <c r="AD802">
        <v>1</v>
      </c>
      <c r="AE802">
        <v>5</v>
      </c>
      <c r="AF802">
        <v>1</v>
      </c>
      <c r="AG802">
        <v>1.7410000000000001</v>
      </c>
      <c r="AH802">
        <v>0.15</v>
      </c>
      <c r="AI802">
        <v>-1</v>
      </c>
    </row>
    <row r="803" spans="1:35" x14ac:dyDescent="0.25">
      <c r="A803">
        <v>259</v>
      </c>
      <c r="B803" t="s">
        <v>35</v>
      </c>
      <c r="C803">
        <v>3</v>
      </c>
      <c r="D803" t="s">
        <v>36</v>
      </c>
      <c r="E803">
        <v>4</v>
      </c>
      <c r="F803" t="s">
        <v>259</v>
      </c>
      <c r="G803">
        <v>4</v>
      </c>
      <c r="H803">
        <v>12</v>
      </c>
      <c r="I803">
        <v>3</v>
      </c>
      <c r="J803">
        <v>10</v>
      </c>
      <c r="K803">
        <v>17</v>
      </c>
      <c r="L803">
        <v>41</v>
      </c>
      <c r="M803">
        <v>2</v>
      </c>
      <c r="N803" t="s">
        <v>198</v>
      </c>
      <c r="O803" t="s">
        <v>39</v>
      </c>
      <c r="P803" t="s">
        <v>199</v>
      </c>
      <c r="Q803" t="s">
        <v>200</v>
      </c>
      <c r="R803" t="s">
        <v>58</v>
      </c>
      <c r="S803" t="s">
        <v>59</v>
      </c>
      <c r="T803" t="s">
        <v>138</v>
      </c>
      <c r="U803">
        <v>5</v>
      </c>
      <c r="V803" t="s">
        <v>66</v>
      </c>
      <c r="W803" t="s">
        <v>108</v>
      </c>
      <c r="X803" t="s">
        <v>179</v>
      </c>
      <c r="Y803">
        <v>2</v>
      </c>
      <c r="Z803">
        <v>2</v>
      </c>
      <c r="AA803">
        <v>44.1</v>
      </c>
      <c r="AB803">
        <v>-1</v>
      </c>
      <c r="AC803" t="s">
        <v>138</v>
      </c>
      <c r="AD803">
        <v>1</v>
      </c>
      <c r="AE803">
        <v>5</v>
      </c>
      <c r="AF803">
        <v>1</v>
      </c>
      <c r="AG803">
        <v>2.6349999999999998</v>
      </c>
      <c r="AH803">
        <v>0.05</v>
      </c>
      <c r="AI803">
        <v>-1</v>
      </c>
    </row>
    <row r="804" spans="1:35" x14ac:dyDescent="0.25">
      <c r="A804">
        <v>259</v>
      </c>
      <c r="B804" t="s">
        <v>35</v>
      </c>
      <c r="C804">
        <v>3</v>
      </c>
      <c r="D804" t="s">
        <v>36</v>
      </c>
      <c r="E804">
        <v>4</v>
      </c>
      <c r="F804" t="s">
        <v>259</v>
      </c>
      <c r="G804">
        <v>4</v>
      </c>
      <c r="H804">
        <v>12</v>
      </c>
      <c r="I804">
        <v>3</v>
      </c>
      <c r="J804">
        <v>11</v>
      </c>
      <c r="K804">
        <v>6</v>
      </c>
      <c r="L804">
        <v>38</v>
      </c>
      <c r="M804">
        <v>2</v>
      </c>
      <c r="N804" t="s">
        <v>48</v>
      </c>
      <c r="O804" t="s">
        <v>39</v>
      </c>
      <c r="P804" t="s">
        <v>49</v>
      </c>
      <c r="Q804" t="s">
        <v>50</v>
      </c>
      <c r="R804" t="s">
        <v>51</v>
      </c>
      <c r="S804" t="s">
        <v>52</v>
      </c>
      <c r="T804" t="s">
        <v>53</v>
      </c>
      <c r="U804">
        <v>2</v>
      </c>
      <c r="V804" t="s">
        <v>54</v>
      </c>
      <c r="W804" t="s">
        <v>46</v>
      </c>
      <c r="X804" t="s">
        <v>55</v>
      </c>
      <c r="Y804">
        <v>1</v>
      </c>
      <c r="Z804">
        <v>2</v>
      </c>
      <c r="AA804">
        <v>44.1</v>
      </c>
      <c r="AB804">
        <v>-1</v>
      </c>
      <c r="AC804" t="s">
        <v>54</v>
      </c>
      <c r="AD804">
        <v>2</v>
      </c>
      <c r="AE804">
        <v>4</v>
      </c>
      <c r="AF804">
        <v>0</v>
      </c>
      <c r="AG804">
        <v>2.6850000000000001</v>
      </c>
      <c r="AH804">
        <v>0.13</v>
      </c>
      <c r="AI804">
        <v>-1</v>
      </c>
    </row>
    <row r="805" spans="1:35" x14ac:dyDescent="0.25">
      <c r="A805">
        <v>259</v>
      </c>
      <c r="B805" t="s">
        <v>35</v>
      </c>
      <c r="C805">
        <v>3</v>
      </c>
      <c r="D805" t="s">
        <v>36</v>
      </c>
      <c r="E805">
        <v>4</v>
      </c>
      <c r="F805" t="s">
        <v>259</v>
      </c>
      <c r="G805">
        <v>4</v>
      </c>
      <c r="H805">
        <v>12</v>
      </c>
      <c r="I805">
        <v>3</v>
      </c>
      <c r="J805">
        <v>12</v>
      </c>
      <c r="K805">
        <v>4</v>
      </c>
      <c r="L805">
        <v>2</v>
      </c>
      <c r="M805">
        <v>1</v>
      </c>
      <c r="N805" t="s">
        <v>109</v>
      </c>
      <c r="O805" t="s">
        <v>39</v>
      </c>
      <c r="P805" t="s">
        <v>71</v>
      </c>
      <c r="Q805" t="s">
        <v>72</v>
      </c>
      <c r="R805" t="s">
        <v>91</v>
      </c>
      <c r="S805" t="s">
        <v>92</v>
      </c>
      <c r="T805" t="s">
        <v>94</v>
      </c>
      <c r="U805">
        <v>1</v>
      </c>
      <c r="V805" t="s">
        <v>73</v>
      </c>
      <c r="W805" t="s">
        <v>81</v>
      </c>
      <c r="X805" t="s">
        <v>110</v>
      </c>
      <c r="Y805">
        <v>1</v>
      </c>
      <c r="Z805">
        <v>2</v>
      </c>
      <c r="AA805">
        <v>44.1</v>
      </c>
      <c r="AB805">
        <v>-1</v>
      </c>
      <c r="AC805" t="s">
        <v>94</v>
      </c>
      <c r="AD805">
        <v>1</v>
      </c>
      <c r="AE805">
        <v>1</v>
      </c>
      <c r="AF805">
        <v>1</v>
      </c>
      <c r="AG805">
        <v>0.88300000000000001</v>
      </c>
      <c r="AH805">
        <v>8.3000000000000004E-2</v>
      </c>
      <c r="AI805">
        <v>-1</v>
      </c>
    </row>
    <row r="806" spans="1:35" x14ac:dyDescent="0.25">
      <c r="A806">
        <v>259</v>
      </c>
      <c r="B806" t="s">
        <v>35</v>
      </c>
      <c r="C806">
        <v>3</v>
      </c>
      <c r="D806" t="s">
        <v>36</v>
      </c>
      <c r="E806">
        <v>4</v>
      </c>
      <c r="F806" t="s">
        <v>259</v>
      </c>
      <c r="G806">
        <v>4</v>
      </c>
      <c r="H806">
        <v>12</v>
      </c>
      <c r="I806">
        <v>3</v>
      </c>
      <c r="J806">
        <v>13</v>
      </c>
      <c r="K806">
        <v>5</v>
      </c>
      <c r="L806">
        <v>37</v>
      </c>
      <c r="M806">
        <v>2</v>
      </c>
      <c r="N806" t="s">
        <v>97</v>
      </c>
      <c r="O806" t="s">
        <v>39</v>
      </c>
      <c r="P806" t="s">
        <v>49</v>
      </c>
      <c r="Q806" t="s">
        <v>50</v>
      </c>
      <c r="R806" t="s">
        <v>91</v>
      </c>
      <c r="S806" t="s">
        <v>92</v>
      </c>
      <c r="T806" t="s">
        <v>54</v>
      </c>
      <c r="U806">
        <v>4</v>
      </c>
      <c r="V806" t="s">
        <v>98</v>
      </c>
      <c r="W806" t="s">
        <v>82</v>
      </c>
      <c r="X806" t="s">
        <v>111</v>
      </c>
      <c r="Y806">
        <v>2</v>
      </c>
      <c r="Z806">
        <v>2</v>
      </c>
      <c r="AA806">
        <v>44.1</v>
      </c>
      <c r="AB806">
        <v>-1</v>
      </c>
      <c r="AC806" t="s">
        <v>111</v>
      </c>
      <c r="AD806">
        <v>4</v>
      </c>
      <c r="AE806">
        <v>5</v>
      </c>
      <c r="AF806">
        <v>0</v>
      </c>
      <c r="AG806">
        <v>2.5350000000000001</v>
      </c>
      <c r="AH806">
        <v>0.15</v>
      </c>
      <c r="AI806">
        <v>-1</v>
      </c>
    </row>
    <row r="807" spans="1:35" x14ac:dyDescent="0.25">
      <c r="A807">
        <v>259</v>
      </c>
      <c r="B807" t="s">
        <v>35</v>
      </c>
      <c r="C807">
        <v>3</v>
      </c>
      <c r="D807" t="s">
        <v>36</v>
      </c>
      <c r="E807">
        <v>4</v>
      </c>
      <c r="F807" t="s">
        <v>259</v>
      </c>
      <c r="G807">
        <v>4</v>
      </c>
      <c r="H807">
        <v>12</v>
      </c>
      <c r="I807">
        <v>3</v>
      </c>
      <c r="J807">
        <v>14</v>
      </c>
      <c r="K807">
        <v>12</v>
      </c>
      <c r="L807">
        <v>44</v>
      </c>
      <c r="M807">
        <v>2</v>
      </c>
      <c r="N807" t="s">
        <v>76</v>
      </c>
      <c r="O807" t="s">
        <v>39</v>
      </c>
      <c r="P807" t="s">
        <v>77</v>
      </c>
      <c r="Q807" t="s">
        <v>78</v>
      </c>
      <c r="R807" t="s">
        <v>51</v>
      </c>
      <c r="S807" t="s">
        <v>52</v>
      </c>
      <c r="T807" t="s">
        <v>79</v>
      </c>
      <c r="U807">
        <v>2</v>
      </c>
      <c r="V807" t="s">
        <v>80</v>
      </c>
      <c r="W807" t="s">
        <v>146</v>
      </c>
      <c r="X807" t="s">
        <v>124</v>
      </c>
      <c r="Y807">
        <v>1</v>
      </c>
      <c r="Z807">
        <v>2</v>
      </c>
      <c r="AA807">
        <v>44.1</v>
      </c>
      <c r="AB807">
        <v>-1</v>
      </c>
      <c r="AC807" t="s">
        <v>124</v>
      </c>
      <c r="AD807">
        <v>4</v>
      </c>
      <c r="AE807">
        <v>5</v>
      </c>
      <c r="AF807">
        <v>0</v>
      </c>
      <c r="AG807">
        <v>3.0579999999999998</v>
      </c>
      <c r="AH807">
        <v>0.14799999999999999</v>
      </c>
      <c r="AI807">
        <v>-1</v>
      </c>
    </row>
    <row r="808" spans="1:35" x14ac:dyDescent="0.25">
      <c r="A808">
        <v>259</v>
      </c>
      <c r="B808" t="s">
        <v>35</v>
      </c>
      <c r="C808">
        <v>3</v>
      </c>
      <c r="D808" t="s">
        <v>36</v>
      </c>
      <c r="E808">
        <v>4</v>
      </c>
      <c r="F808" t="s">
        <v>259</v>
      </c>
      <c r="G808">
        <v>4</v>
      </c>
      <c r="H808">
        <v>12</v>
      </c>
      <c r="I808">
        <v>3</v>
      </c>
      <c r="J808">
        <v>15</v>
      </c>
      <c r="K808">
        <v>19</v>
      </c>
      <c r="L808">
        <v>5</v>
      </c>
      <c r="M808">
        <v>1</v>
      </c>
      <c r="N808" t="s">
        <v>192</v>
      </c>
      <c r="O808" t="s">
        <v>39</v>
      </c>
      <c r="P808" t="s">
        <v>193</v>
      </c>
      <c r="Q808" t="s">
        <v>194</v>
      </c>
      <c r="R808" t="s">
        <v>51</v>
      </c>
      <c r="S808" t="s">
        <v>52</v>
      </c>
      <c r="T808" t="s">
        <v>144</v>
      </c>
      <c r="U808">
        <v>1</v>
      </c>
      <c r="V808" t="s">
        <v>53</v>
      </c>
      <c r="W808" t="s">
        <v>107</v>
      </c>
      <c r="X808" t="s">
        <v>211</v>
      </c>
      <c r="Y808">
        <v>2</v>
      </c>
      <c r="Z808">
        <v>2</v>
      </c>
      <c r="AA808">
        <v>44.1</v>
      </c>
      <c r="AB808">
        <v>-1</v>
      </c>
      <c r="AC808" t="s">
        <v>107</v>
      </c>
      <c r="AD808">
        <v>4</v>
      </c>
      <c r="AE808">
        <v>4</v>
      </c>
      <c r="AF808">
        <v>0</v>
      </c>
      <c r="AG808">
        <v>3.202</v>
      </c>
      <c r="AH808">
        <v>9.9000000000000005E-2</v>
      </c>
      <c r="AI808">
        <v>-1</v>
      </c>
    </row>
    <row r="809" spans="1:35" x14ac:dyDescent="0.25">
      <c r="A809">
        <v>259</v>
      </c>
      <c r="B809" t="s">
        <v>35</v>
      </c>
      <c r="C809">
        <v>3</v>
      </c>
      <c r="D809" t="s">
        <v>36</v>
      </c>
      <c r="E809">
        <v>4</v>
      </c>
      <c r="F809" t="s">
        <v>259</v>
      </c>
      <c r="G809">
        <v>4</v>
      </c>
      <c r="H809">
        <v>12</v>
      </c>
      <c r="I809">
        <v>3</v>
      </c>
      <c r="J809">
        <v>16</v>
      </c>
      <c r="K809">
        <v>24</v>
      </c>
      <c r="L809">
        <v>10</v>
      </c>
      <c r="M809">
        <v>1</v>
      </c>
      <c r="N809" t="s">
        <v>201</v>
      </c>
      <c r="O809" t="s">
        <v>39</v>
      </c>
      <c r="P809" t="s">
        <v>202</v>
      </c>
      <c r="Q809" t="s">
        <v>203</v>
      </c>
      <c r="R809" t="s">
        <v>51</v>
      </c>
      <c r="S809" t="s">
        <v>52</v>
      </c>
      <c r="T809" t="s">
        <v>172</v>
      </c>
      <c r="U809">
        <v>4</v>
      </c>
      <c r="V809" t="s">
        <v>102</v>
      </c>
      <c r="W809" t="s">
        <v>95</v>
      </c>
      <c r="X809" t="s">
        <v>103</v>
      </c>
      <c r="Y809">
        <v>2</v>
      </c>
      <c r="Z809">
        <v>2</v>
      </c>
      <c r="AA809">
        <v>44.1</v>
      </c>
      <c r="AB809">
        <v>-1</v>
      </c>
      <c r="AC809" t="s">
        <v>172</v>
      </c>
      <c r="AD809">
        <v>1</v>
      </c>
      <c r="AE809">
        <v>4</v>
      </c>
      <c r="AF809">
        <v>1</v>
      </c>
      <c r="AG809">
        <v>1.056</v>
      </c>
      <c r="AH809">
        <v>0.16600000000000001</v>
      </c>
      <c r="AI809">
        <v>-1</v>
      </c>
    </row>
    <row r="810" spans="1:35" x14ac:dyDescent="0.25">
      <c r="A810">
        <v>259</v>
      </c>
      <c r="B810" t="s">
        <v>35</v>
      </c>
      <c r="C810">
        <v>3</v>
      </c>
      <c r="D810" t="s">
        <v>36</v>
      </c>
      <c r="E810">
        <v>4</v>
      </c>
      <c r="F810" t="s">
        <v>259</v>
      </c>
      <c r="G810">
        <v>4</v>
      </c>
      <c r="H810">
        <v>12</v>
      </c>
      <c r="I810">
        <v>3</v>
      </c>
      <c r="J810">
        <v>17</v>
      </c>
      <c r="K810">
        <v>3</v>
      </c>
      <c r="L810">
        <v>1</v>
      </c>
      <c r="M810">
        <v>1</v>
      </c>
      <c r="N810" t="s">
        <v>70</v>
      </c>
      <c r="O810" t="s">
        <v>39</v>
      </c>
      <c r="P810" t="s">
        <v>71</v>
      </c>
      <c r="Q810" t="s">
        <v>72</v>
      </c>
      <c r="R810" t="s">
        <v>58</v>
      </c>
      <c r="S810" t="s">
        <v>59</v>
      </c>
      <c r="T810" t="s">
        <v>73</v>
      </c>
      <c r="U810">
        <v>1</v>
      </c>
      <c r="V810" t="s">
        <v>60</v>
      </c>
      <c r="W810" t="s">
        <v>130</v>
      </c>
      <c r="X810" t="s">
        <v>99</v>
      </c>
      <c r="Y810">
        <v>2</v>
      </c>
      <c r="Z810">
        <v>2</v>
      </c>
      <c r="AA810">
        <v>44.1</v>
      </c>
      <c r="AB810">
        <v>-1</v>
      </c>
      <c r="AC810" t="s">
        <v>73</v>
      </c>
      <c r="AD810">
        <v>1</v>
      </c>
      <c r="AE810">
        <v>1</v>
      </c>
      <c r="AF810">
        <v>1</v>
      </c>
      <c r="AG810">
        <v>1.0329999999999999</v>
      </c>
      <c r="AH810">
        <v>0.26300000000000001</v>
      </c>
      <c r="AI810">
        <v>-1</v>
      </c>
    </row>
    <row r="811" spans="1:35" x14ac:dyDescent="0.25">
      <c r="A811">
        <v>259</v>
      </c>
      <c r="B811" t="s">
        <v>35</v>
      </c>
      <c r="C811">
        <v>3</v>
      </c>
      <c r="D811" t="s">
        <v>36</v>
      </c>
      <c r="E811">
        <v>4</v>
      </c>
      <c r="F811" t="s">
        <v>259</v>
      </c>
      <c r="G811">
        <v>4</v>
      </c>
      <c r="H811">
        <v>12</v>
      </c>
      <c r="I811">
        <v>3</v>
      </c>
      <c r="J811">
        <v>18</v>
      </c>
      <c r="K811">
        <v>20</v>
      </c>
      <c r="L811">
        <v>6</v>
      </c>
      <c r="M811">
        <v>1</v>
      </c>
      <c r="N811" t="s">
        <v>215</v>
      </c>
      <c r="O811" t="s">
        <v>39</v>
      </c>
      <c r="P811" t="s">
        <v>193</v>
      </c>
      <c r="Q811" t="s">
        <v>194</v>
      </c>
      <c r="R811" t="s">
        <v>42</v>
      </c>
      <c r="S811" t="s">
        <v>43</v>
      </c>
      <c r="T811" t="s">
        <v>185</v>
      </c>
      <c r="U811">
        <v>5</v>
      </c>
      <c r="V811" t="s">
        <v>144</v>
      </c>
      <c r="W811" t="s">
        <v>183</v>
      </c>
      <c r="X811" t="s">
        <v>137</v>
      </c>
      <c r="Y811">
        <v>1</v>
      </c>
      <c r="Z811">
        <v>2</v>
      </c>
      <c r="AA811">
        <v>44.1</v>
      </c>
      <c r="AB811">
        <v>-1</v>
      </c>
      <c r="AC811" t="s">
        <v>183</v>
      </c>
      <c r="AD811">
        <v>4</v>
      </c>
      <c r="AE811">
        <v>2</v>
      </c>
      <c r="AF811">
        <v>0</v>
      </c>
      <c r="AG811">
        <v>3.1379999999999999</v>
      </c>
      <c r="AH811">
        <v>6.6000000000000003E-2</v>
      </c>
      <c r="AI811">
        <v>-1</v>
      </c>
    </row>
    <row r="812" spans="1:35" x14ac:dyDescent="0.25">
      <c r="A812">
        <v>259</v>
      </c>
      <c r="B812" t="s">
        <v>35</v>
      </c>
      <c r="C812">
        <v>3</v>
      </c>
      <c r="D812" t="s">
        <v>36</v>
      </c>
      <c r="E812">
        <v>4</v>
      </c>
      <c r="F812" t="s">
        <v>259</v>
      </c>
      <c r="G812">
        <v>4</v>
      </c>
      <c r="H812">
        <v>12</v>
      </c>
      <c r="I812">
        <v>3</v>
      </c>
      <c r="J812">
        <v>19</v>
      </c>
      <c r="K812">
        <v>15</v>
      </c>
      <c r="L812">
        <v>7</v>
      </c>
      <c r="M812">
        <v>1</v>
      </c>
      <c r="N812" t="s">
        <v>205</v>
      </c>
      <c r="O812" t="s">
        <v>39</v>
      </c>
      <c r="P812" t="s">
        <v>196</v>
      </c>
      <c r="Q812" t="s">
        <v>197</v>
      </c>
      <c r="R812" t="s">
        <v>58</v>
      </c>
      <c r="S812" t="s">
        <v>59</v>
      </c>
      <c r="T812" t="s">
        <v>156</v>
      </c>
      <c r="U812">
        <v>4</v>
      </c>
      <c r="V812" t="s">
        <v>147</v>
      </c>
      <c r="W812" t="s">
        <v>161</v>
      </c>
      <c r="X812" t="s">
        <v>69</v>
      </c>
      <c r="Y812">
        <v>2</v>
      </c>
      <c r="Z812">
        <v>2</v>
      </c>
      <c r="AA812">
        <v>44.1</v>
      </c>
      <c r="AB812">
        <v>-1</v>
      </c>
      <c r="AC812" t="s">
        <v>156</v>
      </c>
      <c r="AD812">
        <v>1</v>
      </c>
      <c r="AE812">
        <v>4</v>
      </c>
      <c r="AF812">
        <v>1</v>
      </c>
      <c r="AG812">
        <v>2.4630000000000001</v>
      </c>
      <c r="AH812">
        <v>3.3000000000000002E-2</v>
      </c>
      <c r="AI812">
        <v>-1</v>
      </c>
    </row>
    <row r="813" spans="1:35" x14ac:dyDescent="0.25">
      <c r="A813">
        <v>259</v>
      </c>
      <c r="B813" t="s">
        <v>35</v>
      </c>
      <c r="C813">
        <v>3</v>
      </c>
      <c r="D813" t="s">
        <v>36</v>
      </c>
      <c r="E813">
        <v>4</v>
      </c>
      <c r="F813" t="s">
        <v>259</v>
      </c>
      <c r="G813">
        <v>4</v>
      </c>
      <c r="H813">
        <v>12</v>
      </c>
      <c r="I813">
        <v>3</v>
      </c>
      <c r="J813">
        <v>20</v>
      </c>
      <c r="K813">
        <v>1</v>
      </c>
      <c r="L813">
        <v>47</v>
      </c>
      <c r="M813">
        <v>2</v>
      </c>
      <c r="N813" t="s">
        <v>57</v>
      </c>
      <c r="O813" t="s">
        <v>39</v>
      </c>
      <c r="P813" t="s">
        <v>40</v>
      </c>
      <c r="Q813" t="s">
        <v>41</v>
      </c>
      <c r="R813" t="s">
        <v>58</v>
      </c>
      <c r="S813" t="s">
        <v>59</v>
      </c>
      <c r="T813" t="s">
        <v>60</v>
      </c>
      <c r="U813">
        <v>4</v>
      </c>
      <c r="V813" t="s">
        <v>44</v>
      </c>
      <c r="W813" t="s">
        <v>74</v>
      </c>
      <c r="X813" t="s">
        <v>86</v>
      </c>
      <c r="Y813">
        <v>1</v>
      </c>
      <c r="Z813">
        <v>2</v>
      </c>
      <c r="AA813">
        <v>44.1</v>
      </c>
      <c r="AB813">
        <v>-1</v>
      </c>
      <c r="AC813" t="s">
        <v>60</v>
      </c>
      <c r="AD813">
        <v>1</v>
      </c>
      <c r="AE813">
        <v>4</v>
      </c>
      <c r="AF813">
        <v>1</v>
      </c>
      <c r="AG813">
        <v>3.738</v>
      </c>
      <c r="AH813">
        <v>0.4</v>
      </c>
      <c r="AI813">
        <v>-1</v>
      </c>
    </row>
    <row r="814" spans="1:35" x14ac:dyDescent="0.25">
      <c r="A814">
        <v>259</v>
      </c>
      <c r="B814" t="s">
        <v>35</v>
      </c>
      <c r="C814">
        <v>3</v>
      </c>
      <c r="D814" t="s">
        <v>36</v>
      </c>
      <c r="E814">
        <v>4</v>
      </c>
      <c r="F814" t="s">
        <v>259</v>
      </c>
      <c r="G814">
        <v>4</v>
      </c>
      <c r="H814">
        <v>12</v>
      </c>
      <c r="I814">
        <v>3</v>
      </c>
      <c r="J814">
        <v>21</v>
      </c>
      <c r="K814">
        <v>10</v>
      </c>
      <c r="L814">
        <v>4</v>
      </c>
      <c r="M814">
        <v>1</v>
      </c>
      <c r="N814" t="s">
        <v>101</v>
      </c>
      <c r="O814" t="s">
        <v>39</v>
      </c>
      <c r="P814" t="s">
        <v>89</v>
      </c>
      <c r="Q814" t="s">
        <v>90</v>
      </c>
      <c r="R814" t="s">
        <v>51</v>
      </c>
      <c r="S814" t="s">
        <v>52</v>
      </c>
      <c r="T814" t="s">
        <v>102</v>
      </c>
      <c r="U814">
        <v>2</v>
      </c>
      <c r="V814" t="s">
        <v>93</v>
      </c>
      <c r="W814" t="s">
        <v>204</v>
      </c>
      <c r="X814" t="s">
        <v>87</v>
      </c>
      <c r="Y814">
        <v>1</v>
      </c>
      <c r="Z814">
        <v>2</v>
      </c>
      <c r="AA814">
        <v>44.1</v>
      </c>
      <c r="AB814">
        <v>-1</v>
      </c>
      <c r="AC814" t="s">
        <v>102</v>
      </c>
      <c r="AD814">
        <v>1</v>
      </c>
      <c r="AE814">
        <v>2</v>
      </c>
      <c r="AF814">
        <v>1</v>
      </c>
      <c r="AG814">
        <v>2.6440000000000001</v>
      </c>
      <c r="AH814">
        <v>0.41299999999999998</v>
      </c>
      <c r="AI814">
        <v>-1</v>
      </c>
    </row>
    <row r="815" spans="1:35" x14ac:dyDescent="0.25">
      <c r="A815">
        <v>259</v>
      </c>
      <c r="B815" t="s">
        <v>35</v>
      </c>
      <c r="C815">
        <v>3</v>
      </c>
      <c r="D815" t="s">
        <v>36</v>
      </c>
      <c r="E815">
        <v>4</v>
      </c>
      <c r="F815" t="s">
        <v>259</v>
      </c>
      <c r="G815">
        <v>4</v>
      </c>
      <c r="H815">
        <v>12</v>
      </c>
      <c r="I815">
        <v>3</v>
      </c>
      <c r="J815">
        <v>22</v>
      </c>
      <c r="K815">
        <v>18</v>
      </c>
      <c r="L815">
        <v>42</v>
      </c>
      <c r="M815">
        <v>2</v>
      </c>
      <c r="N815" t="s">
        <v>216</v>
      </c>
      <c r="O815" t="s">
        <v>39</v>
      </c>
      <c r="P815" t="s">
        <v>199</v>
      </c>
      <c r="Q815" t="s">
        <v>200</v>
      </c>
      <c r="R815" t="s">
        <v>91</v>
      </c>
      <c r="S815" t="s">
        <v>92</v>
      </c>
      <c r="T815" t="s">
        <v>98</v>
      </c>
      <c r="U815">
        <v>2</v>
      </c>
      <c r="V815" t="s">
        <v>138</v>
      </c>
      <c r="W815" t="s">
        <v>116</v>
      </c>
      <c r="X815" t="s">
        <v>187</v>
      </c>
      <c r="Y815">
        <v>1</v>
      </c>
      <c r="Z815">
        <v>2</v>
      </c>
      <c r="AA815">
        <v>44.1</v>
      </c>
      <c r="AB815">
        <v>-1</v>
      </c>
      <c r="AC815" t="s">
        <v>138</v>
      </c>
      <c r="AD815">
        <v>2</v>
      </c>
      <c r="AE815">
        <v>4</v>
      </c>
      <c r="AF815">
        <v>0</v>
      </c>
      <c r="AG815">
        <v>0.83599999999999997</v>
      </c>
      <c r="AH815">
        <v>8.3000000000000004E-2</v>
      </c>
      <c r="AI815">
        <v>-1</v>
      </c>
    </row>
    <row r="816" spans="1:35" x14ac:dyDescent="0.25">
      <c r="A816">
        <v>259</v>
      </c>
      <c r="B816" t="s">
        <v>35</v>
      </c>
      <c r="C816">
        <v>3</v>
      </c>
      <c r="D816" t="s">
        <v>36</v>
      </c>
      <c r="E816">
        <v>4</v>
      </c>
      <c r="F816" t="s">
        <v>259</v>
      </c>
      <c r="G816">
        <v>4</v>
      </c>
      <c r="H816">
        <v>12</v>
      </c>
      <c r="I816">
        <v>3</v>
      </c>
      <c r="J816">
        <v>23</v>
      </c>
      <c r="K816">
        <v>14</v>
      </c>
      <c r="L816">
        <v>12</v>
      </c>
      <c r="M816">
        <v>1</v>
      </c>
      <c r="N816" t="s">
        <v>206</v>
      </c>
      <c r="O816" t="s">
        <v>39</v>
      </c>
      <c r="P816" t="s">
        <v>207</v>
      </c>
      <c r="Q816" t="s">
        <v>208</v>
      </c>
      <c r="R816" t="s">
        <v>42</v>
      </c>
      <c r="S816" t="s">
        <v>43</v>
      </c>
      <c r="T816" t="s">
        <v>131</v>
      </c>
      <c r="U816">
        <v>5</v>
      </c>
      <c r="V816" t="s">
        <v>185</v>
      </c>
      <c r="W816" t="s">
        <v>209</v>
      </c>
      <c r="X816" t="s">
        <v>141</v>
      </c>
      <c r="Y816">
        <v>2</v>
      </c>
      <c r="Z816">
        <v>2</v>
      </c>
      <c r="AA816">
        <v>44.1</v>
      </c>
      <c r="AB816">
        <v>-1</v>
      </c>
      <c r="AC816" t="s">
        <v>131</v>
      </c>
      <c r="AD816">
        <v>1</v>
      </c>
      <c r="AE816">
        <v>5</v>
      </c>
      <c r="AF816">
        <v>1</v>
      </c>
      <c r="AG816">
        <v>0.93100000000000005</v>
      </c>
      <c r="AH816">
        <v>8.3000000000000004E-2</v>
      </c>
      <c r="AI816">
        <v>-1</v>
      </c>
    </row>
    <row r="817" spans="1:35" x14ac:dyDescent="0.25">
      <c r="A817">
        <v>259</v>
      </c>
      <c r="B817" t="s">
        <v>35</v>
      </c>
      <c r="C817">
        <v>3</v>
      </c>
      <c r="D817" t="s">
        <v>36</v>
      </c>
      <c r="E817">
        <v>4</v>
      </c>
      <c r="F817" t="s">
        <v>259</v>
      </c>
      <c r="G817">
        <v>4</v>
      </c>
      <c r="H817">
        <v>12</v>
      </c>
      <c r="I817">
        <v>3</v>
      </c>
      <c r="J817">
        <v>24</v>
      </c>
      <c r="K817">
        <v>2</v>
      </c>
      <c r="L817">
        <v>48</v>
      </c>
      <c r="M817">
        <v>2</v>
      </c>
      <c r="N817" t="s">
        <v>38</v>
      </c>
      <c r="O817" t="s">
        <v>39</v>
      </c>
      <c r="P817" t="s">
        <v>40</v>
      </c>
      <c r="Q817" t="s">
        <v>41</v>
      </c>
      <c r="R817" t="s">
        <v>42</v>
      </c>
      <c r="S817" t="s">
        <v>43</v>
      </c>
      <c r="T817" t="s">
        <v>44</v>
      </c>
      <c r="U817">
        <v>2</v>
      </c>
      <c r="V817" t="s">
        <v>45</v>
      </c>
      <c r="W817" t="s">
        <v>166</v>
      </c>
      <c r="X817" t="s">
        <v>214</v>
      </c>
      <c r="Y817">
        <v>2</v>
      </c>
      <c r="Z817">
        <v>2</v>
      </c>
      <c r="AA817">
        <v>44.1</v>
      </c>
      <c r="AB817">
        <v>-1</v>
      </c>
      <c r="AC817" t="s">
        <v>214</v>
      </c>
      <c r="AD817">
        <v>4</v>
      </c>
      <c r="AE817">
        <v>1</v>
      </c>
      <c r="AF817">
        <v>0</v>
      </c>
      <c r="AG817">
        <v>1.623</v>
      </c>
      <c r="AH817">
        <v>0.1</v>
      </c>
      <c r="AI817">
        <v>-1</v>
      </c>
    </row>
    <row r="818" spans="1:35" x14ac:dyDescent="0.25">
      <c r="A818">
        <v>259</v>
      </c>
      <c r="B818" t="s">
        <v>35</v>
      </c>
      <c r="C818">
        <v>3</v>
      </c>
      <c r="D818" t="s">
        <v>36</v>
      </c>
      <c r="E818">
        <v>4</v>
      </c>
      <c r="F818" t="s">
        <v>259</v>
      </c>
      <c r="G818">
        <v>4</v>
      </c>
      <c r="H818">
        <v>12</v>
      </c>
      <c r="I818">
        <v>3</v>
      </c>
      <c r="J818">
        <v>25</v>
      </c>
      <c r="K818">
        <v>45</v>
      </c>
      <c r="L818">
        <v>69</v>
      </c>
      <c r="M818">
        <v>2</v>
      </c>
      <c r="N818" t="s">
        <v>221</v>
      </c>
      <c r="O818" t="s">
        <v>113</v>
      </c>
      <c r="P818" t="s">
        <v>114</v>
      </c>
      <c r="Q818" t="s">
        <v>222</v>
      </c>
      <c r="R818" t="s">
        <v>114</v>
      </c>
      <c r="S818" t="s">
        <v>52</v>
      </c>
      <c r="T818" t="s">
        <v>69</v>
      </c>
      <c r="U818">
        <v>2</v>
      </c>
      <c r="V818" t="s">
        <v>119</v>
      </c>
      <c r="W818" t="s">
        <v>146</v>
      </c>
      <c r="X818" t="s">
        <v>80</v>
      </c>
      <c r="Y818">
        <v>2</v>
      </c>
      <c r="Z818">
        <v>2</v>
      </c>
      <c r="AA818">
        <v>44.1</v>
      </c>
      <c r="AB818">
        <v>-1</v>
      </c>
      <c r="AC818" t="s">
        <v>119</v>
      </c>
      <c r="AD818">
        <v>3</v>
      </c>
      <c r="AE818">
        <v>1</v>
      </c>
      <c r="AF818">
        <v>0</v>
      </c>
      <c r="AG818">
        <v>3.9009999999999998</v>
      </c>
      <c r="AH818">
        <v>0.16600000000000001</v>
      </c>
      <c r="AI818">
        <v>-1</v>
      </c>
    </row>
    <row r="819" spans="1:35" x14ac:dyDescent="0.25">
      <c r="A819">
        <v>259</v>
      </c>
      <c r="B819" t="s">
        <v>35</v>
      </c>
      <c r="C819">
        <v>3</v>
      </c>
      <c r="D819" t="s">
        <v>36</v>
      </c>
      <c r="E819">
        <v>4</v>
      </c>
      <c r="F819" t="s">
        <v>259</v>
      </c>
      <c r="G819">
        <v>4</v>
      </c>
      <c r="H819">
        <v>12</v>
      </c>
      <c r="I819">
        <v>3</v>
      </c>
      <c r="J819">
        <v>26</v>
      </c>
      <c r="K819">
        <v>32</v>
      </c>
      <c r="L819">
        <v>64</v>
      </c>
      <c r="M819">
        <v>2</v>
      </c>
      <c r="N819" t="s">
        <v>133</v>
      </c>
      <c r="O819" t="s">
        <v>113</v>
      </c>
      <c r="P819" t="s">
        <v>114</v>
      </c>
      <c r="Q819" t="s">
        <v>134</v>
      </c>
      <c r="R819" t="s">
        <v>114</v>
      </c>
      <c r="S819" t="s">
        <v>43</v>
      </c>
      <c r="T819" t="s">
        <v>100</v>
      </c>
      <c r="U819">
        <v>4</v>
      </c>
      <c r="V819" t="s">
        <v>107</v>
      </c>
      <c r="W819" t="s">
        <v>98</v>
      </c>
      <c r="X819" t="s">
        <v>139</v>
      </c>
      <c r="Y819">
        <v>2</v>
      </c>
      <c r="Z819">
        <v>2</v>
      </c>
      <c r="AA819">
        <v>44.1</v>
      </c>
      <c r="AB819">
        <v>-1</v>
      </c>
      <c r="AC819" t="s">
        <v>100</v>
      </c>
      <c r="AD819">
        <v>1</v>
      </c>
      <c r="AE819">
        <v>4</v>
      </c>
      <c r="AF819">
        <v>1</v>
      </c>
      <c r="AG819">
        <v>0.63</v>
      </c>
      <c r="AH819">
        <v>0.216</v>
      </c>
      <c r="AI819">
        <v>-1</v>
      </c>
    </row>
    <row r="820" spans="1:35" x14ac:dyDescent="0.25">
      <c r="A820">
        <v>259</v>
      </c>
      <c r="B820" t="s">
        <v>35</v>
      </c>
      <c r="C820">
        <v>3</v>
      </c>
      <c r="D820" t="s">
        <v>36</v>
      </c>
      <c r="E820">
        <v>4</v>
      </c>
      <c r="F820" t="s">
        <v>259</v>
      </c>
      <c r="G820">
        <v>4</v>
      </c>
      <c r="H820">
        <v>12</v>
      </c>
      <c r="I820">
        <v>3</v>
      </c>
      <c r="J820">
        <v>27</v>
      </c>
      <c r="K820">
        <v>48</v>
      </c>
      <c r="L820">
        <v>34</v>
      </c>
      <c r="M820">
        <v>1</v>
      </c>
      <c r="N820" t="s">
        <v>228</v>
      </c>
      <c r="O820" t="s">
        <v>113</v>
      </c>
      <c r="P820" t="s">
        <v>114</v>
      </c>
      <c r="Q820" t="s">
        <v>224</v>
      </c>
      <c r="R820" t="s">
        <v>114</v>
      </c>
      <c r="S820" t="s">
        <v>52</v>
      </c>
      <c r="T820" t="s">
        <v>61</v>
      </c>
      <c r="U820">
        <v>1</v>
      </c>
      <c r="V820" t="s">
        <v>56</v>
      </c>
      <c r="W820" t="s">
        <v>185</v>
      </c>
      <c r="X820" t="s">
        <v>55</v>
      </c>
      <c r="Y820">
        <v>1</v>
      </c>
      <c r="Z820">
        <v>2</v>
      </c>
      <c r="AA820">
        <v>44.1</v>
      </c>
      <c r="AB820">
        <v>-1</v>
      </c>
      <c r="AC820" t="s">
        <v>55</v>
      </c>
      <c r="AD820">
        <v>4</v>
      </c>
      <c r="AE820">
        <v>2</v>
      </c>
      <c r="AF820">
        <v>0</v>
      </c>
      <c r="AG820">
        <v>2.4060000000000001</v>
      </c>
      <c r="AH820">
        <v>0.183</v>
      </c>
      <c r="AI820">
        <v>-1</v>
      </c>
    </row>
    <row r="821" spans="1:35" x14ac:dyDescent="0.25">
      <c r="A821">
        <v>259</v>
      </c>
      <c r="B821" t="s">
        <v>35</v>
      </c>
      <c r="C821">
        <v>3</v>
      </c>
      <c r="D821" t="s">
        <v>36</v>
      </c>
      <c r="E821">
        <v>4</v>
      </c>
      <c r="F821" t="s">
        <v>259</v>
      </c>
      <c r="G821">
        <v>4</v>
      </c>
      <c r="H821">
        <v>12</v>
      </c>
      <c r="I821">
        <v>3</v>
      </c>
      <c r="J821">
        <v>28</v>
      </c>
      <c r="K821">
        <v>41</v>
      </c>
      <c r="L821">
        <v>65</v>
      </c>
      <c r="M821">
        <v>2</v>
      </c>
      <c r="N821" t="s">
        <v>225</v>
      </c>
      <c r="O821" t="s">
        <v>113</v>
      </c>
      <c r="P821" t="s">
        <v>114</v>
      </c>
      <c r="Q821" t="s">
        <v>226</v>
      </c>
      <c r="R821" t="s">
        <v>114</v>
      </c>
      <c r="S821" t="s">
        <v>59</v>
      </c>
      <c r="T821" t="s">
        <v>87</v>
      </c>
      <c r="U821">
        <v>4</v>
      </c>
      <c r="V821" t="s">
        <v>162</v>
      </c>
      <c r="W821" t="s">
        <v>85</v>
      </c>
      <c r="X821" t="s">
        <v>187</v>
      </c>
      <c r="Y821">
        <v>2</v>
      </c>
      <c r="Z821">
        <v>2</v>
      </c>
      <c r="AA821">
        <v>44.1</v>
      </c>
      <c r="AB821">
        <v>-1</v>
      </c>
      <c r="AC821" t="s">
        <v>187</v>
      </c>
      <c r="AD821">
        <v>4</v>
      </c>
      <c r="AE821">
        <v>2</v>
      </c>
      <c r="AF821">
        <v>0</v>
      </c>
      <c r="AG821">
        <v>3.8260000000000001</v>
      </c>
      <c r="AH821">
        <v>0.183</v>
      </c>
      <c r="AI821">
        <v>-1</v>
      </c>
    </row>
    <row r="822" spans="1:35" x14ac:dyDescent="0.25">
      <c r="A822">
        <v>259</v>
      </c>
      <c r="B822" t="s">
        <v>35</v>
      </c>
      <c r="C822">
        <v>3</v>
      </c>
      <c r="D822" t="s">
        <v>36</v>
      </c>
      <c r="E822">
        <v>4</v>
      </c>
      <c r="F822" t="s">
        <v>259</v>
      </c>
      <c r="G822">
        <v>4</v>
      </c>
      <c r="H822">
        <v>12</v>
      </c>
      <c r="I822">
        <v>3</v>
      </c>
      <c r="J822">
        <v>29</v>
      </c>
      <c r="K822">
        <v>47</v>
      </c>
      <c r="L822">
        <v>33</v>
      </c>
      <c r="M822">
        <v>1</v>
      </c>
      <c r="N822" t="s">
        <v>223</v>
      </c>
      <c r="O822" t="s">
        <v>113</v>
      </c>
      <c r="P822" t="s">
        <v>114</v>
      </c>
      <c r="Q822" t="s">
        <v>224</v>
      </c>
      <c r="R822" t="s">
        <v>114</v>
      </c>
      <c r="S822" t="s">
        <v>59</v>
      </c>
      <c r="T822" t="s">
        <v>56</v>
      </c>
      <c r="U822">
        <v>2</v>
      </c>
      <c r="V822" t="s">
        <v>95</v>
      </c>
      <c r="W822" t="s">
        <v>82</v>
      </c>
      <c r="X822" t="s">
        <v>67</v>
      </c>
      <c r="Y822">
        <v>2</v>
      </c>
      <c r="Z822">
        <v>2</v>
      </c>
      <c r="AA822">
        <v>44.1</v>
      </c>
      <c r="AB822">
        <v>-1</v>
      </c>
      <c r="AC822" t="s">
        <v>67</v>
      </c>
      <c r="AD822">
        <v>4</v>
      </c>
      <c r="AE822">
        <v>4</v>
      </c>
      <c r="AF822">
        <v>0</v>
      </c>
      <c r="AG822">
        <v>3.734</v>
      </c>
      <c r="AH822">
        <v>0.58299999999999996</v>
      </c>
      <c r="AI822">
        <v>-1</v>
      </c>
    </row>
    <row r="823" spans="1:35" x14ac:dyDescent="0.25">
      <c r="A823">
        <v>259</v>
      </c>
      <c r="B823" t="s">
        <v>35</v>
      </c>
      <c r="C823">
        <v>3</v>
      </c>
      <c r="D823" t="s">
        <v>36</v>
      </c>
      <c r="E823">
        <v>4</v>
      </c>
      <c r="F823" t="s">
        <v>259</v>
      </c>
      <c r="G823">
        <v>4</v>
      </c>
      <c r="H823">
        <v>12</v>
      </c>
      <c r="I823">
        <v>3</v>
      </c>
      <c r="J823">
        <v>30</v>
      </c>
      <c r="K823">
        <v>44</v>
      </c>
      <c r="L823">
        <v>30</v>
      </c>
      <c r="M823">
        <v>1</v>
      </c>
      <c r="N823" t="s">
        <v>233</v>
      </c>
      <c r="O823" t="s">
        <v>113</v>
      </c>
      <c r="P823" t="s">
        <v>114</v>
      </c>
      <c r="Q823" t="s">
        <v>218</v>
      </c>
      <c r="R823" t="s">
        <v>114</v>
      </c>
      <c r="S823" t="s">
        <v>43</v>
      </c>
      <c r="T823" t="s">
        <v>107</v>
      </c>
      <c r="U823">
        <v>5</v>
      </c>
      <c r="V823" t="s">
        <v>214</v>
      </c>
      <c r="W823" t="s">
        <v>60</v>
      </c>
      <c r="X823" t="s">
        <v>211</v>
      </c>
      <c r="Y823">
        <v>1</v>
      </c>
      <c r="Z823">
        <v>2</v>
      </c>
      <c r="AA823">
        <v>44.1</v>
      </c>
      <c r="AB823">
        <v>-1</v>
      </c>
      <c r="AC823" t="s">
        <v>107</v>
      </c>
      <c r="AD823">
        <v>1</v>
      </c>
      <c r="AE823">
        <v>5</v>
      </c>
      <c r="AF823">
        <v>1</v>
      </c>
      <c r="AG823">
        <v>3.9569999999999999</v>
      </c>
      <c r="AH823">
        <v>3.03</v>
      </c>
      <c r="AI823">
        <v>-1</v>
      </c>
    </row>
    <row r="824" spans="1:35" x14ac:dyDescent="0.25">
      <c r="A824">
        <v>259</v>
      </c>
      <c r="B824" t="s">
        <v>35</v>
      </c>
      <c r="C824">
        <v>3</v>
      </c>
      <c r="D824" t="s">
        <v>36</v>
      </c>
      <c r="E824">
        <v>4</v>
      </c>
      <c r="F824" t="s">
        <v>259</v>
      </c>
      <c r="G824">
        <v>4</v>
      </c>
      <c r="H824">
        <v>12</v>
      </c>
      <c r="I824">
        <v>3</v>
      </c>
      <c r="J824">
        <v>31</v>
      </c>
      <c r="K824">
        <v>36</v>
      </c>
      <c r="L824">
        <v>68</v>
      </c>
      <c r="M824">
        <v>2</v>
      </c>
      <c r="N824" t="s">
        <v>135</v>
      </c>
      <c r="O824" t="s">
        <v>113</v>
      </c>
      <c r="P824" t="s">
        <v>114</v>
      </c>
      <c r="Q824" t="s">
        <v>136</v>
      </c>
      <c r="R824" t="s">
        <v>114</v>
      </c>
      <c r="S824" t="s">
        <v>52</v>
      </c>
      <c r="T824" t="s">
        <v>74</v>
      </c>
      <c r="U824">
        <v>5</v>
      </c>
      <c r="V824" t="s">
        <v>137</v>
      </c>
      <c r="W824" t="s">
        <v>108</v>
      </c>
      <c r="X824" t="s">
        <v>73</v>
      </c>
      <c r="Y824">
        <v>1</v>
      </c>
      <c r="Z824">
        <v>2</v>
      </c>
      <c r="AA824">
        <v>44.1</v>
      </c>
      <c r="AB824">
        <v>-1</v>
      </c>
      <c r="AC824" t="s">
        <v>73</v>
      </c>
      <c r="AD824">
        <v>4</v>
      </c>
      <c r="AE824">
        <v>2</v>
      </c>
      <c r="AF824">
        <v>0</v>
      </c>
      <c r="AG824">
        <v>2.6429999999999998</v>
      </c>
      <c r="AH824">
        <v>0.216</v>
      </c>
      <c r="AI824">
        <v>-1</v>
      </c>
    </row>
    <row r="825" spans="1:35" x14ac:dyDescent="0.25">
      <c r="A825">
        <v>259</v>
      </c>
      <c r="B825" t="s">
        <v>35</v>
      </c>
      <c r="C825">
        <v>3</v>
      </c>
      <c r="D825" t="s">
        <v>36</v>
      </c>
      <c r="E825">
        <v>4</v>
      </c>
      <c r="F825" t="s">
        <v>259</v>
      </c>
      <c r="G825">
        <v>4</v>
      </c>
      <c r="H825">
        <v>12</v>
      </c>
      <c r="I825">
        <v>3</v>
      </c>
      <c r="J825">
        <v>32</v>
      </c>
      <c r="K825">
        <v>27</v>
      </c>
      <c r="L825">
        <v>25</v>
      </c>
      <c r="M825">
        <v>1</v>
      </c>
      <c r="N825" t="s">
        <v>122</v>
      </c>
      <c r="O825" t="s">
        <v>113</v>
      </c>
      <c r="P825" t="s">
        <v>114</v>
      </c>
      <c r="Q825" t="s">
        <v>123</v>
      </c>
      <c r="R825" t="s">
        <v>114</v>
      </c>
      <c r="S825" t="s">
        <v>59</v>
      </c>
      <c r="T825" t="s">
        <v>124</v>
      </c>
      <c r="U825">
        <v>4</v>
      </c>
      <c r="V825" t="s">
        <v>46</v>
      </c>
      <c r="W825" t="s">
        <v>94</v>
      </c>
      <c r="X825" t="s">
        <v>99</v>
      </c>
      <c r="Y825">
        <v>2</v>
      </c>
      <c r="Z825">
        <v>2</v>
      </c>
      <c r="AA825">
        <v>44.1</v>
      </c>
      <c r="AB825">
        <v>-1</v>
      </c>
      <c r="AC825" t="s">
        <v>46</v>
      </c>
      <c r="AD825">
        <v>3</v>
      </c>
      <c r="AE825">
        <v>2</v>
      </c>
      <c r="AF825">
        <v>0</v>
      </c>
      <c r="AG825">
        <v>3.8679999999999999</v>
      </c>
      <c r="AH825">
        <v>0.66600000000000004</v>
      </c>
      <c r="AI825">
        <v>-1</v>
      </c>
    </row>
    <row r="826" spans="1:35" x14ac:dyDescent="0.25">
      <c r="A826">
        <v>259</v>
      </c>
      <c r="B826" t="s">
        <v>35</v>
      </c>
      <c r="C826">
        <v>3</v>
      </c>
      <c r="D826" t="s">
        <v>36</v>
      </c>
      <c r="E826">
        <v>4</v>
      </c>
      <c r="F826" t="s">
        <v>259</v>
      </c>
      <c r="G826">
        <v>4</v>
      </c>
      <c r="H826">
        <v>12</v>
      </c>
      <c r="I826">
        <v>3</v>
      </c>
      <c r="J826">
        <v>33</v>
      </c>
      <c r="K826">
        <v>37</v>
      </c>
      <c r="L826">
        <v>35</v>
      </c>
      <c r="M826">
        <v>1</v>
      </c>
      <c r="N826" t="s">
        <v>219</v>
      </c>
      <c r="O826" t="s">
        <v>113</v>
      </c>
      <c r="P826" t="s">
        <v>114</v>
      </c>
      <c r="Q826" t="s">
        <v>220</v>
      </c>
      <c r="R826" t="s">
        <v>114</v>
      </c>
      <c r="S826" t="s">
        <v>92</v>
      </c>
      <c r="T826" t="s">
        <v>179</v>
      </c>
      <c r="U826">
        <v>5</v>
      </c>
      <c r="V826" t="s">
        <v>209</v>
      </c>
      <c r="W826" t="s">
        <v>166</v>
      </c>
      <c r="X826" t="s">
        <v>149</v>
      </c>
      <c r="Y826">
        <v>2</v>
      </c>
      <c r="Z826">
        <v>2</v>
      </c>
      <c r="AA826">
        <v>44.1</v>
      </c>
      <c r="AB826">
        <v>-1</v>
      </c>
      <c r="AC826" t="s">
        <v>179</v>
      </c>
      <c r="AD826">
        <v>1</v>
      </c>
      <c r="AE826">
        <v>5</v>
      </c>
      <c r="AF826">
        <v>1</v>
      </c>
      <c r="AG826">
        <v>2.157</v>
      </c>
      <c r="AH826">
        <v>3.0339999999999998</v>
      </c>
      <c r="AI826">
        <v>-1</v>
      </c>
    </row>
    <row r="827" spans="1:35" x14ac:dyDescent="0.25">
      <c r="A827">
        <v>259</v>
      </c>
      <c r="B827" t="s">
        <v>35</v>
      </c>
      <c r="C827">
        <v>3</v>
      </c>
      <c r="D827" t="s">
        <v>36</v>
      </c>
      <c r="E827">
        <v>4</v>
      </c>
      <c r="F827" t="s">
        <v>259</v>
      </c>
      <c r="G827">
        <v>4</v>
      </c>
      <c r="H827">
        <v>12</v>
      </c>
      <c r="I827">
        <v>3</v>
      </c>
      <c r="J827">
        <v>34</v>
      </c>
      <c r="K827">
        <v>46</v>
      </c>
      <c r="L827">
        <v>70</v>
      </c>
      <c r="M827">
        <v>2</v>
      </c>
      <c r="N827" t="s">
        <v>232</v>
      </c>
      <c r="O827" t="s">
        <v>113</v>
      </c>
      <c r="P827" t="s">
        <v>114</v>
      </c>
      <c r="Q827" t="s">
        <v>222</v>
      </c>
      <c r="R827" t="s">
        <v>114</v>
      </c>
      <c r="S827" t="s">
        <v>43</v>
      </c>
      <c r="T827" t="s">
        <v>81</v>
      </c>
      <c r="U827">
        <v>4</v>
      </c>
      <c r="V827" t="s">
        <v>69</v>
      </c>
      <c r="W827" t="s">
        <v>147</v>
      </c>
      <c r="X827" t="s">
        <v>68</v>
      </c>
      <c r="Y827">
        <v>1</v>
      </c>
      <c r="Z827">
        <v>2</v>
      </c>
      <c r="AA827">
        <v>44.1</v>
      </c>
      <c r="AB827">
        <v>-1</v>
      </c>
      <c r="AC827" t="s">
        <v>81</v>
      </c>
      <c r="AD827">
        <v>1</v>
      </c>
      <c r="AE827">
        <v>4</v>
      </c>
      <c r="AF827">
        <v>1</v>
      </c>
      <c r="AG827">
        <v>3.0129999999999999</v>
      </c>
      <c r="AH827">
        <v>3.0339999999999998</v>
      </c>
      <c r="AI827">
        <v>-1</v>
      </c>
    </row>
    <row r="828" spans="1:35" x14ac:dyDescent="0.25">
      <c r="A828">
        <v>259</v>
      </c>
      <c r="B828" t="s">
        <v>35</v>
      </c>
      <c r="C828">
        <v>3</v>
      </c>
      <c r="D828" t="s">
        <v>36</v>
      </c>
      <c r="E828">
        <v>4</v>
      </c>
      <c r="F828" t="s">
        <v>259</v>
      </c>
      <c r="G828">
        <v>4</v>
      </c>
      <c r="H828">
        <v>12</v>
      </c>
      <c r="I828">
        <v>3</v>
      </c>
      <c r="J828">
        <v>35</v>
      </c>
      <c r="K828">
        <v>39</v>
      </c>
      <c r="L828">
        <v>31</v>
      </c>
      <c r="M828">
        <v>1</v>
      </c>
      <c r="N828" t="s">
        <v>230</v>
      </c>
      <c r="O828" t="s">
        <v>113</v>
      </c>
      <c r="P828" t="s">
        <v>114</v>
      </c>
      <c r="Q828" t="s">
        <v>231</v>
      </c>
      <c r="R828" t="s">
        <v>114</v>
      </c>
      <c r="S828" t="s">
        <v>59</v>
      </c>
      <c r="T828" t="s">
        <v>162</v>
      </c>
      <c r="U828">
        <v>2</v>
      </c>
      <c r="V828" t="s">
        <v>111</v>
      </c>
      <c r="W828" t="s">
        <v>102</v>
      </c>
      <c r="X828" t="s">
        <v>86</v>
      </c>
      <c r="Y828">
        <v>1</v>
      </c>
      <c r="Z828">
        <v>2</v>
      </c>
      <c r="AA828">
        <v>44.1</v>
      </c>
      <c r="AB828">
        <v>-1</v>
      </c>
      <c r="AC828" t="s">
        <v>111</v>
      </c>
      <c r="AD828">
        <v>2</v>
      </c>
      <c r="AE828">
        <v>4</v>
      </c>
      <c r="AF828">
        <v>0</v>
      </c>
      <c r="AG828">
        <v>3.351</v>
      </c>
      <c r="AH828">
        <v>3.0339999999999998</v>
      </c>
      <c r="AI828">
        <v>-1</v>
      </c>
    </row>
    <row r="829" spans="1:35" x14ac:dyDescent="0.25">
      <c r="A829">
        <v>259</v>
      </c>
      <c r="B829" t="s">
        <v>35</v>
      </c>
      <c r="C829">
        <v>3</v>
      </c>
      <c r="D829" t="s">
        <v>36</v>
      </c>
      <c r="E829">
        <v>4</v>
      </c>
      <c r="F829" t="s">
        <v>259</v>
      </c>
      <c r="G829">
        <v>4</v>
      </c>
      <c r="H829">
        <v>12</v>
      </c>
      <c r="I829">
        <v>3</v>
      </c>
      <c r="J829">
        <v>36</v>
      </c>
      <c r="K829">
        <v>30</v>
      </c>
      <c r="L829">
        <v>62</v>
      </c>
      <c r="M829">
        <v>2</v>
      </c>
      <c r="N829" t="s">
        <v>142</v>
      </c>
      <c r="O829" t="s">
        <v>113</v>
      </c>
      <c r="P829" t="s">
        <v>114</v>
      </c>
      <c r="Q829" t="s">
        <v>126</v>
      </c>
      <c r="R829" t="s">
        <v>114</v>
      </c>
      <c r="S829" t="s">
        <v>52</v>
      </c>
      <c r="T829" t="s">
        <v>128</v>
      </c>
      <c r="U829">
        <v>4</v>
      </c>
      <c r="V829" t="s">
        <v>61</v>
      </c>
      <c r="W829" t="s">
        <v>155</v>
      </c>
      <c r="X829" t="s">
        <v>44</v>
      </c>
      <c r="Y829">
        <v>2</v>
      </c>
      <c r="Z829">
        <v>2</v>
      </c>
      <c r="AA829">
        <v>44.1</v>
      </c>
      <c r="AB829">
        <v>-1</v>
      </c>
      <c r="AC829" t="s">
        <v>155</v>
      </c>
      <c r="AD829">
        <v>4</v>
      </c>
      <c r="AE829">
        <v>2</v>
      </c>
      <c r="AF829">
        <v>0</v>
      </c>
      <c r="AG829">
        <v>2.02</v>
      </c>
      <c r="AH829">
        <v>3.0339999999999998</v>
      </c>
      <c r="AI829">
        <v>-1</v>
      </c>
    </row>
    <row r="830" spans="1:35" x14ac:dyDescent="0.25">
      <c r="A830">
        <v>259</v>
      </c>
      <c r="B830" t="s">
        <v>35</v>
      </c>
      <c r="C830">
        <v>3</v>
      </c>
      <c r="D830" t="s">
        <v>36</v>
      </c>
      <c r="E830">
        <v>4</v>
      </c>
      <c r="F830" t="s">
        <v>259</v>
      </c>
      <c r="G830">
        <v>4</v>
      </c>
      <c r="H830">
        <v>12</v>
      </c>
      <c r="I830">
        <v>3</v>
      </c>
      <c r="J830">
        <v>37</v>
      </c>
      <c r="K830">
        <v>28</v>
      </c>
      <c r="L830">
        <v>26</v>
      </c>
      <c r="M830">
        <v>1</v>
      </c>
      <c r="N830" t="s">
        <v>148</v>
      </c>
      <c r="O830" t="s">
        <v>113</v>
      </c>
      <c r="P830" t="s">
        <v>114</v>
      </c>
      <c r="Q830" t="s">
        <v>123</v>
      </c>
      <c r="R830" t="s">
        <v>114</v>
      </c>
      <c r="S830" t="s">
        <v>92</v>
      </c>
      <c r="T830" t="s">
        <v>130</v>
      </c>
      <c r="U830">
        <v>1</v>
      </c>
      <c r="V830" t="s">
        <v>124</v>
      </c>
      <c r="W830" t="s">
        <v>75</v>
      </c>
      <c r="X830" t="s">
        <v>172</v>
      </c>
      <c r="Y830">
        <v>1</v>
      </c>
      <c r="Z830">
        <v>2</v>
      </c>
      <c r="AA830">
        <v>44.1</v>
      </c>
      <c r="AB830">
        <v>-1</v>
      </c>
      <c r="AC830" t="s">
        <v>124</v>
      </c>
      <c r="AD830">
        <v>2</v>
      </c>
      <c r="AE830">
        <v>2</v>
      </c>
      <c r="AF830">
        <v>0</v>
      </c>
      <c r="AG830">
        <v>2.431</v>
      </c>
      <c r="AH830">
        <v>3.0339999999999998</v>
      </c>
      <c r="AI830">
        <v>-1</v>
      </c>
    </row>
    <row r="831" spans="1:35" x14ac:dyDescent="0.25">
      <c r="A831">
        <v>259</v>
      </c>
      <c r="B831" t="s">
        <v>35</v>
      </c>
      <c r="C831">
        <v>3</v>
      </c>
      <c r="D831" t="s">
        <v>36</v>
      </c>
      <c r="E831">
        <v>4</v>
      </c>
      <c r="F831" t="s">
        <v>259</v>
      </c>
      <c r="G831">
        <v>4</v>
      </c>
      <c r="H831">
        <v>12</v>
      </c>
      <c r="I831">
        <v>3</v>
      </c>
      <c r="J831">
        <v>38</v>
      </c>
      <c r="K831">
        <v>42</v>
      </c>
      <c r="L831">
        <v>66</v>
      </c>
      <c r="M831">
        <v>2</v>
      </c>
      <c r="N831" t="s">
        <v>229</v>
      </c>
      <c r="O831" t="s">
        <v>113</v>
      </c>
      <c r="P831" t="s">
        <v>114</v>
      </c>
      <c r="Q831" t="s">
        <v>226</v>
      </c>
      <c r="R831" t="s">
        <v>114</v>
      </c>
      <c r="S831" t="s">
        <v>92</v>
      </c>
      <c r="T831" t="s">
        <v>209</v>
      </c>
      <c r="U831">
        <v>4</v>
      </c>
      <c r="V831" t="s">
        <v>87</v>
      </c>
      <c r="W831" t="s">
        <v>53</v>
      </c>
      <c r="X831" t="s">
        <v>121</v>
      </c>
      <c r="Y831">
        <v>1</v>
      </c>
      <c r="Z831">
        <v>2</v>
      </c>
      <c r="AA831">
        <v>44.1</v>
      </c>
      <c r="AB831">
        <v>-1</v>
      </c>
      <c r="AC831" t="s">
        <v>209</v>
      </c>
      <c r="AD831">
        <v>1</v>
      </c>
      <c r="AE831">
        <v>4</v>
      </c>
      <c r="AF831">
        <v>1</v>
      </c>
      <c r="AG831">
        <v>1.399</v>
      </c>
      <c r="AH831">
        <v>0.1</v>
      </c>
      <c r="AI831">
        <v>-1</v>
      </c>
    </row>
    <row r="832" spans="1:35" x14ac:dyDescent="0.25">
      <c r="A832">
        <v>259</v>
      </c>
      <c r="B832" t="s">
        <v>35</v>
      </c>
      <c r="C832">
        <v>3</v>
      </c>
      <c r="D832" t="s">
        <v>36</v>
      </c>
      <c r="E832">
        <v>4</v>
      </c>
      <c r="F832" t="s">
        <v>259</v>
      </c>
      <c r="G832">
        <v>4</v>
      </c>
      <c r="H832">
        <v>12</v>
      </c>
      <c r="I832">
        <v>3</v>
      </c>
      <c r="J832">
        <v>39</v>
      </c>
      <c r="K832">
        <v>38</v>
      </c>
      <c r="L832">
        <v>36</v>
      </c>
      <c r="M832">
        <v>1</v>
      </c>
      <c r="N832" t="s">
        <v>227</v>
      </c>
      <c r="O832" t="s">
        <v>113</v>
      </c>
      <c r="P832" t="s">
        <v>114</v>
      </c>
      <c r="Q832" t="s">
        <v>220</v>
      </c>
      <c r="R832" t="s">
        <v>114</v>
      </c>
      <c r="S832" t="s">
        <v>43</v>
      </c>
      <c r="T832" t="s">
        <v>116</v>
      </c>
      <c r="U832">
        <v>4</v>
      </c>
      <c r="V832" t="s">
        <v>179</v>
      </c>
      <c r="W832" t="s">
        <v>66</v>
      </c>
      <c r="X832" t="s">
        <v>132</v>
      </c>
      <c r="Y832">
        <v>1</v>
      </c>
      <c r="Z832">
        <v>2</v>
      </c>
      <c r="AA832">
        <v>44.1</v>
      </c>
      <c r="AB832">
        <v>-1</v>
      </c>
      <c r="AC832" t="s">
        <v>132</v>
      </c>
      <c r="AD832">
        <v>4</v>
      </c>
      <c r="AE832">
        <v>5</v>
      </c>
      <c r="AF832">
        <v>0</v>
      </c>
      <c r="AG832">
        <v>3.3420000000000001</v>
      </c>
      <c r="AH832">
        <v>0.38300000000000001</v>
      </c>
      <c r="AI832">
        <v>-1</v>
      </c>
    </row>
    <row r="833" spans="1:35" x14ac:dyDescent="0.25">
      <c r="A833">
        <v>259</v>
      </c>
      <c r="B833" t="s">
        <v>35</v>
      </c>
      <c r="C833">
        <v>3</v>
      </c>
      <c r="D833" t="s">
        <v>36</v>
      </c>
      <c r="E833">
        <v>4</v>
      </c>
      <c r="F833" t="s">
        <v>259</v>
      </c>
      <c r="G833">
        <v>4</v>
      </c>
      <c r="H833">
        <v>12</v>
      </c>
      <c r="I833">
        <v>3</v>
      </c>
      <c r="J833">
        <v>40</v>
      </c>
      <c r="K833">
        <v>43</v>
      </c>
      <c r="L833">
        <v>29</v>
      </c>
      <c r="M833">
        <v>1</v>
      </c>
      <c r="N833" t="s">
        <v>217</v>
      </c>
      <c r="O833" t="s">
        <v>113</v>
      </c>
      <c r="P833" t="s">
        <v>114</v>
      </c>
      <c r="Q833" t="s">
        <v>218</v>
      </c>
      <c r="R833" t="s">
        <v>114</v>
      </c>
      <c r="S833" t="s">
        <v>52</v>
      </c>
      <c r="T833" t="s">
        <v>214</v>
      </c>
      <c r="U833">
        <v>2</v>
      </c>
      <c r="V833" t="s">
        <v>74</v>
      </c>
      <c r="W833" t="s">
        <v>204</v>
      </c>
      <c r="X833" t="s">
        <v>156</v>
      </c>
      <c r="Y833">
        <v>2</v>
      </c>
      <c r="Z833">
        <v>2</v>
      </c>
      <c r="AA833">
        <v>44.1</v>
      </c>
      <c r="AB833">
        <v>-1</v>
      </c>
      <c r="AC833" t="s">
        <v>214</v>
      </c>
      <c r="AD833">
        <v>1</v>
      </c>
      <c r="AE833">
        <v>2</v>
      </c>
      <c r="AF833">
        <v>1</v>
      </c>
      <c r="AG833">
        <v>2.6150000000000002</v>
      </c>
      <c r="AH833">
        <v>0.183</v>
      </c>
      <c r="AI833">
        <v>-1</v>
      </c>
    </row>
    <row r="834" spans="1:35" x14ac:dyDescent="0.25">
      <c r="A834">
        <v>259</v>
      </c>
      <c r="B834" t="s">
        <v>35</v>
      </c>
      <c r="C834">
        <v>3</v>
      </c>
      <c r="D834" t="s">
        <v>36</v>
      </c>
      <c r="E834">
        <v>4</v>
      </c>
      <c r="F834" t="s">
        <v>259</v>
      </c>
      <c r="G834">
        <v>4</v>
      </c>
      <c r="H834">
        <v>12</v>
      </c>
      <c r="I834">
        <v>3</v>
      </c>
      <c r="J834">
        <v>41</v>
      </c>
      <c r="K834">
        <v>34</v>
      </c>
      <c r="L834">
        <v>28</v>
      </c>
      <c r="M834">
        <v>1</v>
      </c>
      <c r="N834" t="s">
        <v>117</v>
      </c>
      <c r="O834" t="s">
        <v>113</v>
      </c>
      <c r="P834" t="s">
        <v>114</v>
      </c>
      <c r="Q834" t="s">
        <v>118</v>
      </c>
      <c r="R834" t="s">
        <v>114</v>
      </c>
      <c r="S834" t="s">
        <v>52</v>
      </c>
      <c r="T834" t="s">
        <v>119</v>
      </c>
      <c r="U834">
        <v>1</v>
      </c>
      <c r="V834" t="s">
        <v>120</v>
      </c>
      <c r="W834" t="s">
        <v>45</v>
      </c>
      <c r="X834" t="s">
        <v>110</v>
      </c>
      <c r="Y834">
        <v>1</v>
      </c>
      <c r="Z834">
        <v>2</v>
      </c>
      <c r="AA834">
        <v>44.1</v>
      </c>
      <c r="AB834">
        <v>-1</v>
      </c>
      <c r="AC834" t="s">
        <v>120</v>
      </c>
      <c r="AD834">
        <v>2</v>
      </c>
      <c r="AE834">
        <v>4</v>
      </c>
      <c r="AF834">
        <v>0</v>
      </c>
      <c r="AG834">
        <v>0.98499999999999999</v>
      </c>
      <c r="AH834">
        <v>9.9000000000000005E-2</v>
      </c>
      <c r="AI834">
        <v>-1</v>
      </c>
    </row>
    <row r="835" spans="1:35" x14ac:dyDescent="0.25">
      <c r="A835">
        <v>259</v>
      </c>
      <c r="B835" t="s">
        <v>35</v>
      </c>
      <c r="C835">
        <v>3</v>
      </c>
      <c r="D835" t="s">
        <v>36</v>
      </c>
      <c r="E835">
        <v>4</v>
      </c>
      <c r="F835" t="s">
        <v>259</v>
      </c>
      <c r="G835">
        <v>4</v>
      </c>
      <c r="H835">
        <v>12</v>
      </c>
      <c r="I835">
        <v>3</v>
      </c>
      <c r="J835">
        <v>42</v>
      </c>
      <c r="K835">
        <v>31</v>
      </c>
      <c r="L835">
        <v>63</v>
      </c>
      <c r="M835">
        <v>2</v>
      </c>
      <c r="N835" t="s">
        <v>140</v>
      </c>
      <c r="O835" t="s">
        <v>113</v>
      </c>
      <c r="P835" t="s">
        <v>114</v>
      </c>
      <c r="Q835" t="s">
        <v>134</v>
      </c>
      <c r="R835" t="s">
        <v>114</v>
      </c>
      <c r="S835" t="s">
        <v>59</v>
      </c>
      <c r="T835" t="s">
        <v>95</v>
      </c>
      <c r="U835">
        <v>5</v>
      </c>
      <c r="V835" t="s">
        <v>100</v>
      </c>
      <c r="W835" t="s">
        <v>79</v>
      </c>
      <c r="X835" t="s">
        <v>141</v>
      </c>
      <c r="Y835">
        <v>1</v>
      </c>
      <c r="Z835">
        <v>2</v>
      </c>
      <c r="AA835">
        <v>44.1</v>
      </c>
      <c r="AB835">
        <v>-1</v>
      </c>
      <c r="AC835" t="s">
        <v>79</v>
      </c>
      <c r="AD835">
        <v>4</v>
      </c>
      <c r="AE835">
        <v>4</v>
      </c>
      <c r="AF835">
        <v>0</v>
      </c>
      <c r="AG835">
        <v>3.7010000000000001</v>
      </c>
      <c r="AH835">
        <v>0.05</v>
      </c>
      <c r="AI835">
        <v>-1</v>
      </c>
    </row>
    <row r="836" spans="1:35" x14ac:dyDescent="0.25">
      <c r="A836">
        <v>259</v>
      </c>
      <c r="B836" t="s">
        <v>35</v>
      </c>
      <c r="C836">
        <v>3</v>
      </c>
      <c r="D836" t="s">
        <v>36</v>
      </c>
      <c r="E836">
        <v>4</v>
      </c>
      <c r="F836" t="s">
        <v>259</v>
      </c>
      <c r="G836">
        <v>4</v>
      </c>
      <c r="H836">
        <v>12</v>
      </c>
      <c r="I836">
        <v>3</v>
      </c>
      <c r="J836">
        <v>43</v>
      </c>
      <c r="K836">
        <v>25</v>
      </c>
      <c r="L836">
        <v>71</v>
      </c>
      <c r="M836">
        <v>2</v>
      </c>
      <c r="N836" t="s">
        <v>143</v>
      </c>
      <c r="O836" t="s">
        <v>113</v>
      </c>
      <c r="P836" t="s">
        <v>114</v>
      </c>
      <c r="Q836" t="s">
        <v>115</v>
      </c>
      <c r="R836" t="s">
        <v>114</v>
      </c>
      <c r="S836" t="s">
        <v>59</v>
      </c>
      <c r="T836" t="s">
        <v>46</v>
      </c>
      <c r="U836">
        <v>4</v>
      </c>
      <c r="V836" t="s">
        <v>104</v>
      </c>
      <c r="W836" t="s">
        <v>62</v>
      </c>
      <c r="X836" t="s">
        <v>54</v>
      </c>
      <c r="Y836">
        <v>1</v>
      </c>
      <c r="Z836">
        <v>2</v>
      </c>
      <c r="AA836">
        <v>44.1</v>
      </c>
      <c r="AB836">
        <v>-1</v>
      </c>
      <c r="AC836" t="s">
        <v>46</v>
      </c>
      <c r="AD836">
        <v>1</v>
      </c>
      <c r="AE836">
        <v>4</v>
      </c>
      <c r="AF836">
        <v>1</v>
      </c>
      <c r="AG836">
        <v>3.1720000000000002</v>
      </c>
      <c r="AH836">
        <v>0.05</v>
      </c>
      <c r="AI836">
        <v>-1</v>
      </c>
    </row>
    <row r="837" spans="1:35" x14ac:dyDescent="0.25">
      <c r="A837">
        <v>259</v>
      </c>
      <c r="B837" t="s">
        <v>35</v>
      </c>
      <c r="C837">
        <v>3</v>
      </c>
      <c r="D837" t="s">
        <v>36</v>
      </c>
      <c r="E837">
        <v>4</v>
      </c>
      <c r="F837" t="s">
        <v>259</v>
      </c>
      <c r="G837">
        <v>4</v>
      </c>
      <c r="H837">
        <v>12</v>
      </c>
      <c r="I837">
        <v>3</v>
      </c>
      <c r="J837">
        <v>44</v>
      </c>
      <c r="K837">
        <v>35</v>
      </c>
      <c r="L837">
        <v>67</v>
      </c>
      <c r="M837">
        <v>2</v>
      </c>
      <c r="N837" t="s">
        <v>145</v>
      </c>
      <c r="O837" t="s">
        <v>113</v>
      </c>
      <c r="P837" t="s">
        <v>114</v>
      </c>
      <c r="Q837" t="s">
        <v>136</v>
      </c>
      <c r="R837" t="s">
        <v>114</v>
      </c>
      <c r="S837" t="s">
        <v>92</v>
      </c>
      <c r="T837" t="s">
        <v>137</v>
      </c>
      <c r="U837">
        <v>1</v>
      </c>
      <c r="V837" t="s">
        <v>127</v>
      </c>
      <c r="W837" t="s">
        <v>47</v>
      </c>
      <c r="X837" t="s">
        <v>144</v>
      </c>
      <c r="Y837">
        <v>2</v>
      </c>
      <c r="Z837">
        <v>2</v>
      </c>
      <c r="AA837">
        <v>44.1</v>
      </c>
      <c r="AB837">
        <v>-1</v>
      </c>
      <c r="AC837" t="s">
        <v>137</v>
      </c>
      <c r="AD837">
        <v>1</v>
      </c>
      <c r="AE837">
        <v>1</v>
      </c>
      <c r="AF837">
        <v>1</v>
      </c>
      <c r="AG837">
        <v>0.93300000000000005</v>
      </c>
      <c r="AH837">
        <v>0.19600000000000001</v>
      </c>
      <c r="AI837">
        <v>-1</v>
      </c>
    </row>
    <row r="838" spans="1:35" x14ac:dyDescent="0.25">
      <c r="A838">
        <v>259</v>
      </c>
      <c r="B838" t="s">
        <v>35</v>
      </c>
      <c r="C838">
        <v>3</v>
      </c>
      <c r="D838" t="s">
        <v>36</v>
      </c>
      <c r="E838">
        <v>4</v>
      </c>
      <c r="F838" t="s">
        <v>259</v>
      </c>
      <c r="G838">
        <v>4</v>
      </c>
      <c r="H838">
        <v>12</v>
      </c>
      <c r="I838">
        <v>3</v>
      </c>
      <c r="J838">
        <v>45</v>
      </c>
      <c r="K838">
        <v>26</v>
      </c>
      <c r="L838">
        <v>72</v>
      </c>
      <c r="M838">
        <v>2</v>
      </c>
      <c r="N838" t="s">
        <v>112</v>
      </c>
      <c r="O838" t="s">
        <v>113</v>
      </c>
      <c r="P838" t="s">
        <v>114</v>
      </c>
      <c r="Q838" t="s">
        <v>115</v>
      </c>
      <c r="R838" t="s">
        <v>114</v>
      </c>
      <c r="S838" t="s">
        <v>43</v>
      </c>
      <c r="T838" t="s">
        <v>104</v>
      </c>
      <c r="U838">
        <v>2</v>
      </c>
      <c r="V838" t="s">
        <v>116</v>
      </c>
      <c r="W838" t="s">
        <v>183</v>
      </c>
      <c r="X838" t="s">
        <v>93</v>
      </c>
      <c r="Y838">
        <v>2</v>
      </c>
      <c r="Z838">
        <v>2</v>
      </c>
      <c r="AA838">
        <v>44.1</v>
      </c>
      <c r="AB838">
        <v>-1</v>
      </c>
      <c r="AC838" t="s">
        <v>104</v>
      </c>
      <c r="AD838">
        <v>1</v>
      </c>
      <c r="AE838">
        <v>2</v>
      </c>
      <c r="AF838">
        <v>1</v>
      </c>
      <c r="AG838">
        <v>2.2410000000000001</v>
      </c>
      <c r="AH838">
        <v>0.68300000000000005</v>
      </c>
      <c r="AI838">
        <v>-1</v>
      </c>
    </row>
    <row r="839" spans="1:35" x14ac:dyDescent="0.25">
      <c r="A839">
        <v>259</v>
      </c>
      <c r="B839" t="s">
        <v>35</v>
      </c>
      <c r="C839">
        <v>3</v>
      </c>
      <c r="D839" t="s">
        <v>36</v>
      </c>
      <c r="E839">
        <v>4</v>
      </c>
      <c r="F839" t="s">
        <v>259</v>
      </c>
      <c r="G839">
        <v>4</v>
      </c>
      <c r="H839">
        <v>12</v>
      </c>
      <c r="I839">
        <v>3</v>
      </c>
      <c r="J839">
        <v>46</v>
      </c>
      <c r="K839">
        <v>33</v>
      </c>
      <c r="L839">
        <v>27</v>
      </c>
      <c r="M839">
        <v>1</v>
      </c>
      <c r="N839" t="s">
        <v>129</v>
      </c>
      <c r="O839" t="s">
        <v>113</v>
      </c>
      <c r="P839" t="s">
        <v>114</v>
      </c>
      <c r="Q839" t="s">
        <v>118</v>
      </c>
      <c r="R839" t="s">
        <v>114</v>
      </c>
      <c r="S839" t="s">
        <v>92</v>
      </c>
      <c r="T839" t="s">
        <v>120</v>
      </c>
      <c r="U839">
        <v>2</v>
      </c>
      <c r="V839" t="s">
        <v>130</v>
      </c>
      <c r="W839" t="s">
        <v>96</v>
      </c>
      <c r="X839" t="s">
        <v>138</v>
      </c>
      <c r="Y839">
        <v>2</v>
      </c>
      <c r="Z839">
        <v>2</v>
      </c>
      <c r="AA839">
        <v>44.1</v>
      </c>
      <c r="AB839">
        <v>-1</v>
      </c>
      <c r="AC839" t="s">
        <v>96</v>
      </c>
      <c r="AD839">
        <v>4</v>
      </c>
      <c r="AE839">
        <v>1</v>
      </c>
      <c r="AF839">
        <v>0</v>
      </c>
      <c r="AG839">
        <v>1.847</v>
      </c>
      <c r="AH839">
        <v>0.316</v>
      </c>
      <c r="AI839">
        <v>-1</v>
      </c>
    </row>
    <row r="840" spans="1:35" x14ac:dyDescent="0.25">
      <c r="A840">
        <v>259</v>
      </c>
      <c r="B840" t="s">
        <v>35</v>
      </c>
      <c r="C840">
        <v>3</v>
      </c>
      <c r="D840" t="s">
        <v>36</v>
      </c>
      <c r="E840">
        <v>4</v>
      </c>
      <c r="F840" t="s">
        <v>259</v>
      </c>
      <c r="G840">
        <v>4</v>
      </c>
      <c r="H840">
        <v>12</v>
      </c>
      <c r="I840">
        <v>3</v>
      </c>
      <c r="J840">
        <v>47</v>
      </c>
      <c r="K840">
        <v>29</v>
      </c>
      <c r="L840">
        <v>61</v>
      </c>
      <c r="M840">
        <v>2</v>
      </c>
      <c r="N840" t="s">
        <v>125</v>
      </c>
      <c r="O840" t="s">
        <v>113</v>
      </c>
      <c r="P840" t="s">
        <v>114</v>
      </c>
      <c r="Q840" t="s">
        <v>126</v>
      </c>
      <c r="R840" t="s">
        <v>114</v>
      </c>
      <c r="S840" t="s">
        <v>92</v>
      </c>
      <c r="T840" t="s">
        <v>127</v>
      </c>
      <c r="U840">
        <v>2</v>
      </c>
      <c r="V840" t="s">
        <v>128</v>
      </c>
      <c r="W840" t="s">
        <v>161</v>
      </c>
      <c r="X840" t="s">
        <v>131</v>
      </c>
      <c r="Y840">
        <v>1</v>
      </c>
      <c r="Z840">
        <v>2</v>
      </c>
      <c r="AA840">
        <v>44.1</v>
      </c>
      <c r="AB840">
        <v>-1</v>
      </c>
      <c r="AC840" t="s">
        <v>127</v>
      </c>
      <c r="AD840">
        <v>1</v>
      </c>
      <c r="AE840">
        <v>2</v>
      </c>
      <c r="AF840">
        <v>1</v>
      </c>
      <c r="AG840">
        <v>2.1240000000000001</v>
      </c>
      <c r="AH840">
        <v>0.433</v>
      </c>
      <c r="AI840">
        <v>-1</v>
      </c>
    </row>
    <row r="841" spans="1:35" x14ac:dyDescent="0.25">
      <c r="A841">
        <v>259</v>
      </c>
      <c r="B841" t="s">
        <v>35</v>
      </c>
      <c r="C841">
        <v>3</v>
      </c>
      <c r="D841" t="s">
        <v>36</v>
      </c>
      <c r="E841">
        <v>4</v>
      </c>
      <c r="F841" t="s">
        <v>259</v>
      </c>
      <c r="G841">
        <v>4</v>
      </c>
      <c r="H841">
        <v>12</v>
      </c>
      <c r="I841">
        <v>3</v>
      </c>
      <c r="J841">
        <v>48</v>
      </c>
      <c r="K841">
        <v>40</v>
      </c>
      <c r="L841">
        <v>32</v>
      </c>
      <c r="M841">
        <v>1</v>
      </c>
      <c r="N841" t="s">
        <v>234</v>
      </c>
      <c r="O841" t="s">
        <v>113</v>
      </c>
      <c r="P841" t="s">
        <v>114</v>
      </c>
      <c r="Q841" t="s">
        <v>231</v>
      </c>
      <c r="R841" t="s">
        <v>114</v>
      </c>
      <c r="S841" t="s">
        <v>43</v>
      </c>
      <c r="T841" t="s">
        <v>111</v>
      </c>
      <c r="U841">
        <v>2</v>
      </c>
      <c r="V841" t="s">
        <v>81</v>
      </c>
      <c r="W841" t="s">
        <v>106</v>
      </c>
      <c r="X841" t="s">
        <v>103</v>
      </c>
      <c r="Y841">
        <v>2</v>
      </c>
      <c r="Z841">
        <v>2</v>
      </c>
      <c r="AA841">
        <v>44.1</v>
      </c>
      <c r="AB841">
        <v>-1</v>
      </c>
      <c r="AC841" t="s">
        <v>111</v>
      </c>
      <c r="AD841">
        <v>1</v>
      </c>
      <c r="AE841">
        <v>2</v>
      </c>
      <c r="AF841">
        <v>1</v>
      </c>
      <c r="AG841">
        <v>2.9409999999999998</v>
      </c>
      <c r="AH841">
        <v>1.78</v>
      </c>
      <c r="AI841">
        <v>-1</v>
      </c>
    </row>
    <row r="842" spans="1:35" x14ac:dyDescent="0.25">
      <c r="A842">
        <v>259</v>
      </c>
      <c r="B842" t="s">
        <v>35</v>
      </c>
      <c r="C842">
        <v>3</v>
      </c>
      <c r="D842" t="s">
        <v>36</v>
      </c>
      <c r="E842">
        <v>4</v>
      </c>
      <c r="F842" t="s">
        <v>259</v>
      </c>
      <c r="G842">
        <v>4</v>
      </c>
      <c r="H842">
        <v>12</v>
      </c>
      <c r="I842">
        <v>3</v>
      </c>
      <c r="J842">
        <v>49</v>
      </c>
      <c r="K842">
        <v>64</v>
      </c>
      <c r="L842">
        <v>20</v>
      </c>
      <c r="M842">
        <v>1</v>
      </c>
      <c r="N842" t="s">
        <v>238</v>
      </c>
      <c r="O842" t="s">
        <v>151</v>
      </c>
      <c r="P842" t="s">
        <v>239</v>
      </c>
      <c r="Q842" t="s">
        <v>240</v>
      </c>
      <c r="R842" t="s">
        <v>160</v>
      </c>
      <c r="S842" t="s">
        <v>43</v>
      </c>
      <c r="T842" t="s">
        <v>82</v>
      </c>
      <c r="U842">
        <v>1</v>
      </c>
      <c r="V842" t="s">
        <v>110</v>
      </c>
      <c r="W842" t="s">
        <v>69</v>
      </c>
      <c r="X842" t="s">
        <v>80</v>
      </c>
      <c r="Y842">
        <v>2</v>
      </c>
      <c r="Z842">
        <v>2</v>
      </c>
      <c r="AA842">
        <v>44.1</v>
      </c>
      <c r="AB842">
        <v>-1</v>
      </c>
      <c r="AC842" t="s">
        <v>82</v>
      </c>
      <c r="AD842">
        <v>1</v>
      </c>
      <c r="AE842">
        <v>1</v>
      </c>
      <c r="AF842">
        <v>1</v>
      </c>
      <c r="AG842">
        <v>0.69699999999999995</v>
      </c>
      <c r="AH842">
        <v>0.1</v>
      </c>
      <c r="AI842">
        <v>-1</v>
      </c>
    </row>
    <row r="843" spans="1:35" x14ac:dyDescent="0.25">
      <c r="A843">
        <v>259</v>
      </c>
      <c r="B843" t="s">
        <v>35</v>
      </c>
      <c r="C843">
        <v>3</v>
      </c>
      <c r="D843" t="s">
        <v>36</v>
      </c>
      <c r="E843">
        <v>4</v>
      </c>
      <c r="F843" t="s">
        <v>259</v>
      </c>
      <c r="G843">
        <v>4</v>
      </c>
      <c r="H843">
        <v>12</v>
      </c>
      <c r="I843">
        <v>3</v>
      </c>
      <c r="J843">
        <v>50</v>
      </c>
      <c r="K843">
        <v>54</v>
      </c>
      <c r="L843">
        <v>50</v>
      </c>
      <c r="M843">
        <v>2</v>
      </c>
      <c r="N843" t="s">
        <v>186</v>
      </c>
      <c r="O843" t="s">
        <v>151</v>
      </c>
      <c r="P843" t="s">
        <v>181</v>
      </c>
      <c r="Q843" t="s">
        <v>182</v>
      </c>
      <c r="R843" t="s">
        <v>174</v>
      </c>
      <c r="S843" t="s">
        <v>52</v>
      </c>
      <c r="T843" t="s">
        <v>187</v>
      </c>
      <c r="U843">
        <v>4</v>
      </c>
      <c r="V843" t="s">
        <v>183</v>
      </c>
      <c r="W843" t="s">
        <v>124</v>
      </c>
      <c r="X843" t="s">
        <v>138</v>
      </c>
      <c r="Y843">
        <v>1</v>
      </c>
      <c r="Z843">
        <v>2</v>
      </c>
      <c r="AA843">
        <v>44.1</v>
      </c>
      <c r="AB843">
        <v>-1</v>
      </c>
      <c r="AC843" t="s">
        <v>187</v>
      </c>
      <c r="AD843">
        <v>1</v>
      </c>
      <c r="AE843">
        <v>4</v>
      </c>
      <c r="AF843">
        <v>1</v>
      </c>
      <c r="AG843">
        <v>1.794</v>
      </c>
      <c r="AH843">
        <v>0.183</v>
      </c>
      <c r="AI843">
        <v>-1</v>
      </c>
    </row>
    <row r="844" spans="1:35" x14ac:dyDescent="0.25">
      <c r="A844">
        <v>259</v>
      </c>
      <c r="B844" t="s">
        <v>35</v>
      </c>
      <c r="C844">
        <v>3</v>
      </c>
      <c r="D844" t="s">
        <v>36</v>
      </c>
      <c r="E844">
        <v>4</v>
      </c>
      <c r="F844" t="s">
        <v>259</v>
      </c>
      <c r="G844">
        <v>4</v>
      </c>
      <c r="H844">
        <v>12</v>
      </c>
      <c r="I844">
        <v>3</v>
      </c>
      <c r="J844">
        <v>51</v>
      </c>
      <c r="K844">
        <v>60</v>
      </c>
      <c r="L844">
        <v>56</v>
      </c>
      <c r="M844">
        <v>2</v>
      </c>
      <c r="N844" t="s">
        <v>175</v>
      </c>
      <c r="O844" t="s">
        <v>151</v>
      </c>
      <c r="P844" t="s">
        <v>164</v>
      </c>
      <c r="Q844" t="s">
        <v>165</v>
      </c>
      <c r="R844" t="s">
        <v>174</v>
      </c>
      <c r="S844" t="s">
        <v>52</v>
      </c>
      <c r="T844" t="s">
        <v>166</v>
      </c>
      <c r="U844">
        <v>5</v>
      </c>
      <c r="V844" t="s">
        <v>132</v>
      </c>
      <c r="W844" t="s">
        <v>45</v>
      </c>
      <c r="X844" t="s">
        <v>116</v>
      </c>
      <c r="Y844">
        <v>2</v>
      </c>
      <c r="Z844">
        <v>2</v>
      </c>
      <c r="AA844">
        <v>44.1</v>
      </c>
      <c r="AB844">
        <v>-1</v>
      </c>
      <c r="AC844" t="s">
        <v>166</v>
      </c>
      <c r="AD844">
        <v>1</v>
      </c>
      <c r="AE844">
        <v>5</v>
      </c>
      <c r="AF844">
        <v>1</v>
      </c>
      <c r="AG844">
        <v>1.91</v>
      </c>
      <c r="AH844">
        <v>3.0339999999999998</v>
      </c>
      <c r="AI844">
        <v>-1</v>
      </c>
    </row>
    <row r="845" spans="1:35" x14ac:dyDescent="0.25">
      <c r="A845">
        <v>259</v>
      </c>
      <c r="B845" t="s">
        <v>35</v>
      </c>
      <c r="C845">
        <v>3</v>
      </c>
      <c r="D845" t="s">
        <v>36</v>
      </c>
      <c r="E845">
        <v>4</v>
      </c>
      <c r="F845" t="s">
        <v>259</v>
      </c>
      <c r="G845">
        <v>4</v>
      </c>
      <c r="H845">
        <v>12</v>
      </c>
      <c r="I845">
        <v>3</v>
      </c>
      <c r="J845">
        <v>52</v>
      </c>
      <c r="K845">
        <v>66</v>
      </c>
      <c r="L845">
        <v>54</v>
      </c>
      <c r="M845">
        <v>2</v>
      </c>
      <c r="N845" t="s">
        <v>248</v>
      </c>
      <c r="O845" t="s">
        <v>151</v>
      </c>
      <c r="P845" t="s">
        <v>249</v>
      </c>
      <c r="Q845" t="s">
        <v>250</v>
      </c>
      <c r="R845" t="s">
        <v>154</v>
      </c>
      <c r="S845" t="s">
        <v>92</v>
      </c>
      <c r="T845" t="s">
        <v>68</v>
      </c>
      <c r="U845">
        <v>5</v>
      </c>
      <c r="V845" t="s">
        <v>204</v>
      </c>
      <c r="W845" t="s">
        <v>104</v>
      </c>
      <c r="X845" t="s">
        <v>44</v>
      </c>
      <c r="Y845">
        <v>1</v>
      </c>
      <c r="Z845">
        <v>2</v>
      </c>
      <c r="AA845">
        <v>44.1</v>
      </c>
      <c r="AB845">
        <v>-1</v>
      </c>
      <c r="AC845" t="s">
        <v>68</v>
      </c>
      <c r="AD845">
        <v>1</v>
      </c>
      <c r="AE845">
        <v>5</v>
      </c>
      <c r="AF845">
        <v>1</v>
      </c>
      <c r="AG845">
        <v>3.0569999999999999</v>
      </c>
      <c r="AH845">
        <v>3.0339999999999998</v>
      </c>
      <c r="AI845">
        <v>-1</v>
      </c>
    </row>
    <row r="846" spans="1:35" x14ac:dyDescent="0.25">
      <c r="A846">
        <v>259</v>
      </c>
      <c r="B846" t="s">
        <v>35</v>
      </c>
      <c r="C846">
        <v>3</v>
      </c>
      <c r="D846" t="s">
        <v>36</v>
      </c>
      <c r="E846">
        <v>4</v>
      </c>
      <c r="F846" t="s">
        <v>259</v>
      </c>
      <c r="G846">
        <v>4</v>
      </c>
      <c r="H846">
        <v>12</v>
      </c>
      <c r="I846">
        <v>3</v>
      </c>
      <c r="J846">
        <v>53</v>
      </c>
      <c r="K846">
        <v>55</v>
      </c>
      <c r="L846">
        <v>51</v>
      </c>
      <c r="M846">
        <v>2</v>
      </c>
      <c r="N846" t="s">
        <v>176</v>
      </c>
      <c r="O846" t="s">
        <v>151</v>
      </c>
      <c r="P846" t="s">
        <v>177</v>
      </c>
      <c r="Q846" t="s">
        <v>178</v>
      </c>
      <c r="R846" t="s">
        <v>170</v>
      </c>
      <c r="S846" t="s">
        <v>59</v>
      </c>
      <c r="T846" t="s">
        <v>139</v>
      </c>
      <c r="U846">
        <v>5</v>
      </c>
      <c r="V846" t="s">
        <v>108</v>
      </c>
      <c r="W846" t="s">
        <v>120</v>
      </c>
      <c r="X846" t="s">
        <v>172</v>
      </c>
      <c r="Y846">
        <v>1</v>
      </c>
      <c r="Z846">
        <v>2</v>
      </c>
      <c r="AA846">
        <v>44.1</v>
      </c>
      <c r="AB846">
        <v>-1</v>
      </c>
      <c r="AC846" t="s">
        <v>139</v>
      </c>
      <c r="AD846">
        <v>1</v>
      </c>
      <c r="AE846">
        <v>5</v>
      </c>
      <c r="AF846">
        <v>1</v>
      </c>
      <c r="AG846">
        <v>1.2649999999999999</v>
      </c>
      <c r="AH846">
        <v>3.0169999999999999</v>
      </c>
      <c r="AI846">
        <v>-1</v>
      </c>
    </row>
    <row r="847" spans="1:35" x14ac:dyDescent="0.25">
      <c r="A847">
        <v>259</v>
      </c>
      <c r="B847" t="s">
        <v>35</v>
      </c>
      <c r="C847">
        <v>3</v>
      </c>
      <c r="D847" t="s">
        <v>36</v>
      </c>
      <c r="E847">
        <v>4</v>
      </c>
      <c r="F847" t="s">
        <v>259</v>
      </c>
      <c r="G847">
        <v>4</v>
      </c>
      <c r="H847">
        <v>12</v>
      </c>
      <c r="I847">
        <v>3</v>
      </c>
      <c r="J847">
        <v>54</v>
      </c>
      <c r="K847">
        <v>62</v>
      </c>
      <c r="L847">
        <v>24</v>
      </c>
      <c r="M847">
        <v>1</v>
      </c>
      <c r="N847" t="s">
        <v>251</v>
      </c>
      <c r="O847" t="s">
        <v>151</v>
      </c>
      <c r="P847" t="s">
        <v>245</v>
      </c>
      <c r="Q847" t="s">
        <v>246</v>
      </c>
      <c r="R847" t="s">
        <v>160</v>
      </c>
      <c r="S847" t="s">
        <v>43</v>
      </c>
      <c r="T847" t="s">
        <v>121</v>
      </c>
      <c r="U847">
        <v>1</v>
      </c>
      <c r="V847" t="s">
        <v>62</v>
      </c>
      <c r="W847" t="s">
        <v>87</v>
      </c>
      <c r="X847" t="s">
        <v>73</v>
      </c>
      <c r="Y847">
        <v>1</v>
      </c>
      <c r="Z847">
        <v>2</v>
      </c>
      <c r="AA847">
        <v>44.1</v>
      </c>
      <c r="AB847">
        <v>-1</v>
      </c>
      <c r="AC847" t="s">
        <v>121</v>
      </c>
      <c r="AD847">
        <v>1</v>
      </c>
      <c r="AE847">
        <v>1</v>
      </c>
      <c r="AF847">
        <v>1</v>
      </c>
      <c r="AG847">
        <v>1.77</v>
      </c>
      <c r="AH847">
        <v>0.26300000000000001</v>
      </c>
      <c r="AI847">
        <v>-1</v>
      </c>
    </row>
    <row r="848" spans="1:35" x14ac:dyDescent="0.25">
      <c r="A848">
        <v>259</v>
      </c>
      <c r="B848" t="s">
        <v>35</v>
      </c>
      <c r="C848">
        <v>3</v>
      </c>
      <c r="D848" t="s">
        <v>36</v>
      </c>
      <c r="E848">
        <v>4</v>
      </c>
      <c r="F848" t="s">
        <v>259</v>
      </c>
      <c r="G848">
        <v>4</v>
      </c>
      <c r="H848">
        <v>12</v>
      </c>
      <c r="I848">
        <v>3</v>
      </c>
      <c r="J848">
        <v>55</v>
      </c>
      <c r="K848">
        <v>58</v>
      </c>
      <c r="L848">
        <v>16</v>
      </c>
      <c r="M848">
        <v>1</v>
      </c>
      <c r="N848" t="s">
        <v>173</v>
      </c>
      <c r="O848" t="s">
        <v>151</v>
      </c>
      <c r="P848" t="s">
        <v>152</v>
      </c>
      <c r="Q848" t="s">
        <v>153</v>
      </c>
      <c r="R848" t="s">
        <v>174</v>
      </c>
      <c r="S848" t="s">
        <v>52</v>
      </c>
      <c r="T848" t="s">
        <v>99</v>
      </c>
      <c r="U848">
        <v>2</v>
      </c>
      <c r="V848" t="s">
        <v>155</v>
      </c>
      <c r="W848" t="s">
        <v>147</v>
      </c>
      <c r="X848" t="s">
        <v>162</v>
      </c>
      <c r="Y848">
        <v>1</v>
      </c>
      <c r="Z848">
        <v>2</v>
      </c>
      <c r="AA848">
        <v>44.1</v>
      </c>
      <c r="AB848">
        <v>-1</v>
      </c>
      <c r="AC848" t="s">
        <v>155</v>
      </c>
      <c r="AD848">
        <v>2</v>
      </c>
      <c r="AE848">
        <v>1</v>
      </c>
      <c r="AF848">
        <v>0</v>
      </c>
      <c r="AG848">
        <v>2.1659999999999999</v>
      </c>
      <c r="AH848">
        <v>6.6000000000000003E-2</v>
      </c>
      <c r="AI848">
        <v>-1</v>
      </c>
    </row>
    <row r="849" spans="1:35" x14ac:dyDescent="0.25">
      <c r="A849">
        <v>259</v>
      </c>
      <c r="B849" t="s">
        <v>35</v>
      </c>
      <c r="C849">
        <v>3</v>
      </c>
      <c r="D849" t="s">
        <v>36</v>
      </c>
      <c r="E849">
        <v>4</v>
      </c>
      <c r="F849" t="s">
        <v>259</v>
      </c>
      <c r="G849">
        <v>4</v>
      </c>
      <c r="H849">
        <v>12</v>
      </c>
      <c r="I849">
        <v>3</v>
      </c>
      <c r="J849">
        <v>56</v>
      </c>
      <c r="K849">
        <v>49</v>
      </c>
      <c r="L849">
        <v>59</v>
      </c>
      <c r="M849">
        <v>2</v>
      </c>
      <c r="N849" t="s">
        <v>171</v>
      </c>
      <c r="O849" t="s">
        <v>151</v>
      </c>
      <c r="P849" t="s">
        <v>158</v>
      </c>
      <c r="Q849" t="s">
        <v>159</v>
      </c>
      <c r="R849" t="s">
        <v>170</v>
      </c>
      <c r="S849" t="s">
        <v>59</v>
      </c>
      <c r="T849" t="s">
        <v>103</v>
      </c>
      <c r="U849">
        <v>5</v>
      </c>
      <c r="V849" t="s">
        <v>161</v>
      </c>
      <c r="W849" t="s">
        <v>106</v>
      </c>
      <c r="X849" t="s">
        <v>61</v>
      </c>
      <c r="Y849">
        <v>1</v>
      </c>
      <c r="Z849">
        <v>2</v>
      </c>
      <c r="AA849">
        <v>44.1</v>
      </c>
      <c r="AB849">
        <v>-1</v>
      </c>
      <c r="AC849" t="s">
        <v>103</v>
      </c>
      <c r="AD849">
        <v>1</v>
      </c>
      <c r="AE849">
        <v>5</v>
      </c>
      <c r="AF849">
        <v>1</v>
      </c>
      <c r="AG849">
        <v>2.153</v>
      </c>
      <c r="AH849">
        <v>8.3000000000000004E-2</v>
      </c>
      <c r="AI849">
        <v>-1</v>
      </c>
    </row>
    <row r="850" spans="1:35" x14ac:dyDescent="0.25">
      <c r="A850">
        <v>259</v>
      </c>
      <c r="B850" t="s">
        <v>35</v>
      </c>
      <c r="C850">
        <v>3</v>
      </c>
      <c r="D850" t="s">
        <v>36</v>
      </c>
      <c r="E850">
        <v>4</v>
      </c>
      <c r="F850" t="s">
        <v>259</v>
      </c>
      <c r="G850">
        <v>4</v>
      </c>
      <c r="H850">
        <v>12</v>
      </c>
      <c r="I850">
        <v>3</v>
      </c>
      <c r="J850">
        <v>57</v>
      </c>
      <c r="K850">
        <v>71</v>
      </c>
      <c r="L850">
        <v>21</v>
      </c>
      <c r="M850">
        <v>1</v>
      </c>
      <c r="N850" t="s">
        <v>252</v>
      </c>
      <c r="O850" t="s">
        <v>151</v>
      </c>
      <c r="P850" t="s">
        <v>242</v>
      </c>
      <c r="Q850" t="s">
        <v>243</v>
      </c>
      <c r="R850" t="s">
        <v>170</v>
      </c>
      <c r="S850" t="s">
        <v>59</v>
      </c>
      <c r="T850" t="s">
        <v>146</v>
      </c>
      <c r="U850">
        <v>5</v>
      </c>
      <c r="V850" t="s">
        <v>139</v>
      </c>
      <c r="W850" t="s">
        <v>79</v>
      </c>
      <c r="X850" t="s">
        <v>209</v>
      </c>
      <c r="Y850">
        <v>2</v>
      </c>
      <c r="Z850">
        <v>2</v>
      </c>
      <c r="AA850">
        <v>44.1</v>
      </c>
      <c r="AB850">
        <v>-1</v>
      </c>
      <c r="AC850" t="s">
        <v>146</v>
      </c>
      <c r="AD850">
        <v>1</v>
      </c>
      <c r="AE850">
        <v>5</v>
      </c>
      <c r="AF850">
        <v>1</v>
      </c>
      <c r="AG850">
        <v>2.198</v>
      </c>
      <c r="AH850">
        <v>0.26600000000000001</v>
      </c>
      <c r="AI850">
        <v>-1</v>
      </c>
    </row>
    <row r="851" spans="1:35" x14ac:dyDescent="0.25">
      <c r="A851">
        <v>259</v>
      </c>
      <c r="B851" t="s">
        <v>35</v>
      </c>
      <c r="C851">
        <v>3</v>
      </c>
      <c r="D851" t="s">
        <v>36</v>
      </c>
      <c r="E851">
        <v>4</v>
      </c>
      <c r="F851" t="s">
        <v>259</v>
      </c>
      <c r="G851">
        <v>4</v>
      </c>
      <c r="H851">
        <v>12</v>
      </c>
      <c r="I851">
        <v>3</v>
      </c>
      <c r="J851">
        <v>58</v>
      </c>
      <c r="K851">
        <v>68</v>
      </c>
      <c r="L851">
        <v>18</v>
      </c>
      <c r="M851">
        <v>1</v>
      </c>
      <c r="N851" t="s">
        <v>258</v>
      </c>
      <c r="O851" t="s">
        <v>151</v>
      </c>
      <c r="P851" t="s">
        <v>255</v>
      </c>
      <c r="Q851" t="s">
        <v>256</v>
      </c>
      <c r="R851" t="s">
        <v>160</v>
      </c>
      <c r="S851" t="s">
        <v>43</v>
      </c>
      <c r="T851" t="s">
        <v>110</v>
      </c>
      <c r="U851">
        <v>2</v>
      </c>
      <c r="V851" t="s">
        <v>47</v>
      </c>
      <c r="W851" t="s">
        <v>179</v>
      </c>
      <c r="X851" t="s">
        <v>93</v>
      </c>
      <c r="Y851">
        <v>1</v>
      </c>
      <c r="Z851">
        <v>2</v>
      </c>
      <c r="AA851">
        <v>44.1</v>
      </c>
      <c r="AB851">
        <v>-1</v>
      </c>
      <c r="AC851" t="s">
        <v>110</v>
      </c>
      <c r="AD851">
        <v>1</v>
      </c>
      <c r="AE851">
        <v>2</v>
      </c>
      <c r="AF851">
        <v>1</v>
      </c>
      <c r="AG851">
        <v>1.7529999999999999</v>
      </c>
      <c r="AH851">
        <v>0.113</v>
      </c>
      <c r="AI851">
        <v>-1</v>
      </c>
    </row>
    <row r="852" spans="1:35" x14ac:dyDescent="0.25">
      <c r="A852">
        <v>259</v>
      </c>
      <c r="B852" t="s">
        <v>35</v>
      </c>
      <c r="C852">
        <v>3</v>
      </c>
      <c r="D852" t="s">
        <v>36</v>
      </c>
      <c r="E852">
        <v>4</v>
      </c>
      <c r="F852" t="s">
        <v>259</v>
      </c>
      <c r="G852">
        <v>4</v>
      </c>
      <c r="H852">
        <v>12</v>
      </c>
      <c r="I852">
        <v>3</v>
      </c>
      <c r="J852">
        <v>59</v>
      </c>
      <c r="K852">
        <v>57</v>
      </c>
      <c r="L852">
        <v>15</v>
      </c>
      <c r="M852">
        <v>1</v>
      </c>
      <c r="N852" t="s">
        <v>150</v>
      </c>
      <c r="O852" t="s">
        <v>151</v>
      </c>
      <c r="P852" t="s">
        <v>152</v>
      </c>
      <c r="Q852" t="s">
        <v>153</v>
      </c>
      <c r="R852" t="s">
        <v>154</v>
      </c>
      <c r="S852" t="s">
        <v>92</v>
      </c>
      <c r="T852" t="s">
        <v>155</v>
      </c>
      <c r="U852">
        <v>4</v>
      </c>
      <c r="V852" t="s">
        <v>141</v>
      </c>
      <c r="W852" t="s">
        <v>53</v>
      </c>
      <c r="X852" t="s">
        <v>74</v>
      </c>
      <c r="Y852">
        <v>2</v>
      </c>
      <c r="Z852">
        <v>2</v>
      </c>
      <c r="AA852">
        <v>44.1</v>
      </c>
      <c r="AB852">
        <v>-1</v>
      </c>
      <c r="AC852" t="s">
        <v>155</v>
      </c>
      <c r="AD852">
        <v>1</v>
      </c>
      <c r="AE852">
        <v>4</v>
      </c>
      <c r="AF852">
        <v>1</v>
      </c>
      <c r="AG852">
        <v>1.87</v>
      </c>
      <c r="AH852">
        <v>0.05</v>
      </c>
      <c r="AI852">
        <v>-1</v>
      </c>
    </row>
    <row r="853" spans="1:35" x14ac:dyDescent="0.25">
      <c r="A853">
        <v>259</v>
      </c>
      <c r="B853" t="s">
        <v>35</v>
      </c>
      <c r="C853">
        <v>3</v>
      </c>
      <c r="D853" t="s">
        <v>36</v>
      </c>
      <c r="E853">
        <v>4</v>
      </c>
      <c r="F853" t="s">
        <v>259</v>
      </c>
      <c r="G853">
        <v>4</v>
      </c>
      <c r="H853">
        <v>12</v>
      </c>
      <c r="I853">
        <v>3</v>
      </c>
      <c r="J853">
        <v>60</v>
      </c>
      <c r="K853">
        <v>56</v>
      </c>
      <c r="L853">
        <v>52</v>
      </c>
      <c r="M853">
        <v>2</v>
      </c>
      <c r="N853" t="s">
        <v>188</v>
      </c>
      <c r="O853" t="s">
        <v>151</v>
      </c>
      <c r="P853" t="s">
        <v>177</v>
      </c>
      <c r="Q853" t="s">
        <v>178</v>
      </c>
      <c r="R853" t="s">
        <v>160</v>
      </c>
      <c r="S853" t="s">
        <v>43</v>
      </c>
      <c r="T853" t="s">
        <v>108</v>
      </c>
      <c r="U853">
        <v>1</v>
      </c>
      <c r="V853" t="s">
        <v>55</v>
      </c>
      <c r="W853" t="s">
        <v>56</v>
      </c>
      <c r="X853" t="s">
        <v>149</v>
      </c>
      <c r="Y853">
        <v>2</v>
      </c>
      <c r="Z853">
        <v>2</v>
      </c>
      <c r="AA853">
        <v>44.1</v>
      </c>
      <c r="AB853">
        <v>-1</v>
      </c>
      <c r="AC853" t="s">
        <v>108</v>
      </c>
      <c r="AD853">
        <v>1</v>
      </c>
      <c r="AE853">
        <v>1</v>
      </c>
      <c r="AF853">
        <v>1</v>
      </c>
      <c r="AG853">
        <v>0.82899999999999996</v>
      </c>
      <c r="AH853">
        <v>0.3</v>
      </c>
      <c r="AI853">
        <v>-1</v>
      </c>
    </row>
    <row r="854" spans="1:35" x14ac:dyDescent="0.25">
      <c r="A854">
        <v>259</v>
      </c>
      <c r="B854" t="s">
        <v>35</v>
      </c>
      <c r="C854">
        <v>3</v>
      </c>
      <c r="D854" t="s">
        <v>36</v>
      </c>
      <c r="E854">
        <v>4</v>
      </c>
      <c r="F854" t="s">
        <v>259</v>
      </c>
      <c r="G854">
        <v>4</v>
      </c>
      <c r="H854">
        <v>12</v>
      </c>
      <c r="I854">
        <v>3</v>
      </c>
      <c r="J854">
        <v>61</v>
      </c>
      <c r="K854">
        <v>50</v>
      </c>
      <c r="L854">
        <v>60</v>
      </c>
      <c r="M854">
        <v>2</v>
      </c>
      <c r="N854" t="s">
        <v>157</v>
      </c>
      <c r="O854" t="s">
        <v>151</v>
      </c>
      <c r="P854" t="s">
        <v>158</v>
      </c>
      <c r="Q854" t="s">
        <v>159</v>
      </c>
      <c r="R854" t="s">
        <v>160</v>
      </c>
      <c r="S854" t="s">
        <v>43</v>
      </c>
      <c r="T854" t="s">
        <v>161</v>
      </c>
      <c r="U854">
        <v>4</v>
      </c>
      <c r="V854" t="s">
        <v>121</v>
      </c>
      <c r="W854" t="s">
        <v>98</v>
      </c>
      <c r="X854" t="s">
        <v>130</v>
      </c>
      <c r="Y854">
        <v>2</v>
      </c>
      <c r="Z854">
        <v>2</v>
      </c>
      <c r="AA854">
        <v>44.1</v>
      </c>
      <c r="AB854">
        <v>-1</v>
      </c>
      <c r="AC854" t="s">
        <v>161</v>
      </c>
      <c r="AD854">
        <v>1</v>
      </c>
      <c r="AE854">
        <v>4</v>
      </c>
      <c r="AF854">
        <v>1</v>
      </c>
      <c r="AG854">
        <v>0.63300000000000001</v>
      </c>
      <c r="AH854">
        <v>0.25</v>
      </c>
      <c r="AI854">
        <v>-1</v>
      </c>
    </row>
    <row r="855" spans="1:35" x14ac:dyDescent="0.25">
      <c r="A855">
        <v>259</v>
      </c>
      <c r="B855" t="s">
        <v>35</v>
      </c>
      <c r="C855">
        <v>3</v>
      </c>
      <c r="D855" t="s">
        <v>36</v>
      </c>
      <c r="E855">
        <v>4</v>
      </c>
      <c r="F855" t="s">
        <v>259</v>
      </c>
      <c r="G855">
        <v>4</v>
      </c>
      <c r="H855">
        <v>12</v>
      </c>
      <c r="I855">
        <v>3</v>
      </c>
      <c r="J855">
        <v>62</v>
      </c>
      <c r="K855">
        <v>51</v>
      </c>
      <c r="L855">
        <v>13</v>
      </c>
      <c r="M855">
        <v>1</v>
      </c>
      <c r="N855" t="s">
        <v>167</v>
      </c>
      <c r="O855" t="s">
        <v>151</v>
      </c>
      <c r="P855" t="s">
        <v>168</v>
      </c>
      <c r="Q855" t="s">
        <v>169</v>
      </c>
      <c r="R855" t="s">
        <v>170</v>
      </c>
      <c r="S855" t="s">
        <v>59</v>
      </c>
      <c r="T855" t="s">
        <v>96</v>
      </c>
      <c r="U855">
        <v>5</v>
      </c>
      <c r="V855" t="s">
        <v>103</v>
      </c>
      <c r="W855" t="s">
        <v>111</v>
      </c>
      <c r="X855" t="s">
        <v>67</v>
      </c>
      <c r="Y855">
        <v>2</v>
      </c>
      <c r="Z855">
        <v>2</v>
      </c>
      <c r="AA855">
        <v>44.1</v>
      </c>
      <c r="AB855">
        <v>-1</v>
      </c>
      <c r="AC855" t="s">
        <v>96</v>
      </c>
      <c r="AD855">
        <v>1</v>
      </c>
      <c r="AE855">
        <v>5</v>
      </c>
      <c r="AF855">
        <v>1</v>
      </c>
      <c r="AG855">
        <v>2.4430000000000001</v>
      </c>
      <c r="AH855">
        <v>0.23300000000000001</v>
      </c>
      <c r="AI855">
        <v>-1</v>
      </c>
    </row>
    <row r="856" spans="1:35" x14ac:dyDescent="0.25">
      <c r="A856">
        <v>259</v>
      </c>
      <c r="B856" t="s">
        <v>35</v>
      </c>
      <c r="C856">
        <v>3</v>
      </c>
      <c r="D856" t="s">
        <v>36</v>
      </c>
      <c r="E856">
        <v>4</v>
      </c>
      <c r="F856" t="s">
        <v>259</v>
      </c>
      <c r="G856">
        <v>4</v>
      </c>
      <c r="H856">
        <v>12</v>
      </c>
      <c r="I856">
        <v>3</v>
      </c>
      <c r="J856">
        <v>63</v>
      </c>
      <c r="K856">
        <v>65</v>
      </c>
      <c r="L856">
        <v>53</v>
      </c>
      <c r="M856">
        <v>2</v>
      </c>
      <c r="N856" t="s">
        <v>257</v>
      </c>
      <c r="O856" t="s">
        <v>151</v>
      </c>
      <c r="P856" t="s">
        <v>249</v>
      </c>
      <c r="Q856" t="s">
        <v>250</v>
      </c>
      <c r="R856" t="s">
        <v>170</v>
      </c>
      <c r="S856" t="s">
        <v>59</v>
      </c>
      <c r="T856" t="s">
        <v>204</v>
      </c>
      <c r="U856">
        <v>2</v>
      </c>
      <c r="V856" t="s">
        <v>211</v>
      </c>
      <c r="W856" t="s">
        <v>85</v>
      </c>
      <c r="X856" t="s">
        <v>119</v>
      </c>
      <c r="Y856">
        <v>2</v>
      </c>
      <c r="Z856">
        <v>2</v>
      </c>
      <c r="AA856">
        <v>44.1</v>
      </c>
      <c r="AB856">
        <v>-1</v>
      </c>
      <c r="AC856" t="s">
        <v>204</v>
      </c>
      <c r="AD856">
        <v>1</v>
      </c>
      <c r="AE856">
        <v>2</v>
      </c>
      <c r="AF856">
        <v>1</v>
      </c>
      <c r="AG856">
        <v>2.3519999999999999</v>
      </c>
      <c r="AH856">
        <v>1.43</v>
      </c>
      <c r="AI856">
        <v>-1</v>
      </c>
    </row>
    <row r="857" spans="1:35" x14ac:dyDescent="0.25">
      <c r="A857">
        <v>259</v>
      </c>
      <c r="B857" t="s">
        <v>35</v>
      </c>
      <c r="C857">
        <v>3</v>
      </c>
      <c r="D857" t="s">
        <v>36</v>
      </c>
      <c r="E857">
        <v>4</v>
      </c>
      <c r="F857" t="s">
        <v>259</v>
      </c>
      <c r="G857">
        <v>4</v>
      </c>
      <c r="H857">
        <v>12</v>
      </c>
      <c r="I857">
        <v>3</v>
      </c>
      <c r="J857">
        <v>64</v>
      </c>
      <c r="K857">
        <v>67</v>
      </c>
      <c r="L857">
        <v>17</v>
      </c>
      <c r="M857">
        <v>1</v>
      </c>
      <c r="N857" t="s">
        <v>254</v>
      </c>
      <c r="O857" t="s">
        <v>151</v>
      </c>
      <c r="P857" t="s">
        <v>255</v>
      </c>
      <c r="Q857" t="s">
        <v>256</v>
      </c>
      <c r="R857" t="s">
        <v>174</v>
      </c>
      <c r="S857" t="s">
        <v>52</v>
      </c>
      <c r="T857" t="s">
        <v>47</v>
      </c>
      <c r="U857">
        <v>1</v>
      </c>
      <c r="V857" t="s">
        <v>187</v>
      </c>
      <c r="W857" t="s">
        <v>137</v>
      </c>
      <c r="X857" t="s">
        <v>156</v>
      </c>
      <c r="Y857">
        <v>2</v>
      </c>
      <c r="Z857">
        <v>2</v>
      </c>
      <c r="AA857">
        <v>44.1</v>
      </c>
      <c r="AB857">
        <v>-1</v>
      </c>
      <c r="AC857" t="s">
        <v>47</v>
      </c>
      <c r="AD857">
        <v>1</v>
      </c>
      <c r="AE857">
        <v>1</v>
      </c>
      <c r="AF857">
        <v>1</v>
      </c>
      <c r="AG857">
        <v>2.4329999999999998</v>
      </c>
      <c r="AH857">
        <v>0.15</v>
      </c>
      <c r="AI857">
        <v>-1</v>
      </c>
    </row>
    <row r="858" spans="1:35" x14ac:dyDescent="0.25">
      <c r="A858">
        <v>259</v>
      </c>
      <c r="B858" t="s">
        <v>35</v>
      </c>
      <c r="C858">
        <v>3</v>
      </c>
      <c r="D858" t="s">
        <v>36</v>
      </c>
      <c r="E858">
        <v>4</v>
      </c>
      <c r="F858" t="s">
        <v>259</v>
      </c>
      <c r="G858">
        <v>4</v>
      </c>
      <c r="H858">
        <v>12</v>
      </c>
      <c r="I858">
        <v>3</v>
      </c>
      <c r="J858">
        <v>65</v>
      </c>
      <c r="K858">
        <v>63</v>
      </c>
      <c r="L858">
        <v>19</v>
      </c>
      <c r="M858">
        <v>1</v>
      </c>
      <c r="N858" t="s">
        <v>253</v>
      </c>
      <c r="O858" t="s">
        <v>151</v>
      </c>
      <c r="P858" t="s">
        <v>239</v>
      </c>
      <c r="Q858" t="s">
        <v>240</v>
      </c>
      <c r="R858" t="s">
        <v>170</v>
      </c>
      <c r="S858" t="s">
        <v>59</v>
      </c>
      <c r="T858" t="s">
        <v>211</v>
      </c>
      <c r="U858">
        <v>4</v>
      </c>
      <c r="V858" t="s">
        <v>82</v>
      </c>
      <c r="W858" t="s">
        <v>214</v>
      </c>
      <c r="X858" t="s">
        <v>54</v>
      </c>
      <c r="Y858">
        <v>1</v>
      </c>
      <c r="Z858">
        <v>2</v>
      </c>
      <c r="AA858">
        <v>44.1</v>
      </c>
      <c r="AB858">
        <v>-1</v>
      </c>
      <c r="AC858" t="s">
        <v>82</v>
      </c>
      <c r="AD858">
        <v>2</v>
      </c>
      <c r="AE858">
        <v>5</v>
      </c>
      <c r="AF858">
        <v>0</v>
      </c>
      <c r="AG858">
        <v>3.0179999999999998</v>
      </c>
      <c r="AH858">
        <v>0.05</v>
      </c>
      <c r="AI858">
        <v>-1</v>
      </c>
    </row>
    <row r="859" spans="1:35" x14ac:dyDescent="0.25">
      <c r="A859">
        <v>259</v>
      </c>
      <c r="B859" t="s">
        <v>35</v>
      </c>
      <c r="C859">
        <v>3</v>
      </c>
      <c r="D859" t="s">
        <v>36</v>
      </c>
      <c r="E859">
        <v>4</v>
      </c>
      <c r="F859" t="s">
        <v>259</v>
      </c>
      <c r="G859">
        <v>4</v>
      </c>
      <c r="H859">
        <v>12</v>
      </c>
      <c r="I859">
        <v>3</v>
      </c>
      <c r="J859">
        <v>66</v>
      </c>
      <c r="K859">
        <v>59</v>
      </c>
      <c r="L859">
        <v>55</v>
      </c>
      <c r="M859">
        <v>2</v>
      </c>
      <c r="N859" t="s">
        <v>163</v>
      </c>
      <c r="O859" t="s">
        <v>151</v>
      </c>
      <c r="P859" t="s">
        <v>164</v>
      </c>
      <c r="Q859" t="s">
        <v>165</v>
      </c>
      <c r="R859" t="s">
        <v>154</v>
      </c>
      <c r="S859" t="s">
        <v>92</v>
      </c>
      <c r="T859" t="s">
        <v>86</v>
      </c>
      <c r="U859">
        <v>1</v>
      </c>
      <c r="V859" t="s">
        <v>166</v>
      </c>
      <c r="W859" t="s">
        <v>100</v>
      </c>
      <c r="X859" t="s">
        <v>131</v>
      </c>
      <c r="Y859">
        <v>1</v>
      </c>
      <c r="Z859">
        <v>2</v>
      </c>
      <c r="AA859">
        <v>44.1</v>
      </c>
      <c r="AB859">
        <v>-1</v>
      </c>
      <c r="AC859" t="s">
        <v>86</v>
      </c>
      <c r="AD859">
        <v>1</v>
      </c>
      <c r="AE859">
        <v>1</v>
      </c>
      <c r="AF859">
        <v>1</v>
      </c>
      <c r="AG859">
        <v>1.988</v>
      </c>
      <c r="AH859">
        <v>0.3</v>
      </c>
      <c r="AI859">
        <v>-1</v>
      </c>
    </row>
    <row r="860" spans="1:35" x14ac:dyDescent="0.25">
      <c r="A860">
        <v>259</v>
      </c>
      <c r="B860" t="s">
        <v>35</v>
      </c>
      <c r="C860">
        <v>3</v>
      </c>
      <c r="D860" t="s">
        <v>36</v>
      </c>
      <c r="E860">
        <v>4</v>
      </c>
      <c r="F860" t="s">
        <v>259</v>
      </c>
      <c r="G860">
        <v>4</v>
      </c>
      <c r="H860">
        <v>12</v>
      </c>
      <c r="I860">
        <v>3</v>
      </c>
      <c r="J860">
        <v>67</v>
      </c>
      <c r="K860">
        <v>69</v>
      </c>
      <c r="L860">
        <v>57</v>
      </c>
      <c r="M860">
        <v>2</v>
      </c>
      <c r="N860" t="s">
        <v>247</v>
      </c>
      <c r="O860" t="s">
        <v>151</v>
      </c>
      <c r="P860" t="s">
        <v>236</v>
      </c>
      <c r="Q860" t="s">
        <v>237</v>
      </c>
      <c r="R860" t="s">
        <v>174</v>
      </c>
      <c r="S860" t="s">
        <v>52</v>
      </c>
      <c r="T860" t="s">
        <v>75</v>
      </c>
      <c r="U860">
        <v>1</v>
      </c>
      <c r="V860" t="s">
        <v>99</v>
      </c>
      <c r="W860" t="s">
        <v>60</v>
      </c>
      <c r="X860" t="s">
        <v>46</v>
      </c>
      <c r="Y860">
        <v>2</v>
      </c>
      <c r="Z860">
        <v>2</v>
      </c>
      <c r="AA860">
        <v>44.1</v>
      </c>
      <c r="AB860">
        <v>-1</v>
      </c>
      <c r="AC860" t="s">
        <v>75</v>
      </c>
      <c r="AD860">
        <v>1</v>
      </c>
      <c r="AE860">
        <v>1</v>
      </c>
      <c r="AF860">
        <v>1</v>
      </c>
      <c r="AG860">
        <v>0.98499999999999999</v>
      </c>
      <c r="AH860">
        <v>0.28000000000000003</v>
      </c>
      <c r="AI860">
        <v>-1</v>
      </c>
    </row>
    <row r="861" spans="1:35" x14ac:dyDescent="0.25">
      <c r="A861">
        <v>259</v>
      </c>
      <c r="B861" t="s">
        <v>35</v>
      </c>
      <c r="C861">
        <v>3</v>
      </c>
      <c r="D861" t="s">
        <v>36</v>
      </c>
      <c r="E861">
        <v>4</v>
      </c>
      <c r="F861" t="s">
        <v>259</v>
      </c>
      <c r="G861">
        <v>4</v>
      </c>
      <c r="H861">
        <v>12</v>
      </c>
      <c r="I861">
        <v>3</v>
      </c>
      <c r="J861">
        <v>68</v>
      </c>
      <c r="K861">
        <v>53</v>
      </c>
      <c r="L861">
        <v>49</v>
      </c>
      <c r="M861">
        <v>2</v>
      </c>
      <c r="N861" t="s">
        <v>180</v>
      </c>
      <c r="O861" t="s">
        <v>151</v>
      </c>
      <c r="P861" t="s">
        <v>181</v>
      </c>
      <c r="Q861" t="s">
        <v>182</v>
      </c>
      <c r="R861" t="s">
        <v>154</v>
      </c>
      <c r="S861" t="s">
        <v>92</v>
      </c>
      <c r="T861" t="s">
        <v>183</v>
      </c>
      <c r="U861">
        <v>2</v>
      </c>
      <c r="V861" t="s">
        <v>86</v>
      </c>
      <c r="W861" t="s">
        <v>128</v>
      </c>
      <c r="X861" t="s">
        <v>144</v>
      </c>
      <c r="Y861">
        <v>2</v>
      </c>
      <c r="Z861">
        <v>2</v>
      </c>
      <c r="AA861">
        <v>44.1</v>
      </c>
      <c r="AB861">
        <v>-1</v>
      </c>
      <c r="AC861" t="s">
        <v>128</v>
      </c>
      <c r="AD861">
        <v>4</v>
      </c>
      <c r="AE861">
        <v>1</v>
      </c>
      <c r="AF861">
        <v>0</v>
      </c>
      <c r="AG861">
        <v>2.5289999999999999</v>
      </c>
      <c r="AH861">
        <v>1.117</v>
      </c>
      <c r="AI861">
        <v>-1</v>
      </c>
    </row>
    <row r="862" spans="1:35" x14ac:dyDescent="0.25">
      <c r="A862">
        <v>259</v>
      </c>
      <c r="B862" t="s">
        <v>35</v>
      </c>
      <c r="C862">
        <v>3</v>
      </c>
      <c r="D862" t="s">
        <v>36</v>
      </c>
      <c r="E862">
        <v>4</v>
      </c>
      <c r="F862" t="s">
        <v>259</v>
      </c>
      <c r="G862">
        <v>4</v>
      </c>
      <c r="H862">
        <v>12</v>
      </c>
      <c r="I862">
        <v>3</v>
      </c>
      <c r="J862">
        <v>69</v>
      </c>
      <c r="K862">
        <v>52</v>
      </c>
      <c r="L862">
        <v>14</v>
      </c>
      <c r="M862">
        <v>1</v>
      </c>
      <c r="N862" t="s">
        <v>184</v>
      </c>
      <c r="O862" t="s">
        <v>151</v>
      </c>
      <c r="P862" t="s">
        <v>168</v>
      </c>
      <c r="Q862" t="s">
        <v>169</v>
      </c>
      <c r="R862" t="s">
        <v>154</v>
      </c>
      <c r="S862" t="s">
        <v>92</v>
      </c>
      <c r="T862" t="s">
        <v>141</v>
      </c>
      <c r="U862">
        <v>4</v>
      </c>
      <c r="V862" t="s">
        <v>96</v>
      </c>
      <c r="W862" t="s">
        <v>102</v>
      </c>
      <c r="X862" t="s">
        <v>107</v>
      </c>
      <c r="Y862">
        <v>1</v>
      </c>
      <c r="Z862">
        <v>2</v>
      </c>
      <c r="AA862">
        <v>44.1</v>
      </c>
      <c r="AB862">
        <v>-1</v>
      </c>
      <c r="AC862" t="s">
        <v>96</v>
      </c>
      <c r="AD862">
        <v>2</v>
      </c>
      <c r="AE862">
        <v>5</v>
      </c>
      <c r="AF862">
        <v>0</v>
      </c>
      <c r="AG862">
        <v>1.8779999999999999</v>
      </c>
      <c r="AH862">
        <v>4.9000000000000002E-2</v>
      </c>
      <c r="AI862">
        <v>-1</v>
      </c>
    </row>
    <row r="863" spans="1:35" x14ac:dyDescent="0.25">
      <c r="A863">
        <v>259</v>
      </c>
      <c r="B863" t="s">
        <v>35</v>
      </c>
      <c r="C863">
        <v>3</v>
      </c>
      <c r="D863" t="s">
        <v>36</v>
      </c>
      <c r="E863">
        <v>4</v>
      </c>
      <c r="F863" t="s">
        <v>259</v>
      </c>
      <c r="G863">
        <v>4</v>
      </c>
      <c r="H863">
        <v>12</v>
      </c>
      <c r="I863">
        <v>3</v>
      </c>
      <c r="J863">
        <v>70</v>
      </c>
      <c r="K863">
        <v>72</v>
      </c>
      <c r="L863">
        <v>22</v>
      </c>
      <c r="M863">
        <v>1</v>
      </c>
      <c r="N863" t="s">
        <v>241</v>
      </c>
      <c r="O863" t="s">
        <v>151</v>
      </c>
      <c r="P863" t="s">
        <v>242</v>
      </c>
      <c r="Q863" t="s">
        <v>243</v>
      </c>
      <c r="R863" t="s">
        <v>174</v>
      </c>
      <c r="S863" t="s">
        <v>52</v>
      </c>
      <c r="T863" t="s">
        <v>132</v>
      </c>
      <c r="U863">
        <v>5</v>
      </c>
      <c r="V863" t="s">
        <v>146</v>
      </c>
      <c r="W863" t="s">
        <v>185</v>
      </c>
      <c r="X863" t="s">
        <v>127</v>
      </c>
      <c r="Y863">
        <v>1</v>
      </c>
      <c r="Z863">
        <v>2</v>
      </c>
      <c r="AA863">
        <v>44.1</v>
      </c>
      <c r="AB863">
        <v>-1</v>
      </c>
      <c r="AC863" t="s">
        <v>127</v>
      </c>
      <c r="AD863">
        <v>4</v>
      </c>
      <c r="AE863">
        <v>2</v>
      </c>
      <c r="AF863">
        <v>0</v>
      </c>
      <c r="AG863">
        <v>2.0939999999999999</v>
      </c>
      <c r="AH863">
        <v>0.112</v>
      </c>
      <c r="AI863">
        <v>-1</v>
      </c>
    </row>
    <row r="864" spans="1:35" x14ac:dyDescent="0.25">
      <c r="A864">
        <v>259</v>
      </c>
      <c r="B864" t="s">
        <v>35</v>
      </c>
      <c r="C864">
        <v>3</v>
      </c>
      <c r="D864" t="s">
        <v>36</v>
      </c>
      <c r="E864">
        <v>4</v>
      </c>
      <c r="F864" t="s">
        <v>259</v>
      </c>
      <c r="G864">
        <v>4</v>
      </c>
      <c r="H864">
        <v>12</v>
      </c>
      <c r="I864">
        <v>3</v>
      </c>
      <c r="J864">
        <v>71</v>
      </c>
      <c r="K864">
        <v>70</v>
      </c>
      <c r="L864">
        <v>58</v>
      </c>
      <c r="M864">
        <v>2</v>
      </c>
      <c r="N864" t="s">
        <v>235</v>
      </c>
      <c r="O864" t="s">
        <v>151</v>
      </c>
      <c r="P864" t="s">
        <v>236</v>
      </c>
      <c r="Q864" t="s">
        <v>237</v>
      </c>
      <c r="R864" t="s">
        <v>160</v>
      </c>
      <c r="S864" t="s">
        <v>43</v>
      </c>
      <c r="T864" t="s">
        <v>55</v>
      </c>
      <c r="U864">
        <v>2</v>
      </c>
      <c r="V864" t="s">
        <v>75</v>
      </c>
      <c r="W864" t="s">
        <v>94</v>
      </c>
      <c r="X864" t="s">
        <v>95</v>
      </c>
      <c r="Y864">
        <v>1</v>
      </c>
      <c r="Z864">
        <v>2</v>
      </c>
      <c r="AA864">
        <v>44.1</v>
      </c>
      <c r="AB864">
        <v>-1</v>
      </c>
      <c r="AC864" t="s">
        <v>55</v>
      </c>
      <c r="AD864">
        <v>1</v>
      </c>
      <c r="AE864">
        <v>2</v>
      </c>
      <c r="AF864">
        <v>1</v>
      </c>
      <c r="AG864">
        <v>2.3660000000000001</v>
      </c>
      <c r="AH864">
        <v>6.6000000000000003E-2</v>
      </c>
      <c r="AI864">
        <v>-1</v>
      </c>
    </row>
    <row r="865" spans="1:35" x14ac:dyDescent="0.25">
      <c r="A865">
        <v>259</v>
      </c>
      <c r="B865" t="s">
        <v>35</v>
      </c>
      <c r="C865">
        <v>3</v>
      </c>
      <c r="D865" t="s">
        <v>36</v>
      </c>
      <c r="E865">
        <v>4</v>
      </c>
      <c r="F865" t="s">
        <v>259</v>
      </c>
      <c r="G865">
        <v>4</v>
      </c>
      <c r="H865">
        <v>12</v>
      </c>
      <c r="I865">
        <v>3</v>
      </c>
      <c r="J865">
        <v>72</v>
      </c>
      <c r="K865">
        <v>61</v>
      </c>
      <c r="L865">
        <v>23</v>
      </c>
      <c r="M865">
        <v>1</v>
      </c>
      <c r="N865" t="s">
        <v>244</v>
      </c>
      <c r="O865" t="s">
        <v>151</v>
      </c>
      <c r="P865" t="s">
        <v>245</v>
      </c>
      <c r="Q865" t="s">
        <v>246</v>
      </c>
      <c r="R865" t="s">
        <v>154</v>
      </c>
      <c r="S865" t="s">
        <v>92</v>
      </c>
      <c r="T865" t="s">
        <v>62</v>
      </c>
      <c r="U865">
        <v>5</v>
      </c>
      <c r="V865" t="s">
        <v>68</v>
      </c>
      <c r="W865" t="s">
        <v>66</v>
      </c>
      <c r="X865" t="s">
        <v>81</v>
      </c>
      <c r="Y865">
        <v>2</v>
      </c>
      <c r="Z865">
        <v>2</v>
      </c>
      <c r="AA865">
        <v>44.1</v>
      </c>
      <c r="AB865">
        <v>-1</v>
      </c>
      <c r="AC865" t="s">
        <v>62</v>
      </c>
      <c r="AD865">
        <v>1</v>
      </c>
      <c r="AE865">
        <v>5</v>
      </c>
      <c r="AF865">
        <v>1</v>
      </c>
      <c r="AG865">
        <v>3.2610000000000001</v>
      </c>
      <c r="AH865">
        <v>1.7829999999999999</v>
      </c>
      <c r="AI865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9"/>
  <sheetViews>
    <sheetView tabSelected="1" topLeftCell="R1" zoomScale="80" zoomScaleNormal="80" workbookViewId="0">
      <selection activeCell="AQ21" sqref="AQ21"/>
    </sheetView>
  </sheetViews>
  <sheetFormatPr defaultRowHeight="15" x14ac:dyDescent="0.25"/>
  <cols>
    <col min="38" max="38" width="11.140625" customWidth="1"/>
    <col min="39" max="39" width="11.4257812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397</v>
      </c>
      <c r="AK1" t="s">
        <v>398</v>
      </c>
      <c r="AL1" t="s">
        <v>399</v>
      </c>
      <c r="AM1" t="s">
        <v>400</v>
      </c>
      <c r="AN1" t="s">
        <v>401</v>
      </c>
      <c r="AO1" t="s">
        <v>402</v>
      </c>
      <c r="AP1" s="14"/>
      <c r="AQ1" s="1"/>
      <c r="AR1" s="6"/>
    </row>
    <row r="2" spans="1:47" x14ac:dyDescent="0.25">
      <c r="A2">
        <v>259</v>
      </c>
      <c r="B2" t="s">
        <v>35</v>
      </c>
      <c r="C2">
        <v>3</v>
      </c>
      <c r="D2" t="s">
        <v>36</v>
      </c>
      <c r="E2">
        <v>4</v>
      </c>
      <c r="F2" t="s">
        <v>37</v>
      </c>
      <c r="G2">
        <v>9</v>
      </c>
      <c r="H2">
        <v>15</v>
      </c>
      <c r="I2">
        <v>1</v>
      </c>
      <c r="J2">
        <v>1</v>
      </c>
      <c r="K2">
        <v>5</v>
      </c>
      <c r="L2">
        <v>5</v>
      </c>
      <c r="M2">
        <v>1</v>
      </c>
      <c r="N2" t="s">
        <v>260</v>
      </c>
      <c r="O2" t="s">
        <v>39</v>
      </c>
      <c r="P2" t="s">
        <v>193</v>
      </c>
      <c r="Q2" t="s">
        <v>194</v>
      </c>
      <c r="R2" t="s">
        <v>58</v>
      </c>
      <c r="S2" t="s">
        <v>59</v>
      </c>
      <c r="T2" t="s">
        <v>261</v>
      </c>
      <c r="U2">
        <v>4</v>
      </c>
      <c r="V2" t="s">
        <v>262</v>
      </c>
      <c r="W2" t="s">
        <v>263</v>
      </c>
      <c r="X2" t="s">
        <v>264</v>
      </c>
      <c r="Y2">
        <v>2</v>
      </c>
      <c r="Z2">
        <v>2</v>
      </c>
      <c r="AA2">
        <v>44.1</v>
      </c>
      <c r="AB2">
        <v>1.29</v>
      </c>
      <c r="AC2" t="s">
        <v>263</v>
      </c>
      <c r="AD2">
        <v>4</v>
      </c>
      <c r="AE2">
        <v>1</v>
      </c>
      <c r="AF2">
        <v>0</v>
      </c>
      <c r="AG2">
        <v>2.0369999999999999</v>
      </c>
      <c r="AH2">
        <v>3.0339999999999998</v>
      </c>
      <c r="AI2">
        <v>1.282</v>
      </c>
      <c r="AJ2">
        <v>1.2749889999999999</v>
      </c>
      <c r="AL2">
        <f>IF(ISNUMBER(AK2), AK2, IF(AND(AK2="",AJ2=""),"",IF(AK2="",AJ2,"")))</f>
        <v>1.2749889999999999</v>
      </c>
      <c r="AM2">
        <f>VLOOKUP(TRIM(N2),'[1]All - Durations'!$E$2:$H$109,4,FALSE)</f>
        <v>1.083</v>
      </c>
      <c r="AN2">
        <f>AL2-AM2</f>
        <v>0.19198899999999997</v>
      </c>
      <c r="AO2">
        <f>IF(ISNUMBER(AN2), AN2, "")</f>
        <v>0.19198899999999997</v>
      </c>
    </row>
    <row r="3" spans="1:47" x14ac:dyDescent="0.25">
      <c r="A3">
        <v>259</v>
      </c>
      <c r="B3" t="s">
        <v>35</v>
      </c>
      <c r="C3">
        <v>3</v>
      </c>
      <c r="D3" t="s">
        <v>36</v>
      </c>
      <c r="E3">
        <v>4</v>
      </c>
      <c r="F3" t="s">
        <v>37</v>
      </c>
      <c r="G3">
        <v>9</v>
      </c>
      <c r="H3">
        <v>15</v>
      </c>
      <c r="I3">
        <v>1</v>
      </c>
      <c r="J3">
        <v>2</v>
      </c>
      <c r="K3">
        <v>2</v>
      </c>
      <c r="L3">
        <v>2</v>
      </c>
      <c r="M3">
        <v>1</v>
      </c>
      <c r="N3" t="s">
        <v>265</v>
      </c>
      <c r="O3" t="s">
        <v>39</v>
      </c>
      <c r="P3" t="s">
        <v>71</v>
      </c>
      <c r="Q3" t="s">
        <v>72</v>
      </c>
      <c r="R3" t="s">
        <v>42</v>
      </c>
      <c r="S3" t="s">
        <v>43</v>
      </c>
      <c r="T3" t="s">
        <v>266</v>
      </c>
      <c r="U3">
        <v>5</v>
      </c>
      <c r="V3" t="s">
        <v>267</v>
      </c>
      <c r="W3" t="s">
        <v>268</v>
      </c>
      <c r="X3" t="s">
        <v>269</v>
      </c>
      <c r="Y3">
        <v>1</v>
      </c>
      <c r="Z3">
        <v>2</v>
      </c>
      <c r="AA3">
        <v>44.1</v>
      </c>
      <c r="AB3">
        <v>1.0209999999999999</v>
      </c>
      <c r="AC3" t="s">
        <v>266</v>
      </c>
      <c r="AD3">
        <v>1</v>
      </c>
      <c r="AE3">
        <v>5</v>
      </c>
      <c r="AF3">
        <v>1</v>
      </c>
      <c r="AG3">
        <v>1.399</v>
      </c>
      <c r="AH3">
        <v>0.95</v>
      </c>
      <c r="AI3">
        <v>1.012</v>
      </c>
      <c r="AJ3">
        <v>0.95498899999999998</v>
      </c>
      <c r="AL3">
        <f t="shared" ref="AL3:AL37" si="0">IF(ISNUMBER(AK3), AK3, IF(AND(AK3="",AJ3=""),"",IF(AK3="",AJ3,"")))</f>
        <v>0.95498899999999998</v>
      </c>
      <c r="AM3">
        <f>VLOOKUP(TRIM(N3),'[1]All - Durations'!$E$2:$H$109,4,FALSE)</f>
        <v>0.91800000000000004</v>
      </c>
      <c r="AN3">
        <f t="shared" ref="AN3:AN37" si="1">AL3-AM3</f>
        <v>3.6988999999999939E-2</v>
      </c>
      <c r="AO3">
        <f t="shared" ref="AO3:AO39" si="2">IF(ISNUMBER(AN3), AN3, "")</f>
        <v>3.6988999999999939E-2</v>
      </c>
      <c r="AP3" s="18" t="s">
        <v>39</v>
      </c>
      <c r="AQ3" s="19"/>
      <c r="AR3" s="20" t="s">
        <v>335</v>
      </c>
      <c r="AS3" s="20" t="s">
        <v>336</v>
      </c>
      <c r="AT3" s="20" t="s">
        <v>337</v>
      </c>
    </row>
    <row r="4" spans="1:47" x14ac:dyDescent="0.25">
      <c r="A4">
        <v>259</v>
      </c>
      <c r="B4" t="s">
        <v>35</v>
      </c>
      <c r="C4">
        <v>3</v>
      </c>
      <c r="D4" t="s">
        <v>36</v>
      </c>
      <c r="E4">
        <v>4</v>
      </c>
      <c r="F4" t="s">
        <v>37</v>
      </c>
      <c r="G4">
        <v>9</v>
      </c>
      <c r="H4">
        <v>15</v>
      </c>
      <c r="I4">
        <v>1</v>
      </c>
      <c r="J4">
        <v>3</v>
      </c>
      <c r="K4">
        <v>11</v>
      </c>
      <c r="L4">
        <v>11</v>
      </c>
      <c r="M4">
        <v>1</v>
      </c>
      <c r="N4" t="s">
        <v>270</v>
      </c>
      <c r="O4" t="s">
        <v>39</v>
      </c>
      <c r="P4" t="s">
        <v>207</v>
      </c>
      <c r="Q4" t="s">
        <v>208</v>
      </c>
      <c r="R4" t="s">
        <v>58</v>
      </c>
      <c r="S4" t="s">
        <v>59</v>
      </c>
      <c r="T4" t="s">
        <v>271</v>
      </c>
      <c r="U4">
        <v>4</v>
      </c>
      <c r="V4" t="s">
        <v>262</v>
      </c>
      <c r="W4" t="s">
        <v>272</v>
      </c>
      <c r="X4" t="s">
        <v>273</v>
      </c>
      <c r="Y4">
        <v>2</v>
      </c>
      <c r="Z4">
        <v>2</v>
      </c>
      <c r="AA4">
        <v>44.1</v>
      </c>
      <c r="AB4">
        <v>0.93</v>
      </c>
      <c r="AC4" t="s">
        <v>271</v>
      </c>
      <c r="AD4">
        <v>1</v>
      </c>
      <c r="AE4">
        <v>4</v>
      </c>
      <c r="AF4">
        <v>1</v>
      </c>
      <c r="AG4">
        <v>2.323</v>
      </c>
      <c r="AH4">
        <v>0.38400000000000001</v>
      </c>
      <c r="AI4">
        <v>0.92300000000000004</v>
      </c>
      <c r="AJ4">
        <v>1.2249890000000001</v>
      </c>
      <c r="AL4">
        <f t="shared" si="0"/>
        <v>1.2249890000000001</v>
      </c>
      <c r="AM4">
        <f>VLOOKUP(TRIM(N4),'[1]All - Durations'!$E$2:$H$109,4,FALSE)</f>
        <v>0.88700000000000001</v>
      </c>
      <c r="AN4">
        <f t="shared" si="1"/>
        <v>0.33798900000000009</v>
      </c>
      <c r="AO4">
        <f t="shared" si="2"/>
        <v>0.33798900000000009</v>
      </c>
      <c r="AP4" s="18" t="s">
        <v>151</v>
      </c>
      <c r="AQ4" s="21" t="s">
        <v>334</v>
      </c>
      <c r="AR4" s="22">
        <f>SUMIF($O1:$O37,$AP$3,$AF1:$AF37)/12</f>
        <v>0.5</v>
      </c>
      <c r="AS4" s="22">
        <f>SUMIF($O1:$O37,$AP$4,$AF1:$AF37)/12</f>
        <v>0.5</v>
      </c>
      <c r="AT4" s="22">
        <f>SUMIF($O1:$O37,$AP$5,$AF1:$AF37)/12</f>
        <v>0.16666666666666666</v>
      </c>
    </row>
    <row r="5" spans="1:47" x14ac:dyDescent="0.25">
      <c r="A5">
        <v>259</v>
      </c>
      <c r="B5" t="s">
        <v>35</v>
      </c>
      <c r="C5">
        <v>3</v>
      </c>
      <c r="D5" t="s">
        <v>36</v>
      </c>
      <c r="E5">
        <v>4</v>
      </c>
      <c r="F5" t="s">
        <v>37</v>
      </c>
      <c r="G5">
        <v>9</v>
      </c>
      <c r="H5">
        <v>15</v>
      </c>
      <c r="I5">
        <v>1</v>
      </c>
      <c r="J5">
        <v>4</v>
      </c>
      <c r="K5">
        <v>3</v>
      </c>
      <c r="L5">
        <v>3</v>
      </c>
      <c r="M5">
        <v>1</v>
      </c>
      <c r="N5" t="s">
        <v>274</v>
      </c>
      <c r="O5" t="s">
        <v>39</v>
      </c>
      <c r="P5" t="s">
        <v>89</v>
      </c>
      <c r="Q5" t="s">
        <v>90</v>
      </c>
      <c r="R5" t="s">
        <v>58</v>
      </c>
      <c r="S5" t="s">
        <v>59</v>
      </c>
      <c r="T5" t="s">
        <v>262</v>
      </c>
      <c r="U5">
        <v>2</v>
      </c>
      <c r="V5" t="s">
        <v>275</v>
      </c>
      <c r="W5" t="s">
        <v>276</v>
      </c>
      <c r="X5" t="s">
        <v>277</v>
      </c>
      <c r="Y5">
        <v>1</v>
      </c>
      <c r="Z5">
        <v>2</v>
      </c>
      <c r="AA5">
        <v>44.1</v>
      </c>
      <c r="AB5">
        <v>1.0900000000000001</v>
      </c>
      <c r="AC5" t="s">
        <v>275</v>
      </c>
      <c r="AD5">
        <v>2</v>
      </c>
      <c r="AE5">
        <v>5</v>
      </c>
      <c r="AF5">
        <v>0</v>
      </c>
      <c r="AG5">
        <v>1.964</v>
      </c>
      <c r="AH5">
        <v>0.34899999999999998</v>
      </c>
      <c r="AI5">
        <v>1.099</v>
      </c>
      <c r="AJ5">
        <v>1.054989</v>
      </c>
      <c r="AL5">
        <f t="shared" si="0"/>
        <v>1.054989</v>
      </c>
      <c r="AM5">
        <f>VLOOKUP(TRIM(N5),'[1]All - Durations'!$E$2:$H$109,4,FALSE)</f>
        <v>0.94299999999999995</v>
      </c>
      <c r="AN5">
        <f t="shared" si="1"/>
        <v>0.11198900000000001</v>
      </c>
      <c r="AO5">
        <f t="shared" si="2"/>
        <v>0.11198900000000001</v>
      </c>
      <c r="AP5" s="18" t="s">
        <v>113</v>
      </c>
      <c r="AQ5" s="21" t="s">
        <v>360</v>
      </c>
      <c r="AR5" s="22">
        <f>AVERAGEIFS($AG1:$AG37,$O1:$O37,$AP$3,$AF1:$AF37,1)</f>
        <v>2.4138333333333333</v>
      </c>
      <c r="AS5" s="22">
        <f>AVERAGEIFS($AG1:$AG37,$O1:$O37,$AP$4,$AF1:$AF37,1)</f>
        <v>2.6890000000000001</v>
      </c>
      <c r="AT5" s="22">
        <f>AVERAGEIFS($AG1:$AG37,$O1:$O37,$AP$5,$AF1:$AF37,1)</f>
        <v>2.3330000000000002</v>
      </c>
    </row>
    <row r="6" spans="1:47" x14ac:dyDescent="0.25">
      <c r="A6">
        <v>259</v>
      </c>
      <c r="B6" t="s">
        <v>35</v>
      </c>
      <c r="C6">
        <v>3</v>
      </c>
      <c r="D6" t="s">
        <v>36</v>
      </c>
      <c r="E6">
        <v>4</v>
      </c>
      <c r="F6" t="s">
        <v>37</v>
      </c>
      <c r="G6">
        <v>9</v>
      </c>
      <c r="H6">
        <v>15</v>
      </c>
      <c r="I6">
        <v>1</v>
      </c>
      <c r="J6">
        <v>5</v>
      </c>
      <c r="K6">
        <v>8</v>
      </c>
      <c r="L6">
        <v>8</v>
      </c>
      <c r="M6">
        <v>1</v>
      </c>
      <c r="N6" t="s">
        <v>278</v>
      </c>
      <c r="O6" t="s">
        <v>39</v>
      </c>
      <c r="P6" t="s">
        <v>196</v>
      </c>
      <c r="Q6" t="s">
        <v>197</v>
      </c>
      <c r="R6" t="s">
        <v>51</v>
      </c>
      <c r="S6" t="s">
        <v>52</v>
      </c>
      <c r="T6" t="s">
        <v>279</v>
      </c>
      <c r="U6">
        <v>4</v>
      </c>
      <c r="V6" t="s">
        <v>280</v>
      </c>
      <c r="W6" t="s">
        <v>281</v>
      </c>
      <c r="X6" t="s">
        <v>282</v>
      </c>
      <c r="Y6">
        <v>2</v>
      </c>
      <c r="Z6">
        <v>2</v>
      </c>
      <c r="AA6">
        <v>44.1</v>
      </c>
      <c r="AB6">
        <v>1.1519999999999999</v>
      </c>
      <c r="AC6" t="s">
        <v>281</v>
      </c>
      <c r="AD6">
        <v>4</v>
      </c>
      <c r="AE6">
        <v>2</v>
      </c>
      <c r="AF6">
        <v>0</v>
      </c>
      <c r="AG6">
        <v>3.133</v>
      </c>
      <c r="AH6">
        <v>0.26700000000000002</v>
      </c>
      <c r="AI6">
        <v>1.147</v>
      </c>
      <c r="AJ6">
        <v>1.144989</v>
      </c>
      <c r="AL6">
        <f t="shared" si="0"/>
        <v>1.144989</v>
      </c>
      <c r="AM6">
        <f>VLOOKUP(TRIM(N6),'[1]All - Durations'!$E$2:$H$109,4,FALSE)</f>
        <v>1.022</v>
      </c>
      <c r="AN6">
        <f t="shared" si="1"/>
        <v>0.12298900000000001</v>
      </c>
      <c r="AO6">
        <f t="shared" si="2"/>
        <v>0.12298900000000001</v>
      </c>
      <c r="AP6" s="19"/>
      <c r="AQ6" s="21" t="s">
        <v>354</v>
      </c>
      <c r="AR6" s="22">
        <f>AVERAGEIF($O1:$O37,$AP$3,$AB1:$AB37)</f>
        <v>0.97991666666666666</v>
      </c>
      <c r="AS6" s="22">
        <f>AVERAGEIF($O1:$O37,$AP$4,$AB1:$AB37)</f>
        <v>0.91216666666666668</v>
      </c>
      <c r="AT6" s="22">
        <f>AVERAGEIF($O1:$O37,$AP$5,$AB1:$AB37)</f>
        <v>0.83083333333333342</v>
      </c>
    </row>
    <row r="7" spans="1:47" x14ac:dyDescent="0.25">
      <c r="A7">
        <v>259</v>
      </c>
      <c r="B7" t="s">
        <v>35</v>
      </c>
      <c r="C7">
        <v>3</v>
      </c>
      <c r="D7" t="s">
        <v>36</v>
      </c>
      <c r="E7">
        <v>4</v>
      </c>
      <c r="F7" t="s">
        <v>37</v>
      </c>
      <c r="G7">
        <v>9</v>
      </c>
      <c r="H7">
        <v>15</v>
      </c>
      <c r="I7">
        <v>1</v>
      </c>
      <c r="J7">
        <v>6</v>
      </c>
      <c r="K7">
        <v>6</v>
      </c>
      <c r="L7">
        <v>6</v>
      </c>
      <c r="M7">
        <v>1</v>
      </c>
      <c r="N7" t="s">
        <v>283</v>
      </c>
      <c r="O7" t="s">
        <v>39</v>
      </c>
      <c r="P7" t="s">
        <v>193</v>
      </c>
      <c r="Q7" t="s">
        <v>194</v>
      </c>
      <c r="R7" t="s">
        <v>91</v>
      </c>
      <c r="S7" t="s">
        <v>92</v>
      </c>
      <c r="T7" t="s">
        <v>284</v>
      </c>
      <c r="U7">
        <v>1</v>
      </c>
      <c r="V7" t="s">
        <v>261</v>
      </c>
      <c r="W7" t="s">
        <v>285</v>
      </c>
      <c r="X7" t="s">
        <v>286</v>
      </c>
      <c r="Y7">
        <v>1</v>
      </c>
      <c r="Z7">
        <v>2</v>
      </c>
      <c r="AA7">
        <v>44.1</v>
      </c>
      <c r="AB7">
        <v>0.95</v>
      </c>
      <c r="AC7" t="s">
        <v>286</v>
      </c>
      <c r="AD7">
        <v>4</v>
      </c>
      <c r="AE7">
        <v>5</v>
      </c>
      <c r="AF7">
        <v>0</v>
      </c>
      <c r="AG7">
        <v>1.637</v>
      </c>
      <c r="AH7">
        <v>0.33300000000000002</v>
      </c>
      <c r="AI7">
        <v>0.95</v>
      </c>
      <c r="AJ7">
        <v>0.94498899999999997</v>
      </c>
      <c r="AL7">
        <f t="shared" si="0"/>
        <v>0.94498899999999997</v>
      </c>
      <c r="AM7">
        <f>VLOOKUP(TRIM(N7),'[1]All - Durations'!$E$2:$H$109,4,FALSE)</f>
        <v>0.82099999999999995</v>
      </c>
      <c r="AN7">
        <f t="shared" si="1"/>
        <v>0.12398900000000002</v>
      </c>
      <c r="AO7">
        <f t="shared" si="2"/>
        <v>0.12398900000000002</v>
      </c>
      <c r="AP7" s="19"/>
      <c r="AQ7" s="19"/>
      <c r="AR7" s="19"/>
      <c r="AS7" s="19"/>
      <c r="AT7" s="19"/>
    </row>
    <row r="8" spans="1:47" x14ac:dyDescent="0.25">
      <c r="A8">
        <v>259</v>
      </c>
      <c r="B8" t="s">
        <v>35</v>
      </c>
      <c r="C8">
        <v>3</v>
      </c>
      <c r="D8" t="s">
        <v>36</v>
      </c>
      <c r="E8">
        <v>4</v>
      </c>
      <c r="F8" t="s">
        <v>37</v>
      </c>
      <c r="G8">
        <v>9</v>
      </c>
      <c r="H8">
        <v>15</v>
      </c>
      <c r="I8">
        <v>1</v>
      </c>
      <c r="J8">
        <v>7</v>
      </c>
      <c r="K8">
        <v>10</v>
      </c>
      <c r="L8">
        <v>10</v>
      </c>
      <c r="M8">
        <v>1</v>
      </c>
      <c r="N8" t="s">
        <v>287</v>
      </c>
      <c r="O8" t="s">
        <v>39</v>
      </c>
      <c r="P8" t="s">
        <v>202</v>
      </c>
      <c r="Q8" t="s">
        <v>203</v>
      </c>
      <c r="R8" t="s">
        <v>42</v>
      </c>
      <c r="S8" t="s">
        <v>43</v>
      </c>
      <c r="T8" t="s">
        <v>288</v>
      </c>
      <c r="U8">
        <v>1</v>
      </c>
      <c r="V8" t="s">
        <v>289</v>
      </c>
      <c r="W8" t="s">
        <v>290</v>
      </c>
      <c r="X8" t="s">
        <v>291</v>
      </c>
      <c r="Y8">
        <v>1</v>
      </c>
      <c r="Z8">
        <v>2</v>
      </c>
      <c r="AA8">
        <v>44.1</v>
      </c>
      <c r="AB8">
        <v>1.0389999999999999</v>
      </c>
      <c r="AC8" t="s">
        <v>288</v>
      </c>
      <c r="AD8">
        <v>1</v>
      </c>
      <c r="AE8">
        <v>1</v>
      </c>
      <c r="AF8">
        <v>1</v>
      </c>
      <c r="AG8">
        <v>2.948</v>
      </c>
      <c r="AH8">
        <v>0.29899999999999999</v>
      </c>
      <c r="AI8">
        <v>1.0369999999999999</v>
      </c>
      <c r="AJ8">
        <v>0.99498900000000001</v>
      </c>
      <c r="AL8">
        <f t="shared" si="0"/>
        <v>0.99498900000000001</v>
      </c>
      <c r="AM8">
        <f>VLOOKUP(TRIM(N8),'[1]All - Durations'!$E$2:$H$109,4,FALSE)</f>
        <v>0.89700000000000002</v>
      </c>
      <c r="AN8">
        <f t="shared" si="1"/>
        <v>9.7988999999999993E-2</v>
      </c>
      <c r="AO8">
        <f t="shared" si="2"/>
        <v>9.7988999999999993E-2</v>
      </c>
      <c r="AP8" s="19"/>
      <c r="AQ8" s="23" t="s">
        <v>332</v>
      </c>
      <c r="AR8" s="19"/>
      <c r="AS8" s="19"/>
      <c r="AT8" s="19"/>
    </row>
    <row r="9" spans="1:47" x14ac:dyDescent="0.25">
      <c r="A9">
        <v>259</v>
      </c>
      <c r="B9" t="s">
        <v>35</v>
      </c>
      <c r="C9">
        <v>3</v>
      </c>
      <c r="D9" t="s">
        <v>36</v>
      </c>
      <c r="E9">
        <v>4</v>
      </c>
      <c r="F9" t="s">
        <v>37</v>
      </c>
      <c r="G9">
        <v>9</v>
      </c>
      <c r="H9">
        <v>15</v>
      </c>
      <c r="I9">
        <v>1</v>
      </c>
      <c r="J9">
        <v>8</v>
      </c>
      <c r="K9">
        <v>1</v>
      </c>
      <c r="L9">
        <v>1</v>
      </c>
      <c r="M9">
        <v>1</v>
      </c>
      <c r="N9" t="s">
        <v>292</v>
      </c>
      <c r="O9" t="s">
        <v>39</v>
      </c>
      <c r="P9" t="s">
        <v>71</v>
      </c>
      <c r="Q9" t="s">
        <v>72</v>
      </c>
      <c r="R9" t="s">
        <v>51</v>
      </c>
      <c r="S9" t="s">
        <v>52</v>
      </c>
      <c r="T9" t="s">
        <v>267</v>
      </c>
      <c r="U9">
        <v>2</v>
      </c>
      <c r="V9" t="s">
        <v>280</v>
      </c>
      <c r="W9" t="s">
        <v>293</v>
      </c>
      <c r="X9" t="s">
        <v>294</v>
      </c>
      <c r="Y9">
        <v>2</v>
      </c>
      <c r="Z9">
        <v>2</v>
      </c>
      <c r="AA9">
        <v>44.1</v>
      </c>
      <c r="AB9">
        <v>1.133</v>
      </c>
      <c r="AC9" t="s">
        <v>267</v>
      </c>
      <c r="AD9">
        <v>1</v>
      </c>
      <c r="AE9">
        <v>2</v>
      </c>
      <c r="AF9">
        <v>1</v>
      </c>
      <c r="AG9">
        <v>2.37</v>
      </c>
      <c r="AH9">
        <v>0.75</v>
      </c>
      <c r="AI9">
        <v>1.1279999999999999</v>
      </c>
      <c r="AJ9">
        <v>1.114989</v>
      </c>
      <c r="AL9">
        <f t="shared" si="0"/>
        <v>1.114989</v>
      </c>
      <c r="AM9">
        <f>VLOOKUP(TRIM(N9),'[1]All - Durations'!$E$2:$H$109,4,FALSE)</f>
        <v>0.91500000000000004</v>
      </c>
      <c r="AN9">
        <f t="shared" si="1"/>
        <v>0.19998899999999997</v>
      </c>
      <c r="AO9">
        <f t="shared" si="2"/>
        <v>0.19998899999999997</v>
      </c>
      <c r="AP9" s="19"/>
      <c r="AQ9" s="19"/>
      <c r="AR9" s="21" t="s">
        <v>338</v>
      </c>
      <c r="AS9" s="21" t="s">
        <v>339</v>
      </c>
      <c r="AT9" t="s">
        <v>340</v>
      </c>
      <c r="AU9" s="21" t="s">
        <v>341</v>
      </c>
    </row>
    <row r="10" spans="1:47" x14ac:dyDescent="0.25">
      <c r="A10">
        <v>259</v>
      </c>
      <c r="B10" t="s">
        <v>35</v>
      </c>
      <c r="C10">
        <v>3</v>
      </c>
      <c r="D10" t="s">
        <v>36</v>
      </c>
      <c r="E10">
        <v>4</v>
      </c>
      <c r="F10" t="s">
        <v>37</v>
      </c>
      <c r="G10">
        <v>9</v>
      </c>
      <c r="H10">
        <v>15</v>
      </c>
      <c r="I10">
        <v>1</v>
      </c>
      <c r="J10">
        <v>9</v>
      </c>
      <c r="K10">
        <v>9</v>
      </c>
      <c r="L10">
        <v>9</v>
      </c>
      <c r="M10">
        <v>1</v>
      </c>
      <c r="N10" t="s">
        <v>295</v>
      </c>
      <c r="O10" t="s">
        <v>39</v>
      </c>
      <c r="P10" t="s">
        <v>202</v>
      </c>
      <c r="Q10" t="s">
        <v>203</v>
      </c>
      <c r="R10" t="s">
        <v>91</v>
      </c>
      <c r="S10" t="s">
        <v>92</v>
      </c>
      <c r="T10" t="s">
        <v>289</v>
      </c>
      <c r="U10">
        <v>4</v>
      </c>
      <c r="V10" t="s">
        <v>284</v>
      </c>
      <c r="W10" t="s">
        <v>296</v>
      </c>
      <c r="X10" t="s">
        <v>297</v>
      </c>
      <c r="Y10">
        <v>2</v>
      </c>
      <c r="Z10">
        <v>2</v>
      </c>
      <c r="AA10">
        <v>44.1</v>
      </c>
      <c r="AB10">
        <v>1.161</v>
      </c>
      <c r="AC10" t="s">
        <v>289</v>
      </c>
      <c r="AD10">
        <v>1</v>
      </c>
      <c r="AE10">
        <v>4</v>
      </c>
      <c r="AF10">
        <v>1</v>
      </c>
      <c r="AG10">
        <v>2.4860000000000002</v>
      </c>
      <c r="AH10">
        <v>0.61699999999999999</v>
      </c>
      <c r="AI10">
        <v>1.1559999999999999</v>
      </c>
      <c r="AJ10">
        <v>0.99498900000000001</v>
      </c>
      <c r="AL10">
        <f t="shared" si="0"/>
        <v>0.99498900000000001</v>
      </c>
      <c r="AM10">
        <f>VLOOKUP(TRIM(N10),'[1]All - Durations'!$E$2:$H$109,4,FALSE)</f>
        <v>0.92500000000000004</v>
      </c>
      <c r="AN10">
        <f t="shared" si="1"/>
        <v>6.9988999999999968E-2</v>
      </c>
      <c r="AO10">
        <f t="shared" si="2"/>
        <v>6.9988999999999968E-2</v>
      </c>
      <c r="AP10" s="19"/>
      <c r="AQ10" s="24" t="s">
        <v>335</v>
      </c>
      <c r="AR10" s="22">
        <f>COUNTIFS($O1:$O37,$AP$3,$Y1:$Y37,1,$AF1:$AF37,1)/6</f>
        <v>0.33333333333333331</v>
      </c>
      <c r="AS10" s="22">
        <f>COUNTIFS($O1:$O37,$AP$3,$AD1:$AD37,2)/6</f>
        <v>0.33333333333333331</v>
      </c>
      <c r="AT10" s="22">
        <f>(1-AU10)/2</f>
        <v>0.16666666666666669</v>
      </c>
      <c r="AU10" s="25">
        <f>SUM(AR10,AS10)</f>
        <v>0.66666666666666663</v>
      </c>
    </row>
    <row r="11" spans="1:47" x14ac:dyDescent="0.25">
      <c r="A11">
        <v>259</v>
      </c>
      <c r="B11" t="s">
        <v>35</v>
      </c>
      <c r="C11">
        <v>3</v>
      </c>
      <c r="D11" t="s">
        <v>36</v>
      </c>
      <c r="E11">
        <v>4</v>
      </c>
      <c r="F11" t="s">
        <v>37</v>
      </c>
      <c r="G11">
        <v>9</v>
      </c>
      <c r="H11">
        <v>15</v>
      </c>
      <c r="I11">
        <v>1</v>
      </c>
      <c r="J11">
        <v>10</v>
      </c>
      <c r="K11">
        <v>12</v>
      </c>
      <c r="L11">
        <v>12</v>
      </c>
      <c r="M11">
        <v>1</v>
      </c>
      <c r="N11" t="s">
        <v>298</v>
      </c>
      <c r="O11" t="s">
        <v>39</v>
      </c>
      <c r="P11" t="s">
        <v>207</v>
      </c>
      <c r="Q11" t="s">
        <v>208</v>
      </c>
      <c r="R11" t="s">
        <v>51</v>
      </c>
      <c r="S11" t="s">
        <v>52</v>
      </c>
      <c r="T11" t="s">
        <v>280</v>
      </c>
      <c r="U11">
        <v>1</v>
      </c>
      <c r="V11" t="s">
        <v>271</v>
      </c>
      <c r="W11" t="s">
        <v>268</v>
      </c>
      <c r="X11" t="s">
        <v>299</v>
      </c>
      <c r="Y11">
        <v>1</v>
      </c>
      <c r="Z11">
        <v>2</v>
      </c>
      <c r="AA11">
        <v>44.1</v>
      </c>
      <c r="AB11">
        <v>1.1919999999999999</v>
      </c>
      <c r="AC11" t="s">
        <v>299</v>
      </c>
      <c r="AD11">
        <v>4</v>
      </c>
      <c r="AE11">
        <v>5</v>
      </c>
      <c r="AF11">
        <v>0</v>
      </c>
      <c r="AG11">
        <v>2.7650000000000001</v>
      </c>
      <c r="AH11">
        <v>0.44900000000000001</v>
      </c>
      <c r="AI11">
        <v>1.1990000000000001</v>
      </c>
      <c r="AJ11">
        <v>1.1949890000000001</v>
      </c>
      <c r="AL11">
        <f t="shared" si="0"/>
        <v>1.1949890000000001</v>
      </c>
      <c r="AM11">
        <f>VLOOKUP(TRIM(N11),'[1]All - Durations'!$E$2:$H$109,4,FALSE)</f>
        <v>0.92900000000000005</v>
      </c>
      <c r="AN11">
        <f t="shared" si="1"/>
        <v>0.26598900000000003</v>
      </c>
      <c r="AO11">
        <f t="shared" si="2"/>
        <v>0.26598900000000003</v>
      </c>
      <c r="AP11" s="19"/>
      <c r="AQ11" s="24" t="s">
        <v>336</v>
      </c>
      <c r="AR11" s="22">
        <f>COUNTIFS($O1:$O37,$AP$4,$Y1:$Y37,1,$AF1:$AF37,1)/6</f>
        <v>0.33333333333333331</v>
      </c>
      <c r="AS11" s="22">
        <f>COUNTIFS($O1:$O37,$AP$4,$AD1:$AD37,2)/6</f>
        <v>0.66666666666666663</v>
      </c>
      <c r="AT11" s="22">
        <f>(1-AU11)/2</f>
        <v>0</v>
      </c>
      <c r="AU11" s="25">
        <f>SUM(AR11,AS11)</f>
        <v>1</v>
      </c>
    </row>
    <row r="12" spans="1:47" x14ac:dyDescent="0.25">
      <c r="A12">
        <v>259</v>
      </c>
      <c r="B12" t="s">
        <v>35</v>
      </c>
      <c r="C12">
        <v>3</v>
      </c>
      <c r="D12" t="s">
        <v>36</v>
      </c>
      <c r="E12">
        <v>4</v>
      </c>
      <c r="F12" t="s">
        <v>37</v>
      </c>
      <c r="G12">
        <v>9</v>
      </c>
      <c r="H12">
        <v>15</v>
      </c>
      <c r="I12">
        <v>1</v>
      </c>
      <c r="J12">
        <v>11</v>
      </c>
      <c r="K12">
        <v>7</v>
      </c>
      <c r="L12">
        <v>7</v>
      </c>
      <c r="M12">
        <v>1</v>
      </c>
      <c r="N12" t="s">
        <v>300</v>
      </c>
      <c r="O12" t="s">
        <v>39</v>
      </c>
      <c r="P12" t="s">
        <v>196</v>
      </c>
      <c r="Q12" t="s">
        <v>197</v>
      </c>
      <c r="R12" t="s">
        <v>91</v>
      </c>
      <c r="S12" t="s">
        <v>92</v>
      </c>
      <c r="T12" t="s">
        <v>301</v>
      </c>
      <c r="U12">
        <v>5</v>
      </c>
      <c r="V12" t="s">
        <v>279</v>
      </c>
      <c r="W12" t="s">
        <v>302</v>
      </c>
      <c r="X12" t="s">
        <v>303</v>
      </c>
      <c r="Y12">
        <v>1</v>
      </c>
      <c r="Z12">
        <v>2</v>
      </c>
      <c r="AA12">
        <v>44.1</v>
      </c>
      <c r="AB12">
        <v>0.67100000000000004</v>
      </c>
      <c r="AC12" t="s">
        <v>279</v>
      </c>
      <c r="AD12">
        <v>2</v>
      </c>
      <c r="AE12">
        <v>4</v>
      </c>
      <c r="AF12">
        <v>0</v>
      </c>
      <c r="AG12">
        <v>2.6480000000000001</v>
      </c>
      <c r="AH12">
        <v>0.217</v>
      </c>
      <c r="AI12">
        <v>0.66500000000000004</v>
      </c>
      <c r="AJ12">
        <v>1.094989</v>
      </c>
      <c r="AL12">
        <f t="shared" si="0"/>
        <v>1.094989</v>
      </c>
      <c r="AM12">
        <f>VLOOKUP(TRIM(N12),'[1]All - Durations'!$E$2:$H$109,4,FALSE)</f>
        <v>0.94099999999999995</v>
      </c>
      <c r="AN12">
        <f t="shared" si="1"/>
        <v>0.15398900000000004</v>
      </c>
      <c r="AO12">
        <f t="shared" si="2"/>
        <v>0.15398900000000004</v>
      </c>
      <c r="AP12" s="19"/>
      <c r="AQ12" s="24" t="s">
        <v>337</v>
      </c>
      <c r="AR12" s="22">
        <f>COUNTIFS($O1:$O37,$AP$5,$Y1:$Y37,1,$AF1:$AF37,1)/6</f>
        <v>0.16666666666666666</v>
      </c>
      <c r="AS12" s="22">
        <f>COUNTIFS($O1:$O37,$AP$5,$AD1:$AD37,2)/6</f>
        <v>0.5</v>
      </c>
      <c r="AT12" s="22">
        <f>(1-AU12)/2</f>
        <v>0.16666666666666669</v>
      </c>
      <c r="AU12" s="25">
        <f>SUM(AR12,AS12)</f>
        <v>0.66666666666666663</v>
      </c>
    </row>
    <row r="13" spans="1:47" x14ac:dyDescent="0.25">
      <c r="A13">
        <v>259</v>
      </c>
      <c r="B13" t="s">
        <v>35</v>
      </c>
      <c r="C13">
        <v>3</v>
      </c>
      <c r="D13" t="s">
        <v>36</v>
      </c>
      <c r="E13">
        <v>4</v>
      </c>
      <c r="F13" t="s">
        <v>37</v>
      </c>
      <c r="G13">
        <v>9</v>
      </c>
      <c r="H13">
        <v>15</v>
      </c>
      <c r="I13">
        <v>1</v>
      </c>
      <c r="J13">
        <v>12</v>
      </c>
      <c r="K13">
        <v>4</v>
      </c>
      <c r="L13">
        <v>4</v>
      </c>
      <c r="M13">
        <v>1</v>
      </c>
      <c r="N13" t="s">
        <v>304</v>
      </c>
      <c r="O13" t="s">
        <v>39</v>
      </c>
      <c r="P13" t="s">
        <v>89</v>
      </c>
      <c r="Q13" t="s">
        <v>90</v>
      </c>
      <c r="R13" t="s">
        <v>42</v>
      </c>
      <c r="S13" t="s">
        <v>43</v>
      </c>
      <c r="T13" t="s">
        <v>275</v>
      </c>
      <c r="U13">
        <v>5</v>
      </c>
      <c r="V13" t="s">
        <v>288</v>
      </c>
      <c r="W13" t="s">
        <v>305</v>
      </c>
      <c r="X13" t="s">
        <v>303</v>
      </c>
      <c r="Y13">
        <v>2</v>
      </c>
      <c r="Z13">
        <v>2</v>
      </c>
      <c r="AA13">
        <v>44.1</v>
      </c>
      <c r="AB13">
        <v>0.13</v>
      </c>
      <c r="AC13" t="s">
        <v>275</v>
      </c>
      <c r="AD13">
        <v>1</v>
      </c>
      <c r="AE13">
        <v>5</v>
      </c>
      <c r="AF13">
        <v>1</v>
      </c>
      <c r="AG13">
        <v>2.9569999999999999</v>
      </c>
      <c r="AH13">
        <v>0.25</v>
      </c>
      <c r="AI13">
        <v>0.13900000000000001</v>
      </c>
      <c r="AJ13">
        <v>1.1649890000000001</v>
      </c>
      <c r="AL13">
        <f t="shared" si="0"/>
        <v>1.1649890000000001</v>
      </c>
      <c r="AM13">
        <f>VLOOKUP(TRIM(N13),'[1]All - Durations'!$E$2:$H$109,4,FALSE)</f>
        <v>0.92900000000000005</v>
      </c>
      <c r="AN13">
        <f t="shared" si="1"/>
        <v>0.235989</v>
      </c>
      <c r="AO13">
        <f t="shared" si="2"/>
        <v>0.235989</v>
      </c>
      <c r="AP13" s="19"/>
      <c r="AQ13" s="19"/>
      <c r="AR13" s="19"/>
      <c r="AS13" s="19"/>
      <c r="AT13" s="19"/>
    </row>
    <row r="14" spans="1:47" x14ac:dyDescent="0.25">
      <c r="A14">
        <v>259</v>
      </c>
      <c r="B14" t="s">
        <v>35</v>
      </c>
      <c r="C14">
        <v>3</v>
      </c>
      <c r="D14" t="s">
        <v>36</v>
      </c>
      <c r="E14">
        <v>4</v>
      </c>
      <c r="F14" t="s">
        <v>37</v>
      </c>
      <c r="G14">
        <v>9</v>
      </c>
      <c r="H14">
        <v>15</v>
      </c>
      <c r="I14">
        <v>1</v>
      </c>
      <c r="J14">
        <v>13</v>
      </c>
      <c r="K14">
        <v>19</v>
      </c>
      <c r="L14">
        <v>31</v>
      </c>
      <c r="M14">
        <v>1</v>
      </c>
      <c r="N14" t="s">
        <v>306</v>
      </c>
      <c r="O14" t="s">
        <v>113</v>
      </c>
      <c r="P14" t="s">
        <v>114</v>
      </c>
      <c r="Q14" t="s">
        <v>231</v>
      </c>
      <c r="R14" t="s">
        <v>114</v>
      </c>
      <c r="S14" t="s">
        <v>92</v>
      </c>
      <c r="T14" t="s">
        <v>276</v>
      </c>
      <c r="U14">
        <v>5</v>
      </c>
      <c r="V14" t="s">
        <v>272</v>
      </c>
      <c r="W14" t="s">
        <v>307</v>
      </c>
      <c r="X14" t="s">
        <v>266</v>
      </c>
      <c r="Y14">
        <v>1</v>
      </c>
      <c r="Z14">
        <v>2</v>
      </c>
      <c r="AA14">
        <v>44.1</v>
      </c>
      <c r="AB14">
        <v>0.122</v>
      </c>
      <c r="AC14" t="s">
        <v>272</v>
      </c>
      <c r="AD14">
        <v>2</v>
      </c>
      <c r="AE14">
        <v>1</v>
      </c>
      <c r="AF14">
        <v>0</v>
      </c>
      <c r="AG14">
        <v>3.6379999999999999</v>
      </c>
      <c r="AH14">
        <v>0.26600000000000001</v>
      </c>
      <c r="AI14">
        <v>0.114</v>
      </c>
      <c r="AJ14">
        <v>1.144989</v>
      </c>
      <c r="AL14">
        <f t="shared" si="0"/>
        <v>1.144989</v>
      </c>
      <c r="AM14">
        <f>VLOOKUP(TRIM(N14),'[1]All - Durations'!$E$2:$H$109,4,FALSE)</f>
        <v>0.82199999999999995</v>
      </c>
      <c r="AN14">
        <f t="shared" si="1"/>
        <v>0.32298900000000008</v>
      </c>
      <c r="AO14">
        <f t="shared" si="2"/>
        <v>0.32298900000000008</v>
      </c>
      <c r="AP14" s="19"/>
      <c r="AQ14" s="23" t="s">
        <v>333</v>
      </c>
      <c r="AR14" s="19"/>
      <c r="AS14" s="19"/>
      <c r="AT14" s="19"/>
    </row>
    <row r="15" spans="1:47" x14ac:dyDescent="0.25">
      <c r="A15">
        <v>259</v>
      </c>
      <c r="B15" t="s">
        <v>35</v>
      </c>
      <c r="C15">
        <v>3</v>
      </c>
      <c r="D15" t="s">
        <v>36</v>
      </c>
      <c r="E15">
        <v>4</v>
      </c>
      <c r="F15" t="s">
        <v>37</v>
      </c>
      <c r="G15">
        <v>9</v>
      </c>
      <c r="H15">
        <v>15</v>
      </c>
      <c r="I15">
        <v>1</v>
      </c>
      <c r="J15">
        <v>14</v>
      </c>
      <c r="K15">
        <v>24</v>
      </c>
      <c r="L15">
        <v>36</v>
      </c>
      <c r="M15">
        <v>1</v>
      </c>
      <c r="N15" t="s">
        <v>308</v>
      </c>
      <c r="O15" t="s">
        <v>113</v>
      </c>
      <c r="P15" t="s">
        <v>114</v>
      </c>
      <c r="Q15" t="s">
        <v>220</v>
      </c>
      <c r="R15" t="s">
        <v>114</v>
      </c>
      <c r="S15" t="s">
        <v>52</v>
      </c>
      <c r="T15" t="s">
        <v>296</v>
      </c>
      <c r="U15">
        <v>4</v>
      </c>
      <c r="V15" t="s">
        <v>285</v>
      </c>
      <c r="W15" t="s">
        <v>286</v>
      </c>
      <c r="X15" t="s">
        <v>266</v>
      </c>
      <c r="Y15">
        <v>2</v>
      </c>
      <c r="Z15">
        <v>2</v>
      </c>
      <c r="AA15">
        <v>44.1</v>
      </c>
      <c r="AB15">
        <v>0.122</v>
      </c>
      <c r="AC15" t="s">
        <v>286</v>
      </c>
      <c r="AD15">
        <v>4</v>
      </c>
      <c r="AE15">
        <v>2</v>
      </c>
      <c r="AF15">
        <v>0</v>
      </c>
      <c r="AG15">
        <v>3.323</v>
      </c>
      <c r="AH15">
        <v>0.26700000000000002</v>
      </c>
      <c r="AI15">
        <v>0.11600000000000001</v>
      </c>
      <c r="AJ15">
        <v>0.90498900000000004</v>
      </c>
      <c r="AL15">
        <f t="shared" si="0"/>
        <v>0.90498900000000004</v>
      </c>
      <c r="AM15">
        <f>VLOOKUP(TRIM(N15),'[1]All - Durations'!$E$2:$H$109,4,FALSE)</f>
        <v>0.92200000000000004</v>
      </c>
      <c r="AN15">
        <f t="shared" si="1"/>
        <v>-1.7010999999999998E-2</v>
      </c>
      <c r="AO15">
        <f t="shared" si="2"/>
        <v>-1.7010999999999998E-2</v>
      </c>
      <c r="AP15" s="19"/>
      <c r="AQ15" s="19"/>
      <c r="AR15" s="21" t="s">
        <v>342</v>
      </c>
      <c r="AS15" s="21" t="s">
        <v>343</v>
      </c>
      <c r="AT15" t="s">
        <v>340</v>
      </c>
      <c r="AU15" s="21" t="s">
        <v>344</v>
      </c>
    </row>
    <row r="16" spans="1:47" x14ac:dyDescent="0.25">
      <c r="A16">
        <v>259</v>
      </c>
      <c r="B16" t="s">
        <v>35</v>
      </c>
      <c r="C16">
        <v>3</v>
      </c>
      <c r="D16" t="s">
        <v>36</v>
      </c>
      <c r="E16">
        <v>4</v>
      </c>
      <c r="F16" t="s">
        <v>37</v>
      </c>
      <c r="G16">
        <v>9</v>
      </c>
      <c r="H16">
        <v>15</v>
      </c>
      <c r="I16">
        <v>1</v>
      </c>
      <c r="J16">
        <v>15</v>
      </c>
      <c r="K16">
        <v>20</v>
      </c>
      <c r="L16">
        <v>32</v>
      </c>
      <c r="M16">
        <v>1</v>
      </c>
      <c r="N16" t="s">
        <v>309</v>
      </c>
      <c r="O16" t="s">
        <v>113</v>
      </c>
      <c r="P16" t="s">
        <v>114</v>
      </c>
      <c r="Q16" t="s">
        <v>231</v>
      </c>
      <c r="R16" t="s">
        <v>114</v>
      </c>
      <c r="S16" t="s">
        <v>52</v>
      </c>
      <c r="T16" t="s">
        <v>272</v>
      </c>
      <c r="U16">
        <v>1</v>
      </c>
      <c r="V16" t="s">
        <v>285</v>
      </c>
      <c r="W16" t="s">
        <v>269</v>
      </c>
      <c r="X16" t="s">
        <v>288</v>
      </c>
      <c r="Y16">
        <v>2</v>
      </c>
      <c r="Z16">
        <v>2</v>
      </c>
      <c r="AA16">
        <v>44.1</v>
      </c>
      <c r="AB16">
        <v>1.212</v>
      </c>
      <c r="AC16" t="s">
        <v>285</v>
      </c>
      <c r="AD16">
        <v>3</v>
      </c>
      <c r="AE16">
        <v>5</v>
      </c>
      <c r="AF16">
        <v>0</v>
      </c>
      <c r="AG16">
        <v>2.2599999999999998</v>
      </c>
      <c r="AH16">
        <v>0.76700000000000002</v>
      </c>
      <c r="AI16">
        <v>1.202</v>
      </c>
      <c r="AJ16">
        <v>1.134989</v>
      </c>
      <c r="AL16">
        <f t="shared" si="0"/>
        <v>1.134989</v>
      </c>
      <c r="AM16">
        <f>VLOOKUP(TRIM(N16),'[1]All - Durations'!$E$2:$H$109,4,FALSE)</f>
        <v>1.0669999999999999</v>
      </c>
      <c r="AN16">
        <f t="shared" si="1"/>
        <v>6.7989000000000077E-2</v>
      </c>
      <c r="AO16">
        <f t="shared" si="2"/>
        <v>6.7989000000000077E-2</v>
      </c>
      <c r="AP16" s="19"/>
      <c r="AQ16" s="24" t="s">
        <v>335</v>
      </c>
      <c r="AR16" s="22">
        <f>COUNTIFS($O1:$O37,$AP$3,$Y1:$Y37,2,$AF1:$AF37,1)/6</f>
        <v>0.66666666666666663</v>
      </c>
      <c r="AS16" s="22">
        <f>COUNTIFS($O1:$O37,$AP$3,$AD1:$AD37,3)/6</f>
        <v>0</v>
      </c>
      <c r="AT16" s="22">
        <f>(1-AU16)/2</f>
        <v>0.16666666666666669</v>
      </c>
      <c r="AU16" s="25">
        <f>SUM(AR16,AS16)</f>
        <v>0.66666666666666663</v>
      </c>
    </row>
    <row r="17" spans="1:53" x14ac:dyDescent="0.25">
      <c r="A17">
        <v>259</v>
      </c>
      <c r="B17" t="s">
        <v>35</v>
      </c>
      <c r="C17">
        <v>3</v>
      </c>
      <c r="D17" t="s">
        <v>36</v>
      </c>
      <c r="E17">
        <v>4</v>
      </c>
      <c r="F17" t="s">
        <v>37</v>
      </c>
      <c r="G17">
        <v>9</v>
      </c>
      <c r="H17">
        <v>15</v>
      </c>
      <c r="I17">
        <v>1</v>
      </c>
      <c r="J17">
        <v>16</v>
      </c>
      <c r="K17">
        <v>22</v>
      </c>
      <c r="L17">
        <v>34</v>
      </c>
      <c r="M17">
        <v>1</v>
      </c>
      <c r="N17" t="s">
        <v>310</v>
      </c>
      <c r="O17" t="s">
        <v>113</v>
      </c>
      <c r="P17" t="s">
        <v>114</v>
      </c>
      <c r="Q17" t="s">
        <v>224</v>
      </c>
      <c r="R17" t="s">
        <v>114</v>
      </c>
      <c r="S17" t="s">
        <v>43</v>
      </c>
      <c r="T17" t="s">
        <v>311</v>
      </c>
      <c r="U17">
        <v>4</v>
      </c>
      <c r="V17" t="s">
        <v>305</v>
      </c>
      <c r="W17" t="s">
        <v>303</v>
      </c>
      <c r="X17" t="s">
        <v>271</v>
      </c>
      <c r="Y17">
        <v>1</v>
      </c>
      <c r="Z17">
        <v>2</v>
      </c>
      <c r="AA17">
        <v>44.1</v>
      </c>
      <c r="AB17">
        <v>1.2010000000000001</v>
      </c>
      <c r="AC17" t="s">
        <v>311</v>
      </c>
      <c r="AD17">
        <v>1</v>
      </c>
      <c r="AE17">
        <v>4</v>
      </c>
      <c r="AF17">
        <v>1</v>
      </c>
      <c r="AG17">
        <v>2.101</v>
      </c>
      <c r="AH17">
        <v>0.38300000000000001</v>
      </c>
      <c r="AI17">
        <v>1.206</v>
      </c>
      <c r="AJ17">
        <v>0.984989</v>
      </c>
      <c r="AL17">
        <f t="shared" si="0"/>
        <v>0.984989</v>
      </c>
      <c r="AM17">
        <f>VLOOKUP(TRIM(N17),'[1]All - Durations'!$E$2:$H$109,4,FALSE)</f>
        <v>1.069</v>
      </c>
      <c r="AN17">
        <f t="shared" si="1"/>
        <v>-8.4010999999999947E-2</v>
      </c>
      <c r="AO17">
        <f t="shared" si="2"/>
        <v>-8.4010999999999947E-2</v>
      </c>
      <c r="AP17" s="19"/>
      <c r="AQ17" s="24" t="s">
        <v>336</v>
      </c>
      <c r="AR17" s="22">
        <f>COUNTIFS($O1:$O37,$AP$4,$Y1:$Y37,2,$AF1:$AF37,1)/6</f>
        <v>0.66666666666666663</v>
      </c>
      <c r="AS17" s="22">
        <f>COUNTIFS($O1:$O37,$AP$4,$AD1:$AD37,3)/6</f>
        <v>0</v>
      </c>
      <c r="AT17" s="22">
        <f>(1-AU17)/2</f>
        <v>0.16666666666666669</v>
      </c>
      <c r="AU17" s="25">
        <f>SUM(AR17,AS17)</f>
        <v>0.66666666666666663</v>
      </c>
    </row>
    <row r="18" spans="1:53" x14ac:dyDescent="0.25">
      <c r="A18">
        <v>259</v>
      </c>
      <c r="B18" t="s">
        <v>35</v>
      </c>
      <c r="C18">
        <v>3</v>
      </c>
      <c r="D18" t="s">
        <v>36</v>
      </c>
      <c r="E18">
        <v>4</v>
      </c>
      <c r="F18" t="s">
        <v>37</v>
      </c>
      <c r="G18">
        <v>9</v>
      </c>
      <c r="H18">
        <v>15</v>
      </c>
      <c r="I18">
        <v>1</v>
      </c>
      <c r="J18">
        <v>17</v>
      </c>
      <c r="K18">
        <v>17</v>
      </c>
      <c r="L18">
        <v>29</v>
      </c>
      <c r="M18">
        <v>1</v>
      </c>
      <c r="N18" t="s">
        <v>312</v>
      </c>
      <c r="O18" t="s">
        <v>113</v>
      </c>
      <c r="P18" t="s">
        <v>114</v>
      </c>
      <c r="Q18" t="s">
        <v>218</v>
      </c>
      <c r="R18" t="s">
        <v>114</v>
      </c>
      <c r="S18" t="s">
        <v>59</v>
      </c>
      <c r="T18" t="s">
        <v>281</v>
      </c>
      <c r="U18">
        <v>4</v>
      </c>
      <c r="V18" t="s">
        <v>290</v>
      </c>
      <c r="W18" t="s">
        <v>291</v>
      </c>
      <c r="X18" t="s">
        <v>280</v>
      </c>
      <c r="Y18">
        <v>2</v>
      </c>
      <c r="Z18">
        <v>2</v>
      </c>
      <c r="AA18">
        <v>44.1</v>
      </c>
      <c r="AB18">
        <v>1.181</v>
      </c>
      <c r="AC18" t="s">
        <v>290</v>
      </c>
      <c r="AD18">
        <v>3</v>
      </c>
      <c r="AE18">
        <v>5</v>
      </c>
      <c r="AF18">
        <v>0</v>
      </c>
      <c r="AG18">
        <v>2.9430000000000001</v>
      </c>
      <c r="AH18">
        <v>0.45</v>
      </c>
      <c r="AI18">
        <v>1.17</v>
      </c>
      <c r="AJ18">
        <v>1.154989</v>
      </c>
      <c r="AL18">
        <f t="shared" si="0"/>
        <v>1.154989</v>
      </c>
      <c r="AM18">
        <f>VLOOKUP(TRIM(N18),'[1]All - Durations'!$E$2:$H$109,4,FALSE)</f>
        <v>1.0029999999999999</v>
      </c>
      <c r="AN18">
        <f t="shared" si="1"/>
        <v>0.15198900000000015</v>
      </c>
      <c r="AO18">
        <f t="shared" si="2"/>
        <v>0.15198900000000015</v>
      </c>
      <c r="AP18" s="19"/>
      <c r="AQ18" s="24" t="s">
        <v>337</v>
      </c>
      <c r="AR18" s="22">
        <f>COUNTIFS($O1:$O37,$AP$5,$Y1:$Y37,2,$AF1:$AF37,1)/6</f>
        <v>0.16666666666666666</v>
      </c>
      <c r="AS18" s="22">
        <f>COUNTIFS($O1:$O37,$AP$5,$AD1:$AD37,3)/6</f>
        <v>0.5</v>
      </c>
      <c r="AT18" s="22">
        <f>(1-AU18)/2</f>
        <v>0.16666666666666669</v>
      </c>
      <c r="AU18" s="25">
        <f>SUM(AR18,AS18)</f>
        <v>0.66666666666666663</v>
      </c>
    </row>
    <row r="19" spans="1:53" x14ac:dyDescent="0.25">
      <c r="A19">
        <v>259</v>
      </c>
      <c r="B19" t="s">
        <v>35</v>
      </c>
      <c r="C19">
        <v>3</v>
      </c>
      <c r="D19" t="s">
        <v>36</v>
      </c>
      <c r="E19">
        <v>4</v>
      </c>
      <c r="F19" t="s">
        <v>37</v>
      </c>
      <c r="G19">
        <v>9</v>
      </c>
      <c r="H19">
        <v>15</v>
      </c>
      <c r="I19">
        <v>1</v>
      </c>
      <c r="J19">
        <v>18</v>
      </c>
      <c r="K19">
        <v>13</v>
      </c>
      <c r="L19">
        <v>25</v>
      </c>
      <c r="M19">
        <v>1</v>
      </c>
      <c r="N19" t="s">
        <v>313</v>
      </c>
      <c r="O19" t="s">
        <v>113</v>
      </c>
      <c r="P19" t="s">
        <v>114</v>
      </c>
      <c r="Q19" t="s">
        <v>123</v>
      </c>
      <c r="R19" t="s">
        <v>114</v>
      </c>
      <c r="S19" t="s">
        <v>52</v>
      </c>
      <c r="T19" t="s">
        <v>285</v>
      </c>
      <c r="U19">
        <v>1</v>
      </c>
      <c r="V19" t="s">
        <v>263</v>
      </c>
      <c r="W19" t="s">
        <v>282</v>
      </c>
      <c r="X19" t="s">
        <v>284</v>
      </c>
      <c r="Y19">
        <v>1</v>
      </c>
      <c r="Z19">
        <v>2</v>
      </c>
      <c r="AA19">
        <v>44.1</v>
      </c>
      <c r="AB19">
        <v>7.0999999999999994E-2</v>
      </c>
      <c r="AC19" t="s">
        <v>284</v>
      </c>
      <c r="AD19">
        <v>4</v>
      </c>
      <c r="AE19">
        <v>2</v>
      </c>
      <c r="AF19">
        <v>0</v>
      </c>
      <c r="AG19">
        <v>2.6989999999999998</v>
      </c>
      <c r="AH19">
        <v>0.28299999999999997</v>
      </c>
      <c r="AI19">
        <v>6.6000000000000003E-2</v>
      </c>
      <c r="AJ19">
        <v>1.2149890000000001</v>
      </c>
      <c r="AL19">
        <f t="shared" si="0"/>
        <v>1.2149890000000001</v>
      </c>
      <c r="AM19">
        <f>VLOOKUP(TRIM(N19),'[1]All - Durations'!$E$2:$H$109,4,FALSE)</f>
        <v>0.96799999999999997</v>
      </c>
      <c r="AN19">
        <f t="shared" si="1"/>
        <v>0.24698900000000013</v>
      </c>
      <c r="AO19">
        <f t="shared" si="2"/>
        <v>0.24698900000000013</v>
      </c>
    </row>
    <row r="20" spans="1:53" x14ac:dyDescent="0.25">
      <c r="A20">
        <v>259</v>
      </c>
      <c r="B20" t="s">
        <v>35</v>
      </c>
      <c r="C20">
        <v>3</v>
      </c>
      <c r="D20" t="s">
        <v>36</v>
      </c>
      <c r="E20">
        <v>4</v>
      </c>
      <c r="F20" t="s">
        <v>37</v>
      </c>
      <c r="G20">
        <v>9</v>
      </c>
      <c r="H20">
        <v>15</v>
      </c>
      <c r="I20">
        <v>1</v>
      </c>
      <c r="J20">
        <v>19</v>
      </c>
      <c r="K20">
        <v>21</v>
      </c>
      <c r="L20">
        <v>33</v>
      </c>
      <c r="M20">
        <v>1</v>
      </c>
      <c r="N20" t="s">
        <v>314</v>
      </c>
      <c r="O20" t="s">
        <v>113</v>
      </c>
      <c r="P20" t="s">
        <v>114</v>
      </c>
      <c r="Q20" t="s">
        <v>224</v>
      </c>
      <c r="R20" t="s">
        <v>114</v>
      </c>
      <c r="S20" t="s">
        <v>92</v>
      </c>
      <c r="T20" t="s">
        <v>305</v>
      </c>
      <c r="U20">
        <v>5</v>
      </c>
      <c r="V20" t="s">
        <v>276</v>
      </c>
      <c r="W20" t="s">
        <v>297</v>
      </c>
      <c r="X20" t="s">
        <v>261</v>
      </c>
      <c r="Y20">
        <v>2</v>
      </c>
      <c r="Z20">
        <v>2</v>
      </c>
      <c r="AA20">
        <v>44.1</v>
      </c>
      <c r="AB20">
        <v>1.2809999999999999</v>
      </c>
      <c r="AC20" t="s">
        <v>261</v>
      </c>
      <c r="AD20">
        <v>4</v>
      </c>
      <c r="AE20">
        <v>2</v>
      </c>
      <c r="AF20">
        <v>0</v>
      </c>
      <c r="AG20">
        <v>2.8290000000000002</v>
      </c>
      <c r="AH20">
        <v>0.93300000000000005</v>
      </c>
      <c r="AI20">
        <v>1.276</v>
      </c>
      <c r="AJ20">
        <v>0.93498899999999996</v>
      </c>
      <c r="AL20">
        <f t="shared" si="0"/>
        <v>0.93498899999999996</v>
      </c>
      <c r="AM20">
        <f>VLOOKUP(TRIM(N20),'[1]All - Durations'!$E$2:$H$109,4,FALSE)</f>
        <v>1.006</v>
      </c>
      <c r="AN20">
        <f t="shared" si="1"/>
        <v>-7.1011000000000046E-2</v>
      </c>
      <c r="AO20">
        <f t="shared" si="2"/>
        <v>-7.1011000000000046E-2</v>
      </c>
    </row>
    <row r="21" spans="1:53" x14ac:dyDescent="0.25">
      <c r="A21">
        <v>259</v>
      </c>
      <c r="B21" t="s">
        <v>35</v>
      </c>
      <c r="C21">
        <v>3</v>
      </c>
      <c r="D21" t="s">
        <v>36</v>
      </c>
      <c r="E21">
        <v>4</v>
      </c>
      <c r="F21" t="s">
        <v>37</v>
      </c>
      <c r="G21">
        <v>9</v>
      </c>
      <c r="H21">
        <v>15</v>
      </c>
      <c r="I21">
        <v>1</v>
      </c>
      <c r="J21">
        <v>20</v>
      </c>
      <c r="K21">
        <v>15</v>
      </c>
      <c r="L21">
        <v>27</v>
      </c>
      <c r="M21">
        <v>1</v>
      </c>
      <c r="N21" t="s">
        <v>315</v>
      </c>
      <c r="O21" t="s">
        <v>113</v>
      </c>
      <c r="P21" t="s">
        <v>114</v>
      </c>
      <c r="Q21" t="s">
        <v>118</v>
      </c>
      <c r="R21" t="s">
        <v>114</v>
      </c>
      <c r="S21" t="s">
        <v>59</v>
      </c>
      <c r="T21" t="s">
        <v>290</v>
      </c>
      <c r="U21">
        <v>1</v>
      </c>
      <c r="V21" t="s">
        <v>293</v>
      </c>
      <c r="W21" t="s">
        <v>299</v>
      </c>
      <c r="X21" t="s">
        <v>289</v>
      </c>
      <c r="Y21">
        <v>1</v>
      </c>
      <c r="Z21">
        <v>2</v>
      </c>
      <c r="AA21">
        <v>44.1</v>
      </c>
      <c r="AB21">
        <v>1.272</v>
      </c>
      <c r="AC21" t="s">
        <v>299</v>
      </c>
      <c r="AD21">
        <v>4</v>
      </c>
      <c r="AE21">
        <v>4</v>
      </c>
      <c r="AF21">
        <v>0</v>
      </c>
      <c r="AG21">
        <v>1.776</v>
      </c>
      <c r="AH21">
        <v>0.53300000000000003</v>
      </c>
      <c r="AI21">
        <v>1.278</v>
      </c>
      <c r="AJ21">
        <v>1.2449889999999999</v>
      </c>
      <c r="AL21">
        <f t="shared" si="0"/>
        <v>1.2449889999999999</v>
      </c>
      <c r="AM21">
        <f>VLOOKUP(TRIM(N21),'[1]All - Durations'!$E$2:$H$109,4,FALSE)</f>
        <v>0.95799999999999996</v>
      </c>
      <c r="AN21">
        <f t="shared" si="1"/>
        <v>0.28698899999999994</v>
      </c>
      <c r="AO21">
        <f t="shared" si="2"/>
        <v>0.28698899999999994</v>
      </c>
      <c r="AQ21" s="27" t="s">
        <v>403</v>
      </c>
      <c r="AR21" s="20" t="s">
        <v>335</v>
      </c>
      <c r="AS21" s="20" t="s">
        <v>336</v>
      </c>
      <c r="AT21" s="20" t="s">
        <v>337</v>
      </c>
    </row>
    <row r="22" spans="1:53" x14ac:dyDescent="0.25">
      <c r="A22">
        <v>259</v>
      </c>
      <c r="B22" t="s">
        <v>35</v>
      </c>
      <c r="C22">
        <v>3</v>
      </c>
      <c r="D22" t="s">
        <v>36</v>
      </c>
      <c r="E22">
        <v>4</v>
      </c>
      <c r="F22" t="s">
        <v>37</v>
      </c>
      <c r="G22">
        <v>9</v>
      </c>
      <c r="H22">
        <v>15</v>
      </c>
      <c r="I22">
        <v>1</v>
      </c>
      <c r="J22">
        <v>21</v>
      </c>
      <c r="K22">
        <v>14</v>
      </c>
      <c r="L22">
        <v>26</v>
      </c>
      <c r="M22">
        <v>1</v>
      </c>
      <c r="N22" t="s">
        <v>316</v>
      </c>
      <c r="O22" t="s">
        <v>113</v>
      </c>
      <c r="P22" t="s">
        <v>114</v>
      </c>
      <c r="Q22" t="s">
        <v>123</v>
      </c>
      <c r="R22" t="s">
        <v>114</v>
      </c>
      <c r="S22" t="s">
        <v>43</v>
      </c>
      <c r="T22" t="s">
        <v>263</v>
      </c>
      <c r="U22">
        <v>4</v>
      </c>
      <c r="V22" t="s">
        <v>311</v>
      </c>
      <c r="W22" t="s">
        <v>273</v>
      </c>
      <c r="X22" t="s">
        <v>279</v>
      </c>
      <c r="Y22">
        <v>2</v>
      </c>
      <c r="Z22">
        <v>2</v>
      </c>
      <c r="AA22">
        <v>44.1</v>
      </c>
      <c r="AB22">
        <v>1.1020000000000001</v>
      </c>
      <c r="AC22" t="s">
        <v>311</v>
      </c>
      <c r="AD22">
        <v>3</v>
      </c>
      <c r="AE22">
        <v>2</v>
      </c>
      <c r="AF22">
        <v>0</v>
      </c>
      <c r="AG22">
        <v>2.2829999999999999</v>
      </c>
      <c r="AH22">
        <v>0.68300000000000005</v>
      </c>
      <c r="AI22">
        <v>1.093</v>
      </c>
      <c r="AJ22">
        <v>1.094989</v>
      </c>
      <c r="AL22">
        <f t="shared" si="0"/>
        <v>1.094989</v>
      </c>
      <c r="AM22">
        <f>VLOOKUP(TRIM(N22),'[1]All - Durations'!$E$2:$H$109,4,FALSE)</f>
        <v>0.995</v>
      </c>
      <c r="AN22">
        <f t="shared" si="1"/>
        <v>9.9988999999999995E-2</v>
      </c>
      <c r="AO22">
        <f t="shared" si="2"/>
        <v>9.9988999999999995E-2</v>
      </c>
      <c r="AQ22" s="27" t="s">
        <v>404</v>
      </c>
      <c r="AR22" s="25">
        <f>AVERAGEIFS($AO:$AO,$G:$G,9,$O:$O,$AP$3)</f>
        <v>0.16248899999999999</v>
      </c>
      <c r="AS22" s="25">
        <f>AVERAGEIFS($AO:$AO,$G:$G,9,$O:$O,$AP$4)</f>
        <v>7.1798249999999994E-2</v>
      </c>
      <c r="AT22" s="25">
        <f>AVERAGEIFS($AO:$AO,$G:$G,9,$O:$O,$AP$5)</f>
        <v>0.12289825000000003</v>
      </c>
    </row>
    <row r="23" spans="1:53" x14ac:dyDescent="0.25">
      <c r="A23">
        <v>259</v>
      </c>
      <c r="B23" t="s">
        <v>35</v>
      </c>
      <c r="C23">
        <v>3</v>
      </c>
      <c r="D23" t="s">
        <v>36</v>
      </c>
      <c r="E23">
        <v>4</v>
      </c>
      <c r="F23" t="s">
        <v>37</v>
      </c>
      <c r="G23">
        <v>9</v>
      </c>
      <c r="H23">
        <v>15</v>
      </c>
      <c r="I23">
        <v>1</v>
      </c>
      <c r="J23">
        <v>22</v>
      </c>
      <c r="K23">
        <v>18</v>
      </c>
      <c r="L23">
        <v>30</v>
      </c>
      <c r="M23">
        <v>1</v>
      </c>
      <c r="N23" t="s">
        <v>317</v>
      </c>
      <c r="O23" t="s">
        <v>113</v>
      </c>
      <c r="P23" t="s">
        <v>114</v>
      </c>
      <c r="Q23" t="s">
        <v>218</v>
      </c>
      <c r="R23" t="s">
        <v>114</v>
      </c>
      <c r="S23" t="s">
        <v>92</v>
      </c>
      <c r="T23" t="s">
        <v>268</v>
      </c>
      <c r="U23">
        <v>4</v>
      </c>
      <c r="V23" t="s">
        <v>281</v>
      </c>
      <c r="W23" t="s">
        <v>297</v>
      </c>
      <c r="X23" t="s">
        <v>275</v>
      </c>
      <c r="Y23">
        <v>1</v>
      </c>
      <c r="Z23">
        <v>2</v>
      </c>
      <c r="AA23">
        <v>44.1</v>
      </c>
      <c r="AB23">
        <v>1.121</v>
      </c>
      <c r="AC23" t="s">
        <v>281</v>
      </c>
      <c r="AD23">
        <v>2</v>
      </c>
      <c r="AE23">
        <v>2</v>
      </c>
      <c r="AF23">
        <v>0</v>
      </c>
      <c r="AG23">
        <v>2.4700000000000002</v>
      </c>
      <c r="AH23">
        <v>0.48199999999999998</v>
      </c>
      <c r="AI23">
        <v>1.1299999999999999</v>
      </c>
      <c r="AJ23">
        <v>1.124989</v>
      </c>
      <c r="AL23">
        <f t="shared" si="0"/>
        <v>1.124989</v>
      </c>
      <c r="AM23">
        <f>VLOOKUP(TRIM(N23),'[1]All - Durations'!$E$2:$H$109,4,FALSE)</f>
        <v>0.94199999999999995</v>
      </c>
      <c r="AN23">
        <f t="shared" si="1"/>
        <v>0.18298900000000007</v>
      </c>
      <c r="AO23">
        <f t="shared" si="2"/>
        <v>0.18298900000000007</v>
      </c>
    </row>
    <row r="24" spans="1:53" x14ac:dyDescent="0.25">
      <c r="A24">
        <v>259</v>
      </c>
      <c r="B24" t="s">
        <v>35</v>
      </c>
      <c r="C24">
        <v>3</v>
      </c>
      <c r="D24" t="s">
        <v>36</v>
      </c>
      <c r="E24">
        <v>4</v>
      </c>
      <c r="F24" t="s">
        <v>37</v>
      </c>
      <c r="G24">
        <v>9</v>
      </c>
      <c r="H24">
        <v>15</v>
      </c>
      <c r="I24">
        <v>1</v>
      </c>
      <c r="J24">
        <v>23</v>
      </c>
      <c r="K24">
        <v>16</v>
      </c>
      <c r="L24">
        <v>28</v>
      </c>
      <c r="M24">
        <v>1</v>
      </c>
      <c r="N24" t="s">
        <v>318</v>
      </c>
      <c r="O24" t="s">
        <v>113</v>
      </c>
      <c r="P24" t="s">
        <v>114</v>
      </c>
      <c r="Q24" t="s">
        <v>118</v>
      </c>
      <c r="R24" t="s">
        <v>114</v>
      </c>
      <c r="S24" t="s">
        <v>43</v>
      </c>
      <c r="T24" t="s">
        <v>293</v>
      </c>
      <c r="U24">
        <v>4</v>
      </c>
      <c r="V24" t="s">
        <v>311</v>
      </c>
      <c r="W24" t="s">
        <v>264</v>
      </c>
      <c r="X24" t="s">
        <v>267</v>
      </c>
      <c r="Y24">
        <v>2</v>
      </c>
      <c r="Z24">
        <v>2</v>
      </c>
      <c r="AA24">
        <v>44.1</v>
      </c>
      <c r="AB24">
        <v>1.1419999999999999</v>
      </c>
      <c r="AC24" t="s">
        <v>293</v>
      </c>
      <c r="AD24">
        <v>1</v>
      </c>
      <c r="AE24">
        <v>4</v>
      </c>
      <c r="AF24">
        <v>1</v>
      </c>
      <c r="AG24">
        <v>2.5649999999999999</v>
      </c>
      <c r="AH24">
        <v>0.23300000000000001</v>
      </c>
      <c r="AI24">
        <v>1.135</v>
      </c>
      <c r="AJ24">
        <v>1.0149889999999999</v>
      </c>
      <c r="AL24">
        <f t="shared" si="0"/>
        <v>1.0149889999999999</v>
      </c>
      <c r="AM24">
        <f>VLOOKUP(TRIM(N24),'[1]All - Durations'!$E$2:$H$109,4,FALSE)</f>
        <v>0.89700000000000002</v>
      </c>
      <c r="AN24">
        <f t="shared" si="1"/>
        <v>0.1179889999999999</v>
      </c>
      <c r="AO24">
        <f t="shared" si="2"/>
        <v>0.1179889999999999</v>
      </c>
    </row>
    <row r="25" spans="1:53" x14ac:dyDescent="0.25">
      <c r="A25">
        <v>259</v>
      </c>
      <c r="B25" t="s">
        <v>35</v>
      </c>
      <c r="C25">
        <v>3</v>
      </c>
      <c r="D25" t="s">
        <v>36</v>
      </c>
      <c r="E25">
        <v>4</v>
      </c>
      <c r="F25" t="s">
        <v>37</v>
      </c>
      <c r="G25">
        <v>9</v>
      </c>
      <c r="H25">
        <v>15</v>
      </c>
      <c r="I25">
        <v>1</v>
      </c>
      <c r="J25">
        <v>24</v>
      </c>
      <c r="K25">
        <v>23</v>
      </c>
      <c r="L25">
        <v>35</v>
      </c>
      <c r="M25">
        <v>1</v>
      </c>
      <c r="N25" t="s">
        <v>319</v>
      </c>
      <c r="O25" t="s">
        <v>113</v>
      </c>
      <c r="P25" t="s">
        <v>114</v>
      </c>
      <c r="Q25" t="s">
        <v>220</v>
      </c>
      <c r="R25" t="s">
        <v>114</v>
      </c>
      <c r="S25" t="s">
        <v>59</v>
      </c>
      <c r="T25" t="s">
        <v>302</v>
      </c>
      <c r="U25">
        <v>4</v>
      </c>
      <c r="V25" t="s">
        <v>296</v>
      </c>
      <c r="W25" t="s">
        <v>294</v>
      </c>
      <c r="X25" t="s">
        <v>301</v>
      </c>
      <c r="Y25">
        <v>1</v>
      </c>
      <c r="Z25">
        <v>2</v>
      </c>
      <c r="AA25">
        <v>44.1</v>
      </c>
      <c r="AB25">
        <v>0.14299999999999999</v>
      </c>
      <c r="AC25" t="s">
        <v>296</v>
      </c>
      <c r="AD25">
        <v>2</v>
      </c>
      <c r="AE25">
        <v>5</v>
      </c>
      <c r="AF25">
        <v>0</v>
      </c>
      <c r="AG25">
        <v>2.161</v>
      </c>
      <c r="AH25">
        <v>0.23300000000000001</v>
      </c>
      <c r="AI25">
        <v>0.13500000000000001</v>
      </c>
      <c r="AJ25">
        <v>0.89498900000000003</v>
      </c>
      <c r="AK25">
        <v>1.0359</v>
      </c>
      <c r="AL25">
        <f t="shared" si="0"/>
        <v>1.0359</v>
      </c>
      <c r="AM25">
        <f>VLOOKUP(TRIM(N25),'[1]All - Durations'!$E$2:$H$109,4,FALSE)</f>
        <v>0.86699999999999999</v>
      </c>
      <c r="AN25">
        <f t="shared" si="1"/>
        <v>0.16890000000000005</v>
      </c>
      <c r="AO25">
        <f t="shared" si="2"/>
        <v>0.16890000000000005</v>
      </c>
    </row>
    <row r="26" spans="1:53" x14ac:dyDescent="0.25">
      <c r="A26">
        <v>259</v>
      </c>
      <c r="B26" t="s">
        <v>35</v>
      </c>
      <c r="C26">
        <v>3</v>
      </c>
      <c r="D26" t="s">
        <v>36</v>
      </c>
      <c r="E26">
        <v>4</v>
      </c>
      <c r="F26" t="s">
        <v>37</v>
      </c>
      <c r="G26">
        <v>9</v>
      </c>
      <c r="H26">
        <v>15</v>
      </c>
      <c r="I26">
        <v>1</v>
      </c>
      <c r="J26">
        <v>25</v>
      </c>
      <c r="K26">
        <v>31</v>
      </c>
      <c r="L26">
        <v>19</v>
      </c>
      <c r="M26">
        <v>1</v>
      </c>
      <c r="N26" t="s">
        <v>320</v>
      </c>
      <c r="O26" t="s">
        <v>151</v>
      </c>
      <c r="P26" t="s">
        <v>239</v>
      </c>
      <c r="Q26" t="s">
        <v>240</v>
      </c>
      <c r="R26" t="s">
        <v>154</v>
      </c>
      <c r="S26" t="s">
        <v>92</v>
      </c>
      <c r="T26" t="s">
        <v>273</v>
      </c>
      <c r="U26">
        <v>4</v>
      </c>
      <c r="V26" t="s">
        <v>277</v>
      </c>
      <c r="W26" t="s">
        <v>261</v>
      </c>
      <c r="X26" t="s">
        <v>302</v>
      </c>
      <c r="Y26">
        <v>2</v>
      </c>
      <c r="Z26">
        <v>2</v>
      </c>
      <c r="AA26">
        <v>44.1</v>
      </c>
      <c r="AB26">
        <v>0.14199999999999999</v>
      </c>
      <c r="AC26" t="s">
        <v>273</v>
      </c>
      <c r="AD26">
        <v>1</v>
      </c>
      <c r="AE26">
        <v>4</v>
      </c>
      <c r="AF26">
        <v>1</v>
      </c>
      <c r="AG26">
        <v>1.9</v>
      </c>
      <c r="AH26">
        <v>0.19900000000000001</v>
      </c>
      <c r="AI26">
        <v>0.13100000000000001</v>
      </c>
      <c r="AJ26">
        <v>1.0349889999999999</v>
      </c>
      <c r="AL26">
        <f t="shared" si="0"/>
        <v>1.0349889999999999</v>
      </c>
      <c r="AM26">
        <f>VLOOKUP(TRIM(N26),'[1]All - Durations'!$E$2:$H$109,4,FALSE)</f>
        <v>0.89800000000000002</v>
      </c>
      <c r="AN26">
        <f t="shared" si="1"/>
        <v>0.13698899999999992</v>
      </c>
      <c r="AO26">
        <f t="shared" si="2"/>
        <v>0.13698899999999992</v>
      </c>
      <c r="AP26" t="s">
        <v>334</v>
      </c>
      <c r="AR26" t="s">
        <v>358</v>
      </c>
      <c r="AS26" t="s">
        <v>359</v>
      </c>
      <c r="AV26" t="s">
        <v>334</v>
      </c>
      <c r="AX26" t="s">
        <v>59</v>
      </c>
      <c r="AY26" t="s">
        <v>92</v>
      </c>
      <c r="AZ26" t="s">
        <v>52</v>
      </c>
      <c r="BA26" t="s">
        <v>43</v>
      </c>
    </row>
    <row r="27" spans="1:53" x14ac:dyDescent="0.25">
      <c r="A27">
        <v>259</v>
      </c>
      <c r="B27" t="s">
        <v>35</v>
      </c>
      <c r="C27">
        <v>3</v>
      </c>
      <c r="D27" t="s">
        <v>36</v>
      </c>
      <c r="E27">
        <v>4</v>
      </c>
      <c r="F27" t="s">
        <v>37</v>
      </c>
      <c r="G27">
        <v>9</v>
      </c>
      <c r="H27">
        <v>15</v>
      </c>
      <c r="I27">
        <v>1</v>
      </c>
      <c r="J27">
        <v>26</v>
      </c>
      <c r="K27">
        <v>30</v>
      </c>
      <c r="L27">
        <v>18</v>
      </c>
      <c r="M27">
        <v>1</v>
      </c>
      <c r="N27" t="s">
        <v>321</v>
      </c>
      <c r="O27" t="s">
        <v>151</v>
      </c>
      <c r="P27" t="s">
        <v>255</v>
      </c>
      <c r="Q27" t="s">
        <v>256</v>
      </c>
      <c r="R27" t="s">
        <v>154</v>
      </c>
      <c r="S27" t="s">
        <v>92</v>
      </c>
      <c r="T27" t="s">
        <v>277</v>
      </c>
      <c r="U27">
        <v>4</v>
      </c>
      <c r="V27" t="s">
        <v>269</v>
      </c>
      <c r="W27" t="s">
        <v>275</v>
      </c>
      <c r="X27" t="s">
        <v>311</v>
      </c>
      <c r="Y27">
        <v>1</v>
      </c>
      <c r="Z27">
        <v>2</v>
      </c>
      <c r="AA27">
        <v>44.1</v>
      </c>
      <c r="AB27">
        <v>8.1000000000000003E-2</v>
      </c>
      <c r="AC27" t="s">
        <v>269</v>
      </c>
      <c r="AD27">
        <v>2</v>
      </c>
      <c r="AE27">
        <v>1</v>
      </c>
      <c r="AF27">
        <v>0</v>
      </c>
      <c r="AG27">
        <v>1.831</v>
      </c>
      <c r="AH27">
        <v>0.26600000000000001</v>
      </c>
      <c r="AI27">
        <v>8.4000000000000005E-2</v>
      </c>
      <c r="AJ27">
        <v>0.93498899999999996</v>
      </c>
      <c r="AL27">
        <f t="shared" si="0"/>
        <v>0.93498899999999996</v>
      </c>
      <c r="AM27">
        <f>VLOOKUP(TRIM(N27),'[1]All - Durations'!$E$2:$H$109,4,FALSE)</f>
        <v>0.98299999999999998</v>
      </c>
      <c r="AN27">
        <f t="shared" si="1"/>
        <v>-4.8011000000000026E-2</v>
      </c>
      <c r="AO27">
        <f t="shared" si="2"/>
        <v>-4.8011000000000026E-2</v>
      </c>
      <c r="AQ27" t="s">
        <v>355</v>
      </c>
      <c r="AR27" s="11">
        <f>(AX27*3+AZ27*3)/6</f>
        <v>0.33333333333333331</v>
      </c>
      <c r="AS27" s="11">
        <f>(AY27*3+BA27*3)/6</f>
        <v>0.66666666666666663</v>
      </c>
      <c r="AW27" t="s">
        <v>355</v>
      </c>
      <c r="AX27" s="11">
        <f>SUMIFS($AF1:$AF37,$O1:$O37,$AP$3,$S1:$S37,$AX$26)/3</f>
        <v>0.33333333333333331</v>
      </c>
      <c r="AY27" s="11">
        <f>SUMIFS($AF1:$AF37,$O1:$O37,$AP$3,$S1:$S37,$AY$26)/3</f>
        <v>0.33333333333333331</v>
      </c>
      <c r="AZ27" s="11">
        <f>SUMIFS($AF1:$AF37,$O1:$O37,$AP$3,$S1:$S37,$AZ$26)/3</f>
        <v>0.33333333333333331</v>
      </c>
      <c r="BA27" s="11">
        <f>SUMIFS($AF1:$AF37,$O1:$O37,$AP$3,$S1:$S37,$BA$26)/3</f>
        <v>1</v>
      </c>
    </row>
    <row r="28" spans="1:53" x14ac:dyDescent="0.25">
      <c r="A28">
        <v>259</v>
      </c>
      <c r="B28" t="s">
        <v>35</v>
      </c>
      <c r="C28">
        <v>3</v>
      </c>
      <c r="D28" t="s">
        <v>36</v>
      </c>
      <c r="E28">
        <v>4</v>
      </c>
      <c r="F28" t="s">
        <v>37</v>
      </c>
      <c r="G28">
        <v>9</v>
      </c>
      <c r="H28">
        <v>15</v>
      </c>
      <c r="I28">
        <v>1</v>
      </c>
      <c r="J28">
        <v>27</v>
      </c>
      <c r="K28">
        <v>34</v>
      </c>
      <c r="L28">
        <v>22</v>
      </c>
      <c r="M28">
        <v>1</v>
      </c>
      <c r="N28" t="s">
        <v>322</v>
      </c>
      <c r="O28" t="s">
        <v>151</v>
      </c>
      <c r="P28" t="s">
        <v>242</v>
      </c>
      <c r="Q28" t="s">
        <v>243</v>
      </c>
      <c r="R28" t="s">
        <v>160</v>
      </c>
      <c r="S28" t="s">
        <v>43</v>
      </c>
      <c r="T28" t="s">
        <v>307</v>
      </c>
      <c r="U28">
        <v>1</v>
      </c>
      <c r="V28" t="s">
        <v>299</v>
      </c>
      <c r="W28" t="s">
        <v>271</v>
      </c>
      <c r="X28" t="s">
        <v>290</v>
      </c>
      <c r="Y28">
        <v>1</v>
      </c>
      <c r="Z28">
        <v>2</v>
      </c>
      <c r="AA28">
        <v>44.1</v>
      </c>
      <c r="AB28">
        <v>1.1910000000000001</v>
      </c>
      <c r="AC28" t="s">
        <v>299</v>
      </c>
      <c r="AD28">
        <v>2</v>
      </c>
      <c r="AE28">
        <v>5</v>
      </c>
      <c r="AF28">
        <v>0</v>
      </c>
      <c r="AG28">
        <v>2.8740000000000001</v>
      </c>
      <c r="AH28">
        <v>0.41699999999999998</v>
      </c>
      <c r="AI28">
        <v>1.19</v>
      </c>
      <c r="AJ28">
        <v>0.94498899999999997</v>
      </c>
      <c r="AL28">
        <f t="shared" si="0"/>
        <v>0.94498899999999997</v>
      </c>
      <c r="AM28">
        <f>VLOOKUP(TRIM(N28),'[1]All - Durations'!$E$2:$H$109,4,FALSE)</f>
        <v>1.0760000000000001</v>
      </c>
      <c r="AN28">
        <f t="shared" si="1"/>
        <v>-0.1310110000000001</v>
      </c>
      <c r="AO28">
        <f t="shared" si="2"/>
        <v>-0.1310110000000001</v>
      </c>
      <c r="AQ28" t="s">
        <v>356</v>
      </c>
      <c r="AR28" s="11">
        <f>(AX28*3+AZ28*3)/6</f>
        <v>0.5</v>
      </c>
      <c r="AS28" s="11">
        <f>(AY28*3+BA28*3)/6</f>
        <v>0.5</v>
      </c>
      <c r="AW28" t="s">
        <v>356</v>
      </c>
      <c r="AX28" s="11">
        <f>SUMIFS($AF1:$AF37,$O1:$O37,$AP$4,$S1:$S37,$AX$26)/3</f>
        <v>0.33333333333333331</v>
      </c>
      <c r="AY28" s="11">
        <f>SUMIFS($AF1:$AF37,$O1:$O37,$AP$4,$S1:$S37,$AY$26)/3</f>
        <v>0.66666666666666663</v>
      </c>
      <c r="AZ28" s="11">
        <f>SUMIFS($AF1:$AF37,$O1:$O37,$AP$4,$S1:$S37,$AZ$26)/3</f>
        <v>0.66666666666666663</v>
      </c>
      <c r="BA28" s="11">
        <f>SUMIFS($AF1:$AF37,$O1:$O37,$AP$4,$S1:$S37,BA26)/3</f>
        <v>0.33333333333333331</v>
      </c>
    </row>
    <row r="29" spans="1:53" x14ac:dyDescent="0.25">
      <c r="A29">
        <v>259</v>
      </c>
      <c r="B29" t="s">
        <v>35</v>
      </c>
      <c r="C29">
        <v>3</v>
      </c>
      <c r="D29" t="s">
        <v>36</v>
      </c>
      <c r="E29">
        <v>4</v>
      </c>
      <c r="F29" t="s">
        <v>37</v>
      </c>
      <c r="G29">
        <v>9</v>
      </c>
      <c r="H29">
        <v>15</v>
      </c>
      <c r="I29">
        <v>1</v>
      </c>
      <c r="J29">
        <v>28</v>
      </c>
      <c r="K29">
        <v>27</v>
      </c>
      <c r="L29">
        <v>15</v>
      </c>
      <c r="M29">
        <v>1</v>
      </c>
      <c r="N29" t="s">
        <v>323</v>
      </c>
      <c r="O29" t="s">
        <v>151</v>
      </c>
      <c r="P29" t="s">
        <v>152</v>
      </c>
      <c r="Q29" t="s">
        <v>153</v>
      </c>
      <c r="R29" t="s">
        <v>170</v>
      </c>
      <c r="S29" t="s">
        <v>59</v>
      </c>
      <c r="T29" t="s">
        <v>303</v>
      </c>
      <c r="U29">
        <v>2</v>
      </c>
      <c r="V29" t="s">
        <v>294</v>
      </c>
      <c r="W29" t="s">
        <v>284</v>
      </c>
      <c r="X29" t="s">
        <v>276</v>
      </c>
      <c r="Y29">
        <v>1</v>
      </c>
      <c r="Z29">
        <v>2</v>
      </c>
      <c r="AA29">
        <v>44.1</v>
      </c>
      <c r="AB29">
        <v>1.2310000000000001</v>
      </c>
      <c r="AC29" t="s">
        <v>294</v>
      </c>
      <c r="AD29">
        <v>2</v>
      </c>
      <c r="AE29">
        <v>4</v>
      </c>
      <c r="AF29">
        <v>0</v>
      </c>
      <c r="AG29">
        <v>2.641</v>
      </c>
      <c r="AH29">
        <v>0.61599999999999999</v>
      </c>
      <c r="AI29">
        <v>1.238</v>
      </c>
      <c r="AJ29">
        <v>0.294989</v>
      </c>
      <c r="AL29">
        <f t="shared" si="0"/>
        <v>0.294989</v>
      </c>
      <c r="AM29">
        <f>VLOOKUP(TRIM(N29),'[1]All - Durations'!$E$2:$H$109,4,FALSE)</f>
        <v>0.98199999999999998</v>
      </c>
      <c r="AN29">
        <f t="shared" si="1"/>
        <v>-0.68701100000000004</v>
      </c>
      <c r="AO29">
        <f t="shared" si="2"/>
        <v>-0.68701100000000004</v>
      </c>
      <c r="AQ29" t="s">
        <v>357</v>
      </c>
      <c r="AR29" s="11">
        <f>(AX29*3+AZ29*3)/6</f>
        <v>0</v>
      </c>
      <c r="AS29" s="11">
        <f>(AY29*3+BA29*3)/6</f>
        <v>0.33333333333333331</v>
      </c>
      <c r="AW29" t="s">
        <v>357</v>
      </c>
      <c r="AX29" s="11">
        <f>SUMIFS($AF1:$AF37,$O1:$O37,$AP$5,$S1:$S37,$AX$26)/3</f>
        <v>0</v>
      </c>
      <c r="AY29" s="11">
        <f>SUMIFS($AF1:$AF37,$O1:$O37,$AP$5,$S1:$S37,$AY$26)/3</f>
        <v>0</v>
      </c>
      <c r="AZ29" s="11">
        <f>SUMIFS($AF1:$AF37,$O1:$O37,$AP$5,$S1:$S37,$AZ$26)/3</f>
        <v>0</v>
      </c>
      <c r="BA29" s="11">
        <f>SUMIFS($AF1:$AF37,$O1:$O37,$AP$5,$S1:$S37,$BA$26)/3</f>
        <v>0.66666666666666663</v>
      </c>
    </row>
    <row r="30" spans="1:53" x14ac:dyDescent="0.25">
      <c r="A30">
        <v>259</v>
      </c>
      <c r="B30" t="s">
        <v>35</v>
      </c>
      <c r="C30">
        <v>3</v>
      </c>
      <c r="D30" t="s">
        <v>36</v>
      </c>
      <c r="E30">
        <v>4</v>
      </c>
      <c r="F30" t="s">
        <v>37</v>
      </c>
      <c r="G30">
        <v>9</v>
      </c>
      <c r="H30">
        <v>15</v>
      </c>
      <c r="I30">
        <v>1</v>
      </c>
      <c r="J30">
        <v>29</v>
      </c>
      <c r="K30">
        <v>25</v>
      </c>
      <c r="L30">
        <v>13</v>
      </c>
      <c r="M30">
        <v>1</v>
      </c>
      <c r="N30" t="s">
        <v>324</v>
      </c>
      <c r="O30" t="s">
        <v>151</v>
      </c>
      <c r="P30" t="s">
        <v>168</v>
      </c>
      <c r="Q30" t="s">
        <v>169</v>
      </c>
      <c r="R30" t="s">
        <v>174</v>
      </c>
      <c r="S30" t="s">
        <v>52</v>
      </c>
      <c r="T30" t="s">
        <v>297</v>
      </c>
      <c r="U30">
        <v>1</v>
      </c>
      <c r="V30" t="s">
        <v>286</v>
      </c>
      <c r="W30" t="s">
        <v>301</v>
      </c>
      <c r="X30" t="s">
        <v>302</v>
      </c>
      <c r="Y30">
        <v>1</v>
      </c>
      <c r="Z30">
        <v>2</v>
      </c>
      <c r="AA30">
        <v>44.1</v>
      </c>
      <c r="AB30">
        <v>1.2410000000000001</v>
      </c>
      <c r="AC30" t="s">
        <v>286</v>
      </c>
      <c r="AD30">
        <v>2</v>
      </c>
      <c r="AE30">
        <v>2</v>
      </c>
      <c r="AF30">
        <v>0</v>
      </c>
      <c r="AG30">
        <v>2.7450000000000001</v>
      </c>
      <c r="AH30">
        <v>0.58299999999999996</v>
      </c>
      <c r="AI30">
        <v>1.242</v>
      </c>
      <c r="AJ30">
        <v>1.2249890000000001</v>
      </c>
      <c r="AL30">
        <f t="shared" si="0"/>
        <v>1.2249890000000001</v>
      </c>
      <c r="AM30">
        <f>VLOOKUP(TRIM(N30),'[1]All - Durations'!$E$2:$H$109,4,FALSE)</f>
        <v>0.97299999999999998</v>
      </c>
      <c r="AN30">
        <f t="shared" si="1"/>
        <v>0.25198900000000013</v>
      </c>
      <c r="AO30">
        <f t="shared" si="2"/>
        <v>0.25198900000000013</v>
      </c>
    </row>
    <row r="31" spans="1:53" x14ac:dyDescent="0.25">
      <c r="A31">
        <v>259</v>
      </c>
      <c r="B31" t="s">
        <v>35</v>
      </c>
      <c r="C31">
        <v>3</v>
      </c>
      <c r="D31" t="s">
        <v>36</v>
      </c>
      <c r="E31">
        <v>4</v>
      </c>
      <c r="F31" t="s">
        <v>37</v>
      </c>
      <c r="G31">
        <v>9</v>
      </c>
      <c r="H31">
        <v>15</v>
      </c>
      <c r="I31">
        <v>1</v>
      </c>
      <c r="J31">
        <v>30</v>
      </c>
      <c r="K31">
        <v>33</v>
      </c>
      <c r="L31">
        <v>21</v>
      </c>
      <c r="M31">
        <v>1</v>
      </c>
      <c r="N31" t="s">
        <v>325</v>
      </c>
      <c r="O31" t="s">
        <v>151</v>
      </c>
      <c r="P31" t="s">
        <v>242</v>
      </c>
      <c r="Q31" t="s">
        <v>243</v>
      </c>
      <c r="R31" t="s">
        <v>154</v>
      </c>
      <c r="S31" t="s">
        <v>92</v>
      </c>
      <c r="T31" t="s">
        <v>299</v>
      </c>
      <c r="U31">
        <v>2</v>
      </c>
      <c r="V31" t="s">
        <v>277</v>
      </c>
      <c r="W31" t="s">
        <v>279</v>
      </c>
      <c r="X31" t="s">
        <v>296</v>
      </c>
      <c r="Y31">
        <v>2</v>
      </c>
      <c r="Z31">
        <v>2</v>
      </c>
      <c r="AA31">
        <v>44.1</v>
      </c>
      <c r="AB31">
        <v>1.2809999999999999</v>
      </c>
      <c r="AC31" t="s">
        <v>299</v>
      </c>
      <c r="AD31">
        <v>1</v>
      </c>
      <c r="AE31">
        <v>2</v>
      </c>
      <c r="AF31">
        <v>1</v>
      </c>
      <c r="AG31">
        <v>2.83</v>
      </c>
      <c r="AH31">
        <v>0.6</v>
      </c>
      <c r="AI31">
        <v>1.264</v>
      </c>
      <c r="AJ31">
        <v>1.094989</v>
      </c>
      <c r="AL31">
        <f t="shared" si="0"/>
        <v>1.094989</v>
      </c>
      <c r="AM31">
        <f>VLOOKUP(TRIM(N31),'[1]All - Durations'!$E$2:$H$109,4,FALSE)</f>
        <v>0.878</v>
      </c>
      <c r="AN31">
        <f t="shared" si="1"/>
        <v>0.21698899999999999</v>
      </c>
      <c r="AO31">
        <f t="shared" si="2"/>
        <v>0.21698899999999999</v>
      </c>
      <c r="AP31" t="s">
        <v>360</v>
      </c>
      <c r="AR31" t="s">
        <v>59</v>
      </c>
      <c r="AS31" t="s">
        <v>92</v>
      </c>
      <c r="AT31" t="s">
        <v>52</v>
      </c>
      <c r="AU31" t="s">
        <v>43</v>
      </c>
    </row>
    <row r="32" spans="1:53" x14ac:dyDescent="0.25">
      <c r="A32">
        <v>259</v>
      </c>
      <c r="B32" t="s">
        <v>35</v>
      </c>
      <c r="C32">
        <v>3</v>
      </c>
      <c r="D32" t="s">
        <v>36</v>
      </c>
      <c r="E32">
        <v>4</v>
      </c>
      <c r="F32" t="s">
        <v>37</v>
      </c>
      <c r="G32">
        <v>9</v>
      </c>
      <c r="H32">
        <v>15</v>
      </c>
      <c r="I32">
        <v>1</v>
      </c>
      <c r="J32">
        <v>31</v>
      </c>
      <c r="K32">
        <v>36</v>
      </c>
      <c r="L32">
        <v>24</v>
      </c>
      <c r="M32">
        <v>1</v>
      </c>
      <c r="N32" t="s">
        <v>326</v>
      </c>
      <c r="O32" t="s">
        <v>151</v>
      </c>
      <c r="P32" t="s">
        <v>245</v>
      </c>
      <c r="Q32" t="s">
        <v>246</v>
      </c>
      <c r="R32" t="s">
        <v>174</v>
      </c>
      <c r="S32" t="s">
        <v>52</v>
      </c>
      <c r="T32" t="s">
        <v>264</v>
      </c>
      <c r="U32">
        <v>4</v>
      </c>
      <c r="V32" t="s">
        <v>291</v>
      </c>
      <c r="W32" t="s">
        <v>288</v>
      </c>
      <c r="X32" t="s">
        <v>293</v>
      </c>
      <c r="Y32">
        <v>2</v>
      </c>
      <c r="Z32">
        <v>2</v>
      </c>
      <c r="AA32">
        <v>44.1</v>
      </c>
      <c r="AB32">
        <v>1.1930000000000001</v>
      </c>
      <c r="AC32" t="s">
        <v>264</v>
      </c>
      <c r="AD32">
        <v>1</v>
      </c>
      <c r="AE32">
        <v>4</v>
      </c>
      <c r="AF32">
        <v>1</v>
      </c>
      <c r="AG32">
        <v>3.5739999999999998</v>
      </c>
      <c r="AH32">
        <v>0.433</v>
      </c>
      <c r="AI32">
        <v>1.194</v>
      </c>
      <c r="AJ32">
        <v>1.1849890000000001</v>
      </c>
      <c r="AL32">
        <f t="shared" si="0"/>
        <v>1.1849890000000001</v>
      </c>
      <c r="AM32">
        <f>VLOOKUP(TRIM(N32),'[1]All - Durations'!$E$2:$H$109,4,FALSE)</f>
        <v>0.92500000000000004</v>
      </c>
      <c r="AN32">
        <f t="shared" si="1"/>
        <v>0.25998900000000003</v>
      </c>
      <c r="AO32">
        <f t="shared" si="2"/>
        <v>0.25998900000000003</v>
      </c>
      <c r="AQ32" t="s">
        <v>355</v>
      </c>
      <c r="AR32" s="11">
        <f>AVERAGEIFS($AG$1:$AG$37,$O$1:$O$37,$AP3,$AF$1:$AF$37,1,$S$1:$S$37,$AR$31)</f>
        <v>2.323</v>
      </c>
      <c r="AS32" s="11">
        <f>AVERAGEIFS($AG$1:$AG$37,$O$1:$O$37,$AP3,$AF$1:$AF$37,1,$S$1:$S$37,$AS$31)</f>
        <v>2.4860000000000002</v>
      </c>
      <c r="AT32" s="11">
        <f>AVERAGEIFS($AG$1:$AG$37,$O$1:$O$37,$AP$3,$AF$1:$AF$37,1,$S$1:$S$37,$AT$31)</f>
        <v>2.37</v>
      </c>
      <c r="AU32" s="11">
        <f>AVERAGEIFS($AG$1:$AG$37,$O$1:$O$37,$AP$3,$AF$1:$AF$37,1,$S$1:$S$37,$AU$31)</f>
        <v>2.4346666666666663</v>
      </c>
    </row>
    <row r="33" spans="1:47" x14ac:dyDescent="0.25">
      <c r="A33">
        <v>259</v>
      </c>
      <c r="B33" t="s">
        <v>35</v>
      </c>
      <c r="C33">
        <v>3</v>
      </c>
      <c r="D33" t="s">
        <v>36</v>
      </c>
      <c r="E33">
        <v>4</v>
      </c>
      <c r="F33" t="s">
        <v>37</v>
      </c>
      <c r="G33">
        <v>9</v>
      </c>
      <c r="H33">
        <v>15</v>
      </c>
      <c r="I33">
        <v>1</v>
      </c>
      <c r="J33">
        <v>32</v>
      </c>
      <c r="K33">
        <v>28</v>
      </c>
      <c r="L33">
        <v>16</v>
      </c>
      <c r="M33">
        <v>1</v>
      </c>
      <c r="N33" t="s">
        <v>327</v>
      </c>
      <c r="O33" t="s">
        <v>151</v>
      </c>
      <c r="P33" t="s">
        <v>152</v>
      </c>
      <c r="Q33" t="s">
        <v>153</v>
      </c>
      <c r="R33" t="s">
        <v>160</v>
      </c>
      <c r="S33" t="s">
        <v>43</v>
      </c>
      <c r="T33" t="s">
        <v>294</v>
      </c>
      <c r="U33">
        <v>2</v>
      </c>
      <c r="V33" t="s">
        <v>307</v>
      </c>
      <c r="W33" t="s">
        <v>267</v>
      </c>
      <c r="X33" t="s">
        <v>305</v>
      </c>
      <c r="Y33">
        <v>2</v>
      </c>
      <c r="Z33">
        <v>2</v>
      </c>
      <c r="AA33">
        <v>44.1</v>
      </c>
      <c r="AB33">
        <v>1.1619999999999999</v>
      </c>
      <c r="AC33" t="s">
        <v>294</v>
      </c>
      <c r="AD33">
        <v>1</v>
      </c>
      <c r="AE33">
        <v>2</v>
      </c>
      <c r="AF33">
        <v>1</v>
      </c>
      <c r="AG33">
        <v>2.9849999999999999</v>
      </c>
      <c r="AH33">
        <v>0.183</v>
      </c>
      <c r="AI33">
        <v>1.1679999999999999</v>
      </c>
      <c r="AJ33">
        <v>1.154989</v>
      </c>
      <c r="AL33">
        <f t="shared" si="0"/>
        <v>1.154989</v>
      </c>
      <c r="AM33">
        <f>VLOOKUP(TRIM(N33),'[1]All - Durations'!$E$2:$H$109,4,FALSE)</f>
        <v>0.89300000000000002</v>
      </c>
      <c r="AN33">
        <f t="shared" si="1"/>
        <v>0.26198900000000003</v>
      </c>
      <c r="AO33">
        <f t="shared" si="2"/>
        <v>0.26198900000000003</v>
      </c>
      <c r="AQ33" t="s">
        <v>356</v>
      </c>
      <c r="AR33" s="11">
        <f>AVERAGEIFS($AG$1:$AG$37,$O$1:$O$37,$AP4,$AF$1:$AF$37,1,$S$1:$S$37,$AR$31)</f>
        <v>2.9169999999999998</v>
      </c>
      <c r="AS33" s="11">
        <f>AVERAGEIFS($AG$1:$AG$37,$O$1:$O$37,$AP4,$AF$1:$AF$37,1,$S$1:$S$37,$AS$31)</f>
        <v>2.3650000000000002</v>
      </c>
      <c r="AT33" s="11">
        <f>AVERAGEIFS($AG$1:$AG$37,$O$1:$O$37,$AP$4,$AF$1:$AF$37,1,$S$1:$S$37,$AT$31)</f>
        <v>2.7509999999999999</v>
      </c>
      <c r="AU33" s="11">
        <f>AVERAGEIFS($AG$1:$AG$37,$O$1:$O$37,$AP$4,$AF$1:$AF$37,1,$S$1:$S$37,$AU$31)</f>
        <v>2.9849999999999999</v>
      </c>
    </row>
    <row r="34" spans="1:47" x14ac:dyDescent="0.25">
      <c r="A34">
        <v>259</v>
      </c>
      <c r="B34" t="s">
        <v>35</v>
      </c>
      <c r="C34">
        <v>3</v>
      </c>
      <c r="D34" t="s">
        <v>36</v>
      </c>
      <c r="E34">
        <v>4</v>
      </c>
      <c r="F34" t="s">
        <v>37</v>
      </c>
      <c r="G34">
        <v>9</v>
      </c>
      <c r="H34">
        <v>15</v>
      </c>
      <c r="I34">
        <v>1</v>
      </c>
      <c r="J34">
        <v>33</v>
      </c>
      <c r="K34">
        <v>35</v>
      </c>
      <c r="L34">
        <v>23</v>
      </c>
      <c r="M34">
        <v>1</v>
      </c>
      <c r="N34" t="s">
        <v>328</v>
      </c>
      <c r="O34" t="s">
        <v>151</v>
      </c>
      <c r="P34" t="s">
        <v>245</v>
      </c>
      <c r="Q34" t="s">
        <v>246</v>
      </c>
      <c r="R34" t="s">
        <v>170</v>
      </c>
      <c r="S34" t="s">
        <v>59</v>
      </c>
      <c r="T34" t="s">
        <v>282</v>
      </c>
      <c r="U34">
        <v>4</v>
      </c>
      <c r="V34" t="s">
        <v>264</v>
      </c>
      <c r="W34" t="s">
        <v>266</v>
      </c>
      <c r="X34" t="s">
        <v>268</v>
      </c>
      <c r="Y34">
        <v>1</v>
      </c>
      <c r="Z34">
        <v>2</v>
      </c>
      <c r="AA34">
        <v>44.1</v>
      </c>
      <c r="AB34">
        <v>7.0999999999999994E-2</v>
      </c>
      <c r="AC34" t="s">
        <v>282</v>
      </c>
      <c r="AD34">
        <v>1</v>
      </c>
      <c r="AE34">
        <v>4</v>
      </c>
      <c r="AF34">
        <v>1</v>
      </c>
      <c r="AG34">
        <v>2.9169999999999998</v>
      </c>
      <c r="AH34">
        <v>0.217</v>
      </c>
      <c r="AI34">
        <v>6.7000000000000004E-2</v>
      </c>
      <c r="AJ34">
        <v>1.0049889999999999</v>
      </c>
      <c r="AL34">
        <f t="shared" si="0"/>
        <v>1.0049889999999999</v>
      </c>
      <c r="AM34">
        <f>VLOOKUP(TRIM(N34),'[1]All - Durations'!$E$2:$H$109,4,FALSE)</f>
        <v>0.89300000000000002</v>
      </c>
      <c r="AN34">
        <f t="shared" si="1"/>
        <v>0.11198899999999989</v>
      </c>
      <c r="AO34">
        <f t="shared" si="2"/>
        <v>0.11198899999999989</v>
      </c>
      <c r="AQ34" t="s">
        <v>357</v>
      </c>
      <c r="AR34" s="11" t="s">
        <v>375</v>
      </c>
      <c r="AS34" s="11" t="s">
        <v>375</v>
      </c>
      <c r="AT34" s="11" t="s">
        <v>375</v>
      </c>
      <c r="AU34" s="11">
        <f>AVERAGEIFS($AG$1:$AG$37,$O$1:$O$37,$AP$5,$AF$1:$AF$37,1,$S$1:$S$37,$AU$31)</f>
        <v>2.3330000000000002</v>
      </c>
    </row>
    <row r="35" spans="1:47" x14ac:dyDescent="0.25">
      <c r="A35">
        <v>259</v>
      </c>
      <c r="B35" t="s">
        <v>35</v>
      </c>
      <c r="C35">
        <v>3</v>
      </c>
      <c r="D35" t="s">
        <v>36</v>
      </c>
      <c r="E35">
        <v>4</v>
      </c>
      <c r="F35" t="s">
        <v>37</v>
      </c>
      <c r="G35">
        <v>9</v>
      </c>
      <c r="H35">
        <v>15</v>
      </c>
      <c r="I35">
        <v>1</v>
      </c>
      <c r="J35">
        <v>34</v>
      </c>
      <c r="K35">
        <v>26</v>
      </c>
      <c r="L35">
        <v>14</v>
      </c>
      <c r="M35">
        <v>1</v>
      </c>
      <c r="N35" t="s">
        <v>329</v>
      </c>
      <c r="O35" t="s">
        <v>151</v>
      </c>
      <c r="P35" t="s">
        <v>168</v>
      </c>
      <c r="Q35" t="s">
        <v>169</v>
      </c>
      <c r="R35" t="s">
        <v>160</v>
      </c>
      <c r="S35" t="s">
        <v>43</v>
      </c>
      <c r="T35" t="s">
        <v>286</v>
      </c>
      <c r="U35">
        <v>4</v>
      </c>
      <c r="V35" t="s">
        <v>307</v>
      </c>
      <c r="W35" t="s">
        <v>289</v>
      </c>
      <c r="X35" t="s">
        <v>281</v>
      </c>
      <c r="Y35">
        <v>2</v>
      </c>
      <c r="Z35">
        <v>2</v>
      </c>
      <c r="AA35">
        <v>44.1</v>
      </c>
      <c r="AB35">
        <v>1.25</v>
      </c>
      <c r="AC35" t="s">
        <v>281</v>
      </c>
      <c r="AD35">
        <v>4</v>
      </c>
      <c r="AE35">
        <v>5</v>
      </c>
      <c r="AF35">
        <v>0</v>
      </c>
      <c r="AG35">
        <v>3.1539999999999999</v>
      </c>
      <c r="AH35">
        <v>0.59899999999999998</v>
      </c>
      <c r="AI35">
        <v>1.234</v>
      </c>
      <c r="AJ35">
        <v>1.2049890000000001</v>
      </c>
      <c r="AL35">
        <f t="shared" si="0"/>
        <v>1.2049890000000001</v>
      </c>
      <c r="AM35">
        <f>VLOOKUP(TRIM(N35),'[1]All - Durations'!$E$2:$H$109,4,FALSE)</f>
        <v>0.93100000000000005</v>
      </c>
      <c r="AN35">
        <f t="shared" si="1"/>
        <v>0.27398900000000004</v>
      </c>
      <c r="AO35">
        <f t="shared" si="2"/>
        <v>0.27398900000000004</v>
      </c>
    </row>
    <row r="36" spans="1:47" x14ac:dyDescent="0.25">
      <c r="A36">
        <v>259</v>
      </c>
      <c r="B36" t="s">
        <v>35</v>
      </c>
      <c r="C36">
        <v>3</v>
      </c>
      <c r="D36" t="s">
        <v>36</v>
      </c>
      <c r="E36">
        <v>4</v>
      </c>
      <c r="F36" t="s">
        <v>37</v>
      </c>
      <c r="G36">
        <v>9</v>
      </c>
      <c r="H36">
        <v>15</v>
      </c>
      <c r="I36">
        <v>1</v>
      </c>
      <c r="J36">
        <v>35</v>
      </c>
      <c r="K36">
        <v>29</v>
      </c>
      <c r="L36">
        <v>17</v>
      </c>
      <c r="M36">
        <v>1</v>
      </c>
      <c r="N36" t="s">
        <v>330</v>
      </c>
      <c r="O36" t="s">
        <v>151</v>
      </c>
      <c r="P36" t="s">
        <v>255</v>
      </c>
      <c r="Q36" t="s">
        <v>256</v>
      </c>
      <c r="R36" t="s">
        <v>170</v>
      </c>
      <c r="S36" t="s">
        <v>59</v>
      </c>
      <c r="T36" t="s">
        <v>269</v>
      </c>
      <c r="U36">
        <v>2</v>
      </c>
      <c r="V36" t="s">
        <v>282</v>
      </c>
      <c r="W36" t="s">
        <v>301</v>
      </c>
      <c r="X36" t="s">
        <v>272</v>
      </c>
      <c r="Y36">
        <v>2</v>
      </c>
      <c r="Z36">
        <v>2</v>
      </c>
      <c r="AA36">
        <v>44.1</v>
      </c>
      <c r="AB36">
        <v>1.1419999999999999</v>
      </c>
      <c r="AC36" t="s">
        <v>272</v>
      </c>
      <c r="AD36">
        <v>4</v>
      </c>
      <c r="AE36">
        <v>1</v>
      </c>
      <c r="AF36">
        <v>0</v>
      </c>
      <c r="AG36">
        <v>1.5249999999999999</v>
      </c>
      <c r="AH36">
        <v>0.58299999999999996</v>
      </c>
      <c r="AI36">
        <v>1.137</v>
      </c>
      <c r="AJ36">
        <v>0.63498900000000003</v>
      </c>
      <c r="AK36">
        <v>1.0627</v>
      </c>
      <c r="AL36">
        <f t="shared" si="0"/>
        <v>1.0627</v>
      </c>
      <c r="AM36">
        <f>VLOOKUP(TRIM(N36),'[1]All - Durations'!$E$2:$H$109,4,FALSE)</f>
        <v>0.98399999999999999</v>
      </c>
      <c r="AN36">
        <f t="shared" si="1"/>
        <v>7.8699999999999992E-2</v>
      </c>
      <c r="AO36">
        <f t="shared" si="2"/>
        <v>7.8699999999999992E-2</v>
      </c>
      <c r="AP36" t="s">
        <v>374</v>
      </c>
      <c r="AR36" t="s">
        <v>358</v>
      </c>
      <c r="AS36" t="s">
        <v>359</v>
      </c>
    </row>
    <row r="37" spans="1:47" x14ac:dyDescent="0.25">
      <c r="A37">
        <v>259</v>
      </c>
      <c r="B37" t="s">
        <v>35</v>
      </c>
      <c r="C37">
        <v>3</v>
      </c>
      <c r="D37" t="s">
        <v>36</v>
      </c>
      <c r="E37">
        <v>4</v>
      </c>
      <c r="F37" t="s">
        <v>37</v>
      </c>
      <c r="G37">
        <v>9</v>
      </c>
      <c r="H37">
        <v>15</v>
      </c>
      <c r="I37">
        <v>1</v>
      </c>
      <c r="J37">
        <v>36</v>
      </c>
      <c r="K37">
        <v>32</v>
      </c>
      <c r="L37">
        <v>20</v>
      </c>
      <c r="M37">
        <v>1</v>
      </c>
      <c r="N37" t="s">
        <v>331</v>
      </c>
      <c r="O37" t="s">
        <v>151</v>
      </c>
      <c r="P37" t="s">
        <v>239</v>
      </c>
      <c r="Q37" t="s">
        <v>240</v>
      </c>
      <c r="R37" t="s">
        <v>174</v>
      </c>
      <c r="S37" t="s">
        <v>52</v>
      </c>
      <c r="T37" t="s">
        <v>291</v>
      </c>
      <c r="U37">
        <v>1</v>
      </c>
      <c r="V37" t="s">
        <v>273</v>
      </c>
      <c r="W37" t="s">
        <v>262</v>
      </c>
      <c r="X37" t="s">
        <v>263</v>
      </c>
      <c r="Y37">
        <v>1</v>
      </c>
      <c r="Z37">
        <v>2</v>
      </c>
      <c r="AA37">
        <v>44.1</v>
      </c>
      <c r="AB37">
        <v>0.96099999999999997</v>
      </c>
      <c r="AC37" t="s">
        <v>291</v>
      </c>
      <c r="AD37">
        <v>1</v>
      </c>
      <c r="AE37">
        <v>1</v>
      </c>
      <c r="AF37">
        <v>1</v>
      </c>
      <c r="AG37">
        <v>1.9279999999999999</v>
      </c>
      <c r="AH37">
        <v>0.5</v>
      </c>
      <c r="AI37">
        <v>0.95799999999999996</v>
      </c>
      <c r="AJ37">
        <v>1.144989</v>
      </c>
      <c r="AL37">
        <f t="shared" si="0"/>
        <v>1.144989</v>
      </c>
      <c r="AM37">
        <f>VLOOKUP(TRIM(N37),'[1]All - Durations'!$E$2:$H$109,4,FALSE)</f>
        <v>1.01</v>
      </c>
      <c r="AN37">
        <f t="shared" si="1"/>
        <v>0.13498900000000003</v>
      </c>
      <c r="AO37">
        <f t="shared" si="2"/>
        <v>0.13498900000000003</v>
      </c>
      <c r="AQ37" t="s">
        <v>355</v>
      </c>
      <c r="AR37" s="11">
        <f>(SUMIFS($AG$1:$AG$37,$O$1:$O$37,$AP$3,$AF$1:$AF$37,1,$S$1:$S$37,$AR$31)+SUMIFS($AG$1:$AG$37,$O$1:$O$37,$AP$3,$AF$1:$AF$37,1,$S$1:$S$37,$AT$31))/(COUNTIFS($O$1:$O$37,$AP$3,$AF$1:$AF$37,1,$S$1:$S$37,$AR$31)+COUNTIFS($O$1:$O$37,$AP$3,$AF$1:$AF$37,1,$S$1:$S$37,$AT$31))</f>
        <v>2.3464999999999998</v>
      </c>
      <c r="AS37" s="11">
        <f>(SUMIFS($AG$1:$AG$37,$O$1:$O$37,$AP$3,$AF$1:$AF$37,1,$S$1:$S$37,$AS$31)+SUMIFS($AG$1:$AG$37,$O$1:$O$37,$AP$3,$AF$1:$AF$37,1,$S$1:$S$37,$AU$31))/(COUNTIFS($O$1:$O$37,$AP$3,$AF$1:$AF$37,1,$S$1:$S$37,$AS$31)+COUNTIFS($O$1:$O$37,$AP$3,$AF$1:$AF$37,1,$S$1:$S$37,$AU$31))</f>
        <v>2.4474999999999998</v>
      </c>
    </row>
    <row r="38" spans="1:47" x14ac:dyDescent="0.25">
      <c r="AO38" t="str">
        <f t="shared" si="2"/>
        <v/>
      </c>
      <c r="AQ38" t="s">
        <v>356</v>
      </c>
      <c r="AR38" s="11">
        <f>(SUMIFS($AG$1:$AG$37,$O$1:$O$37,$AP$4,$AF$1:$AF$37,1,$S$1:$S$37,$AR$31)+SUMIFS($AG$1:$AG$37,$O$1:$O$37,$AP$4,$AF$1:$AF$37,1,$S$1:$S$37,$AT$31))/(COUNTIFS($O$1:$O$37,$AP$4,$AF$1:$AF$37,1,$S$1:$S$37,$AR$31)+COUNTIFS($O$1:$O$37,$AP$4,$AF$1:$AF$37,1,$S$1:$S$37,$AT$31))</f>
        <v>2.8063333333333333</v>
      </c>
      <c r="AS38" s="11">
        <f>(SUMIFS($AG$1:$AG$37,$O$1:$O$37,$AP$4,$AF$1:$AF$37,1,$S$1:$S$37,$AS$31)+SUMIFS($AG$1:$AG$37,$O$1:$O$37,$AP$4,$AF$1:$AF$37,1,$S$1:$S$37,$AU$31))/(COUNTIFS($O$1:$O$37,$AP$4,$AF$1:$AF$37,1,$S$1:$S$37,$AS$31)+COUNTIFS($O$1:$O$37,$AP$4,$AF$1:$AF$37,1,$S$1:$S$37,$AU$31))</f>
        <v>2.5716666666666668</v>
      </c>
    </row>
    <row r="39" spans="1:47" x14ac:dyDescent="0.25">
      <c r="AO39" t="str">
        <f t="shared" si="2"/>
        <v/>
      </c>
      <c r="AQ39" t="s">
        <v>357</v>
      </c>
      <c r="AR39" s="11" t="s">
        <v>375</v>
      </c>
      <c r="AS39" s="11">
        <f>(SUMIFS($AG$1:$AG$37,$O$1:$O$37,$AP$5,$AF$1:$AF$37,1,$S$1:$S$37,$AS$31)+SUMIFS($AG$1:$AG$37,$O$1:$O$37,$AP$5,$AF$1:$AF$37,1,$S$1:$S$37,$AU$31))/(COUNTIFS($O$1:$O$37,$AP$5,$AF$1:$AF$37,1,$S$1:$S$37,$AS$31)+COUNTIFS($O$1:$O$37,$AP$5,$AF$1:$AF$37,1,$S$1:$S$37,$AU$31))</f>
        <v>2.3330000000000002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6"/>
  <sheetViews>
    <sheetView zoomScale="90" zoomScaleNormal="90" workbookViewId="0">
      <selection activeCell="K20" sqref="K20"/>
    </sheetView>
  </sheetViews>
  <sheetFormatPr defaultRowHeight="15" x14ac:dyDescent="0.25"/>
  <sheetData>
    <row r="1" spans="1:162" x14ac:dyDescent="0.25">
      <c r="A1" s="32" t="s">
        <v>376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 t="s">
        <v>377</v>
      </c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 t="s">
        <v>376</v>
      </c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 t="s">
        <v>377</v>
      </c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 t="s">
        <v>376</v>
      </c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 t="s">
        <v>377</v>
      </c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 t="s">
        <v>376</v>
      </c>
      <c r="EP1" s="32"/>
      <c r="EQ1" s="32"/>
      <c r="ER1" s="32" t="s">
        <v>376</v>
      </c>
      <c r="ES1" s="32"/>
      <c r="ET1" s="32"/>
      <c r="EU1" s="32" t="s">
        <v>376</v>
      </c>
      <c r="EV1" s="32"/>
      <c r="EW1" s="32"/>
      <c r="EX1" s="32" t="s">
        <v>377</v>
      </c>
      <c r="EY1" s="32"/>
      <c r="EZ1" s="32"/>
      <c r="FA1" s="32" t="s">
        <v>377</v>
      </c>
      <c r="FB1" s="32"/>
      <c r="FC1" s="32"/>
      <c r="FD1" s="32" t="s">
        <v>377</v>
      </c>
      <c r="FE1" s="32"/>
      <c r="FF1" s="32"/>
    </row>
    <row r="2" spans="1:162" x14ac:dyDescent="0.25">
      <c r="A2" s="32" t="s">
        <v>355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 t="s">
        <v>355</v>
      </c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 t="s">
        <v>356</v>
      </c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 t="s">
        <v>356</v>
      </c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 t="s">
        <v>357</v>
      </c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 t="s">
        <v>357</v>
      </c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 t="s">
        <v>355</v>
      </c>
      <c r="EP2" s="32"/>
      <c r="EQ2" s="32"/>
      <c r="ER2" s="32" t="s">
        <v>356</v>
      </c>
      <c r="ES2" s="32"/>
      <c r="ET2" s="32"/>
      <c r="EU2" s="32" t="s">
        <v>357</v>
      </c>
      <c r="EV2" s="32"/>
      <c r="EW2" s="32"/>
      <c r="EX2" s="32" t="s">
        <v>355</v>
      </c>
      <c r="EY2" s="32"/>
      <c r="EZ2" s="32"/>
      <c r="FA2" s="32" t="s">
        <v>356</v>
      </c>
      <c r="FB2" s="32"/>
      <c r="FC2" s="32"/>
      <c r="FD2" s="32" t="s">
        <v>357</v>
      </c>
      <c r="FE2" s="32"/>
      <c r="FF2" s="32"/>
    </row>
    <row r="3" spans="1:162" x14ac:dyDescent="0.25">
      <c r="A3" s="32">
        <v>1</v>
      </c>
      <c r="B3" s="32"/>
      <c r="C3" s="32"/>
      <c r="D3" s="32"/>
      <c r="E3" s="32"/>
      <c r="F3" s="32"/>
      <c r="G3" s="32">
        <v>2</v>
      </c>
      <c r="H3" s="32"/>
      <c r="I3" s="32"/>
      <c r="J3" s="32"/>
      <c r="K3" s="32"/>
      <c r="L3" s="32"/>
      <c r="M3" s="32">
        <v>3</v>
      </c>
      <c r="N3" s="32"/>
      <c r="O3" s="32"/>
      <c r="P3" s="32"/>
      <c r="Q3" s="32"/>
      <c r="R3" s="32"/>
      <c r="S3" s="32">
        <v>4</v>
      </c>
      <c r="T3" s="32"/>
      <c r="U3" s="32"/>
      <c r="V3" s="32"/>
      <c r="W3" s="32"/>
      <c r="X3" s="32"/>
      <c r="Y3" s="32">
        <v>1</v>
      </c>
      <c r="Z3" s="32"/>
      <c r="AA3" s="32"/>
      <c r="AB3" s="32"/>
      <c r="AC3" s="32"/>
      <c r="AD3" s="32"/>
      <c r="AE3" s="32">
        <v>2</v>
      </c>
      <c r="AF3" s="32"/>
      <c r="AG3" s="32"/>
      <c r="AH3" s="32"/>
      <c r="AI3" s="32"/>
      <c r="AJ3" s="32"/>
      <c r="AK3" s="32">
        <v>3</v>
      </c>
      <c r="AL3" s="32"/>
      <c r="AM3" s="32"/>
      <c r="AN3" s="32"/>
      <c r="AO3" s="32"/>
      <c r="AP3" s="32"/>
      <c r="AQ3" s="32">
        <v>4</v>
      </c>
      <c r="AR3" s="32"/>
      <c r="AS3" s="32"/>
      <c r="AT3" s="32"/>
      <c r="AU3" s="32"/>
      <c r="AV3" s="32"/>
      <c r="AW3" s="32">
        <v>1</v>
      </c>
      <c r="AX3" s="32"/>
      <c r="AY3" s="32"/>
      <c r="AZ3" s="32"/>
      <c r="BA3" s="32"/>
      <c r="BB3" s="32"/>
      <c r="BC3" s="32">
        <v>2</v>
      </c>
      <c r="BD3" s="32"/>
      <c r="BE3" s="32"/>
      <c r="BF3" s="32"/>
      <c r="BG3" s="32"/>
      <c r="BH3" s="32"/>
      <c r="BI3" s="32">
        <v>3</v>
      </c>
      <c r="BJ3" s="32"/>
      <c r="BK3" s="32"/>
      <c r="BL3" s="32"/>
      <c r="BM3" s="32"/>
      <c r="BN3" s="32"/>
      <c r="BO3" s="32">
        <v>4</v>
      </c>
      <c r="BP3" s="32"/>
      <c r="BQ3" s="32"/>
      <c r="BR3" s="32"/>
      <c r="BS3" s="32"/>
      <c r="BT3" s="32"/>
      <c r="BU3" s="32">
        <v>1</v>
      </c>
      <c r="BV3" s="32"/>
      <c r="BW3" s="32"/>
      <c r="BX3" s="32"/>
      <c r="BY3" s="32"/>
      <c r="BZ3" s="32"/>
      <c r="CA3" s="32">
        <v>2</v>
      </c>
      <c r="CB3" s="32"/>
      <c r="CC3" s="32"/>
      <c r="CD3" s="32"/>
      <c r="CE3" s="32"/>
      <c r="CF3" s="32"/>
      <c r="CG3" s="32">
        <v>3</v>
      </c>
      <c r="CH3" s="32"/>
      <c r="CI3" s="32"/>
      <c r="CJ3" s="32"/>
      <c r="CK3" s="32"/>
      <c r="CL3" s="32"/>
      <c r="CM3" s="32">
        <v>4</v>
      </c>
      <c r="CN3" s="32"/>
      <c r="CO3" s="32"/>
      <c r="CP3" s="32"/>
      <c r="CQ3" s="32"/>
      <c r="CR3" s="32"/>
      <c r="CS3" s="32">
        <v>1</v>
      </c>
      <c r="CT3" s="32"/>
      <c r="CU3" s="32"/>
      <c r="CV3" s="32"/>
      <c r="CW3" s="32"/>
      <c r="CX3" s="32"/>
      <c r="CY3" s="32">
        <v>2</v>
      </c>
      <c r="CZ3" s="32"/>
      <c r="DA3" s="32"/>
      <c r="DB3" s="32"/>
      <c r="DC3" s="32"/>
      <c r="DD3" s="32"/>
      <c r="DE3" s="32">
        <v>3</v>
      </c>
      <c r="DF3" s="32"/>
      <c r="DG3" s="32"/>
      <c r="DH3" s="32"/>
      <c r="DI3" s="32"/>
      <c r="DJ3" s="32"/>
      <c r="DK3" s="32">
        <v>4</v>
      </c>
      <c r="DL3" s="32"/>
      <c r="DM3" s="32"/>
      <c r="DN3" s="32"/>
      <c r="DO3" s="32"/>
      <c r="DP3" s="32"/>
      <c r="DQ3" s="32">
        <v>1</v>
      </c>
      <c r="DR3" s="32"/>
      <c r="DS3" s="32"/>
      <c r="DT3" s="32"/>
      <c r="DU3" s="32"/>
      <c r="DV3" s="32"/>
      <c r="DW3" s="32">
        <v>2</v>
      </c>
      <c r="DX3" s="32"/>
      <c r="DY3" s="32"/>
      <c r="DZ3" s="32"/>
      <c r="EA3" s="32"/>
      <c r="EB3" s="32"/>
      <c r="EC3" s="32">
        <v>3</v>
      </c>
      <c r="ED3" s="32"/>
      <c r="EE3" s="32"/>
      <c r="EF3" s="32"/>
      <c r="EG3" s="32"/>
      <c r="EH3" s="32"/>
      <c r="EI3" s="32">
        <v>4</v>
      </c>
      <c r="EJ3" s="32"/>
      <c r="EK3" s="32"/>
      <c r="EL3" s="32"/>
      <c r="EM3" s="32"/>
      <c r="EN3" s="32"/>
      <c r="EO3" s="32" t="s">
        <v>378</v>
      </c>
      <c r="EP3" s="32"/>
      <c r="EQ3" s="32"/>
      <c r="ER3" s="32" t="s">
        <v>378</v>
      </c>
      <c r="ES3" s="32"/>
      <c r="ET3" s="32"/>
      <c r="EU3" s="32" t="s">
        <v>378</v>
      </c>
      <c r="EV3" s="32"/>
      <c r="EW3" s="32"/>
      <c r="EX3" s="32" t="s">
        <v>378</v>
      </c>
      <c r="EY3" s="32"/>
      <c r="EZ3" s="32"/>
      <c r="FA3" s="32" t="s">
        <v>378</v>
      </c>
      <c r="FB3" s="32"/>
      <c r="FC3" s="32"/>
      <c r="FD3" s="32" t="s">
        <v>378</v>
      </c>
      <c r="FE3" s="32"/>
      <c r="FF3" s="32"/>
    </row>
    <row r="4" spans="1:162" x14ac:dyDescent="0.25">
      <c r="A4" s="32">
        <v>1</v>
      </c>
      <c r="B4" s="32"/>
      <c r="C4" s="32"/>
      <c r="D4" s="32">
        <v>2</v>
      </c>
      <c r="E4" s="32"/>
      <c r="F4" s="32"/>
      <c r="G4" s="32">
        <v>1</v>
      </c>
      <c r="H4" s="32"/>
      <c r="I4" s="32"/>
      <c r="J4" s="32">
        <v>2</v>
      </c>
      <c r="K4" s="32"/>
      <c r="L4" s="32"/>
      <c r="M4" s="32">
        <v>1</v>
      </c>
      <c r="N4" s="32"/>
      <c r="O4" s="32"/>
      <c r="P4" s="32">
        <v>2</v>
      </c>
      <c r="Q4" s="32"/>
      <c r="R4" s="32"/>
      <c r="S4" s="32">
        <v>1</v>
      </c>
      <c r="T4" s="32"/>
      <c r="U4" s="32"/>
      <c r="V4" s="32">
        <v>2</v>
      </c>
      <c r="W4" s="32"/>
      <c r="X4" s="32"/>
      <c r="Y4" s="32">
        <v>1</v>
      </c>
      <c r="Z4" s="32"/>
      <c r="AA4" s="32"/>
      <c r="AB4" s="32">
        <v>2</v>
      </c>
      <c r="AC4" s="32"/>
      <c r="AD4" s="32"/>
      <c r="AE4" s="32">
        <v>1</v>
      </c>
      <c r="AF4" s="32"/>
      <c r="AG4" s="32"/>
      <c r="AH4" s="32">
        <v>2</v>
      </c>
      <c r="AI4" s="32"/>
      <c r="AJ4" s="32"/>
      <c r="AK4" s="32">
        <v>1</v>
      </c>
      <c r="AL4" s="32"/>
      <c r="AM4" s="32"/>
      <c r="AN4" s="32">
        <v>2</v>
      </c>
      <c r="AO4" s="32"/>
      <c r="AP4" s="32"/>
      <c r="AQ4" s="32">
        <v>1</v>
      </c>
      <c r="AR4" s="32"/>
      <c r="AS4" s="32"/>
      <c r="AT4" s="32">
        <v>2</v>
      </c>
      <c r="AU4" s="32"/>
      <c r="AV4" s="32"/>
      <c r="AW4" s="32">
        <v>1</v>
      </c>
      <c r="AX4" s="32"/>
      <c r="AY4" s="32"/>
      <c r="AZ4" s="32">
        <v>2</v>
      </c>
      <c r="BA4" s="32"/>
      <c r="BB4" s="32"/>
      <c r="BC4" s="32">
        <v>1</v>
      </c>
      <c r="BD4" s="32"/>
      <c r="BE4" s="32"/>
      <c r="BF4" s="32">
        <v>2</v>
      </c>
      <c r="BG4" s="32"/>
      <c r="BH4" s="32"/>
      <c r="BI4" s="32">
        <v>1</v>
      </c>
      <c r="BJ4" s="32"/>
      <c r="BK4" s="32"/>
      <c r="BL4" s="32">
        <v>2</v>
      </c>
      <c r="BM4" s="32"/>
      <c r="BN4" s="32"/>
      <c r="BO4" s="32">
        <v>1</v>
      </c>
      <c r="BP4" s="32"/>
      <c r="BQ4" s="32"/>
      <c r="BR4" s="32">
        <v>2</v>
      </c>
      <c r="BS4" s="32"/>
      <c r="BT4" s="32"/>
      <c r="BU4" s="32">
        <v>1</v>
      </c>
      <c r="BV4" s="32"/>
      <c r="BW4" s="32"/>
      <c r="BX4" s="32">
        <v>2</v>
      </c>
      <c r="BY4" s="32"/>
      <c r="BZ4" s="32"/>
      <c r="CA4" s="32">
        <v>1</v>
      </c>
      <c r="CB4" s="32"/>
      <c r="CC4" s="32"/>
      <c r="CD4" s="32">
        <v>2</v>
      </c>
      <c r="CE4" s="32"/>
      <c r="CF4" s="32"/>
      <c r="CG4" s="32">
        <v>1</v>
      </c>
      <c r="CH4" s="32"/>
      <c r="CI4" s="32"/>
      <c r="CJ4" s="32">
        <v>2</v>
      </c>
      <c r="CK4" s="32"/>
      <c r="CL4" s="32"/>
      <c r="CM4" s="32">
        <v>1</v>
      </c>
      <c r="CN4" s="32"/>
      <c r="CO4" s="32"/>
      <c r="CP4" s="32">
        <v>2</v>
      </c>
      <c r="CQ4" s="32"/>
      <c r="CR4" s="32"/>
      <c r="CS4" s="32">
        <v>1</v>
      </c>
      <c r="CT4" s="32"/>
      <c r="CU4" s="32"/>
      <c r="CV4" s="32">
        <v>2</v>
      </c>
      <c r="CW4" s="32"/>
      <c r="CX4" s="32"/>
      <c r="CY4" s="32">
        <v>1</v>
      </c>
      <c r="CZ4" s="32"/>
      <c r="DA4" s="32"/>
      <c r="DB4" s="32">
        <v>2</v>
      </c>
      <c r="DC4" s="32"/>
      <c r="DD4" s="32"/>
      <c r="DE4" s="32">
        <v>1</v>
      </c>
      <c r="DF4" s="32"/>
      <c r="DG4" s="32"/>
      <c r="DH4" s="32">
        <v>2</v>
      </c>
      <c r="DI4" s="32"/>
      <c r="DJ4" s="32"/>
      <c r="DK4" s="32">
        <v>1</v>
      </c>
      <c r="DL4" s="32"/>
      <c r="DM4" s="32"/>
      <c r="DN4" s="32">
        <v>2</v>
      </c>
      <c r="DO4" s="32"/>
      <c r="DP4" s="32"/>
      <c r="DQ4" s="32">
        <v>1</v>
      </c>
      <c r="DR4" s="32"/>
      <c r="DS4" s="32"/>
      <c r="DT4" s="32">
        <v>2</v>
      </c>
      <c r="DU4" s="32"/>
      <c r="DV4" s="32"/>
      <c r="DW4" s="32">
        <v>1</v>
      </c>
      <c r="DX4" s="32"/>
      <c r="DY4" s="32"/>
      <c r="DZ4" s="32">
        <v>2</v>
      </c>
      <c r="EA4" s="32"/>
      <c r="EB4" s="32"/>
      <c r="EC4" s="32">
        <v>1</v>
      </c>
      <c r="ED4" s="32"/>
      <c r="EE4" s="32"/>
      <c r="EF4" s="32">
        <v>2</v>
      </c>
      <c r="EG4" s="32"/>
      <c r="EH4" s="32"/>
      <c r="EI4" s="32">
        <v>1</v>
      </c>
      <c r="EJ4" s="32"/>
      <c r="EK4" s="32"/>
      <c r="EL4" s="32">
        <v>2</v>
      </c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</row>
    <row r="5" spans="1:162" x14ac:dyDescent="0.25">
      <c r="A5" t="s">
        <v>379</v>
      </c>
      <c r="B5" t="s">
        <v>380</v>
      </c>
      <c r="C5" t="s">
        <v>381</v>
      </c>
      <c r="D5" t="s">
        <v>379</v>
      </c>
      <c r="E5" t="s">
        <v>380</v>
      </c>
      <c r="F5" t="s">
        <v>381</v>
      </c>
      <c r="G5" t="s">
        <v>379</v>
      </c>
      <c r="H5" t="s">
        <v>380</v>
      </c>
      <c r="I5" t="s">
        <v>381</v>
      </c>
      <c r="J5" t="s">
        <v>379</v>
      </c>
      <c r="K5" t="s">
        <v>380</v>
      </c>
      <c r="L5" t="s">
        <v>381</v>
      </c>
      <c r="M5" t="s">
        <v>379</v>
      </c>
      <c r="N5" t="s">
        <v>380</v>
      </c>
      <c r="O5" t="s">
        <v>381</v>
      </c>
      <c r="P5" t="s">
        <v>379</v>
      </c>
      <c r="Q5" t="s">
        <v>380</v>
      </c>
      <c r="R5" t="s">
        <v>381</v>
      </c>
      <c r="S5" t="s">
        <v>379</v>
      </c>
      <c r="T5" t="s">
        <v>380</v>
      </c>
      <c r="U5" t="s">
        <v>381</v>
      </c>
      <c r="V5" t="s">
        <v>379</v>
      </c>
      <c r="W5" t="s">
        <v>380</v>
      </c>
      <c r="X5" t="s">
        <v>381</v>
      </c>
      <c r="Y5" t="s">
        <v>379</v>
      </c>
      <c r="Z5" t="s">
        <v>380</v>
      </c>
      <c r="AA5" t="s">
        <v>381</v>
      </c>
      <c r="AB5" t="s">
        <v>379</v>
      </c>
      <c r="AC5" t="s">
        <v>380</v>
      </c>
      <c r="AD5" t="s">
        <v>381</v>
      </c>
      <c r="AE5" t="s">
        <v>379</v>
      </c>
      <c r="AF5" t="s">
        <v>380</v>
      </c>
      <c r="AG5" t="s">
        <v>381</v>
      </c>
      <c r="AH5" t="s">
        <v>379</v>
      </c>
      <c r="AI5" t="s">
        <v>380</v>
      </c>
      <c r="AJ5" t="s">
        <v>381</v>
      </c>
      <c r="AK5" t="s">
        <v>379</v>
      </c>
      <c r="AL5" t="s">
        <v>380</v>
      </c>
      <c r="AM5" t="s">
        <v>381</v>
      </c>
      <c r="AN5" t="s">
        <v>379</v>
      </c>
      <c r="AO5" t="s">
        <v>380</v>
      </c>
      <c r="AP5" t="s">
        <v>381</v>
      </c>
      <c r="AQ5" t="s">
        <v>379</v>
      </c>
      <c r="AR5" t="s">
        <v>380</v>
      </c>
      <c r="AS5" t="s">
        <v>381</v>
      </c>
      <c r="AT5" t="s">
        <v>379</v>
      </c>
      <c r="AU5" t="s">
        <v>380</v>
      </c>
      <c r="AV5" t="s">
        <v>381</v>
      </c>
      <c r="AW5" t="s">
        <v>379</v>
      </c>
      <c r="AX5" t="s">
        <v>380</v>
      </c>
      <c r="AY5" t="s">
        <v>381</v>
      </c>
      <c r="AZ5" t="s">
        <v>379</v>
      </c>
      <c r="BA5" t="s">
        <v>380</v>
      </c>
      <c r="BB5" t="s">
        <v>381</v>
      </c>
      <c r="BC5" t="s">
        <v>379</v>
      </c>
      <c r="BD5" t="s">
        <v>380</v>
      </c>
      <c r="BE5" t="s">
        <v>381</v>
      </c>
      <c r="BF5" t="s">
        <v>379</v>
      </c>
      <c r="BG5" t="s">
        <v>380</v>
      </c>
      <c r="BH5" t="s">
        <v>381</v>
      </c>
      <c r="BI5" t="s">
        <v>379</v>
      </c>
      <c r="BJ5" t="s">
        <v>380</v>
      </c>
      <c r="BK5" t="s">
        <v>381</v>
      </c>
      <c r="BL5" t="s">
        <v>379</v>
      </c>
      <c r="BM5" t="s">
        <v>380</v>
      </c>
      <c r="BN5" t="s">
        <v>381</v>
      </c>
      <c r="BO5" t="s">
        <v>379</v>
      </c>
      <c r="BP5" t="s">
        <v>380</v>
      </c>
      <c r="BQ5" t="s">
        <v>381</v>
      </c>
      <c r="BR5" t="s">
        <v>379</v>
      </c>
      <c r="BS5" t="s">
        <v>380</v>
      </c>
      <c r="BT5" t="s">
        <v>381</v>
      </c>
      <c r="BU5" t="s">
        <v>379</v>
      </c>
      <c r="BV5" t="s">
        <v>380</v>
      </c>
      <c r="BW5" t="s">
        <v>381</v>
      </c>
      <c r="BX5" t="s">
        <v>379</v>
      </c>
      <c r="BY5" t="s">
        <v>380</v>
      </c>
      <c r="BZ5" t="s">
        <v>381</v>
      </c>
      <c r="CA5" t="s">
        <v>379</v>
      </c>
      <c r="CB5" t="s">
        <v>380</v>
      </c>
      <c r="CC5" t="s">
        <v>381</v>
      </c>
      <c r="CD5" t="s">
        <v>379</v>
      </c>
      <c r="CE5" t="s">
        <v>380</v>
      </c>
      <c r="CF5" t="s">
        <v>381</v>
      </c>
      <c r="CG5" t="s">
        <v>379</v>
      </c>
      <c r="CH5" t="s">
        <v>380</v>
      </c>
      <c r="CI5" t="s">
        <v>381</v>
      </c>
      <c r="CJ5" t="s">
        <v>379</v>
      </c>
      <c r="CK5" t="s">
        <v>380</v>
      </c>
      <c r="CL5" t="s">
        <v>381</v>
      </c>
      <c r="CM5" t="s">
        <v>379</v>
      </c>
      <c r="CN5" t="s">
        <v>380</v>
      </c>
      <c r="CO5" t="s">
        <v>381</v>
      </c>
      <c r="CP5" t="s">
        <v>379</v>
      </c>
      <c r="CQ5" t="s">
        <v>380</v>
      </c>
      <c r="CR5" t="s">
        <v>381</v>
      </c>
      <c r="CS5" t="s">
        <v>379</v>
      </c>
      <c r="CT5" t="s">
        <v>380</v>
      </c>
      <c r="CU5" t="s">
        <v>381</v>
      </c>
      <c r="CV5" t="s">
        <v>379</v>
      </c>
      <c r="CW5" t="s">
        <v>380</v>
      </c>
      <c r="CX5" t="s">
        <v>381</v>
      </c>
      <c r="CY5" t="s">
        <v>379</v>
      </c>
      <c r="CZ5" t="s">
        <v>380</v>
      </c>
      <c r="DA5" t="s">
        <v>381</v>
      </c>
      <c r="DB5" t="s">
        <v>379</v>
      </c>
      <c r="DC5" t="s">
        <v>380</v>
      </c>
      <c r="DD5" t="s">
        <v>381</v>
      </c>
      <c r="DE5" t="s">
        <v>379</v>
      </c>
      <c r="DF5" t="s">
        <v>380</v>
      </c>
      <c r="DG5" t="s">
        <v>381</v>
      </c>
      <c r="DH5" t="s">
        <v>379</v>
      </c>
      <c r="DI5" t="s">
        <v>380</v>
      </c>
      <c r="DJ5" t="s">
        <v>381</v>
      </c>
      <c r="DK5" t="s">
        <v>379</v>
      </c>
      <c r="DL5" t="s">
        <v>380</v>
      </c>
      <c r="DM5" t="s">
        <v>381</v>
      </c>
      <c r="DN5" t="s">
        <v>379</v>
      </c>
      <c r="DO5" t="s">
        <v>380</v>
      </c>
      <c r="DP5" t="s">
        <v>381</v>
      </c>
      <c r="DQ5" t="s">
        <v>379</v>
      </c>
      <c r="DR5" t="s">
        <v>380</v>
      </c>
      <c r="DS5" t="s">
        <v>381</v>
      </c>
      <c r="DT5" t="s">
        <v>379</v>
      </c>
      <c r="DU5" t="s">
        <v>380</v>
      </c>
      <c r="DV5" t="s">
        <v>381</v>
      </c>
      <c r="DW5" t="s">
        <v>379</v>
      </c>
      <c r="DX5" t="s">
        <v>380</v>
      </c>
      <c r="DY5" t="s">
        <v>381</v>
      </c>
      <c r="DZ5" t="s">
        <v>379</v>
      </c>
      <c r="EA5" t="s">
        <v>380</v>
      </c>
      <c r="EB5" t="s">
        <v>381</v>
      </c>
      <c r="EC5" t="s">
        <v>379</v>
      </c>
      <c r="ED5" t="s">
        <v>380</v>
      </c>
      <c r="EE5" t="s">
        <v>381</v>
      </c>
      <c r="EF5" t="s">
        <v>379</v>
      </c>
      <c r="EG5" t="s">
        <v>380</v>
      </c>
      <c r="EH5" t="s">
        <v>381</v>
      </c>
      <c r="EI5" t="s">
        <v>379</v>
      </c>
      <c r="EJ5" t="s">
        <v>380</v>
      </c>
      <c r="EK5" t="s">
        <v>381</v>
      </c>
      <c r="EL5" t="s">
        <v>379</v>
      </c>
      <c r="EM5" t="s">
        <v>380</v>
      </c>
      <c r="EN5" t="s">
        <v>381</v>
      </c>
      <c r="EO5" t="s">
        <v>379</v>
      </c>
      <c r="EP5" t="s">
        <v>380</v>
      </c>
      <c r="EQ5" t="s">
        <v>381</v>
      </c>
      <c r="ER5" t="s">
        <v>379</v>
      </c>
      <c r="ES5" t="s">
        <v>380</v>
      </c>
      <c r="ET5" t="s">
        <v>381</v>
      </c>
      <c r="EU5" t="s">
        <v>379</v>
      </c>
      <c r="EV5" t="s">
        <v>380</v>
      </c>
      <c r="EW5" t="s">
        <v>381</v>
      </c>
      <c r="EX5" t="s">
        <v>379</v>
      </c>
      <c r="EY5" t="s">
        <v>380</v>
      </c>
      <c r="EZ5" t="s">
        <v>381</v>
      </c>
      <c r="FA5" t="s">
        <v>379</v>
      </c>
      <c r="FB5" t="s">
        <v>380</v>
      </c>
      <c r="FC5" t="s">
        <v>381</v>
      </c>
      <c r="FD5" t="s">
        <v>379</v>
      </c>
      <c r="FE5" t="s">
        <v>380</v>
      </c>
      <c r="FF5" t="s">
        <v>381</v>
      </c>
    </row>
    <row r="6" spans="1:162" x14ac:dyDescent="0.25">
      <c r="A6" s="25">
        <f>BehavioralTask_Sub0259_test_out!AX4</f>
        <v>0.16666666666666666</v>
      </c>
      <c r="B6" s="25">
        <f>BehavioralTask_Sub0259_test_out!AY4</f>
        <v>0.33333333333333331</v>
      </c>
      <c r="C6" s="25">
        <f>BehavioralTask_Sub0259_test_out!AZ4</f>
        <v>0.25</v>
      </c>
      <c r="D6" s="25">
        <f>BehavioralTask_Sub0259_test_out!AX5</f>
        <v>0.16666666666666666</v>
      </c>
      <c r="E6" s="25">
        <f>BehavioralTask_Sub0259_test_out!AY5</f>
        <v>0.5</v>
      </c>
      <c r="F6" s="25">
        <f>BehavioralTask_Sub0259_test_out!AZ5</f>
        <v>0.16666666666666669</v>
      </c>
      <c r="G6" s="25">
        <f>BehavioralTask_Sub0259_test_out!AX6</f>
        <v>0.16666666666666666</v>
      </c>
      <c r="H6" s="25">
        <f>BehavioralTask_Sub0259_test_out!AY6</f>
        <v>0.25</v>
      </c>
      <c r="I6" s="25">
        <f>BehavioralTask_Sub0259_test_out!AZ6</f>
        <v>0.29166666666666669</v>
      </c>
      <c r="J6" s="25">
        <f>BehavioralTask_Sub0259_test_out!AX7</f>
        <v>0.33333333333333331</v>
      </c>
      <c r="K6" s="25">
        <f>BehavioralTask_Sub0259_test_out!AY7</f>
        <v>0.33333333333333331</v>
      </c>
      <c r="L6" s="25">
        <f>BehavioralTask_Sub0259_test_out!AZ7</f>
        <v>0.16666666666666669</v>
      </c>
      <c r="M6" s="25">
        <f>BehavioralTask_Sub0259_test_out!AX8</f>
        <v>0.25</v>
      </c>
      <c r="N6" s="25">
        <f>BehavioralTask_Sub0259_test_out!AY8</f>
        <v>0.5</v>
      </c>
      <c r="O6" s="25">
        <f>BehavioralTask_Sub0259_test_out!AZ8</f>
        <v>0.125</v>
      </c>
      <c r="P6" s="25">
        <f>BehavioralTask_Sub0259_test_out!AX9</f>
        <v>0.58333333333333337</v>
      </c>
      <c r="Q6" s="25">
        <f>BehavioralTask_Sub0259_test_out!AY9</f>
        <v>0.16666666666666666</v>
      </c>
      <c r="R6" s="25">
        <f>BehavioralTask_Sub0259_test_out!AZ9</f>
        <v>0.125</v>
      </c>
      <c r="S6" s="25">
        <f>BehavioralTask_Sub0259_test_out!AX10</f>
        <v>0.33333333333333331</v>
      </c>
      <c r="T6" s="25">
        <f>BehavioralTask_Sub0259_test_out!AY10</f>
        <v>0.16666666666666666</v>
      </c>
      <c r="U6" s="25">
        <f>BehavioralTask_Sub0259_test_out!AZ10</f>
        <v>0.25</v>
      </c>
      <c r="V6" s="25">
        <f>BehavioralTask_Sub0259_test_out!AX11</f>
        <v>0.41666666666666669</v>
      </c>
      <c r="W6" s="25">
        <f>BehavioralTask_Sub0259_test_out!AY11</f>
        <v>0.41666666666666669</v>
      </c>
      <c r="X6" s="25">
        <f>BehavioralTask_Sub0259_test_out!AZ11</f>
        <v>8.3333333333333315E-2</v>
      </c>
      <c r="Y6" s="25">
        <f>BehavioralTask_Sub0259_test_out!BD4</f>
        <v>0.25</v>
      </c>
      <c r="Z6" s="25">
        <f>BehavioralTask_Sub0259_test_out!BE4</f>
        <v>0.16666666666666666</v>
      </c>
      <c r="AA6" s="25">
        <f>BehavioralTask_Sub0259_test_out!BF4</f>
        <v>0.29166666666666669</v>
      </c>
      <c r="AB6" s="25">
        <f>BehavioralTask_Sub0259_test_out!BD5</f>
        <v>0.16666666666666666</v>
      </c>
      <c r="AC6" s="25">
        <f>BehavioralTask_Sub0259_test_out!BE5</f>
        <v>0.41666666666666669</v>
      </c>
      <c r="AD6" s="25">
        <f>BehavioralTask_Sub0259_test_out!BF5</f>
        <v>0.20833333333333331</v>
      </c>
      <c r="AE6" s="25">
        <f>BehavioralTask_Sub0259_test_out!BD6</f>
        <v>0.41666666666666669</v>
      </c>
      <c r="AF6" s="25">
        <f>BehavioralTask_Sub0259_test_out!BE6</f>
        <v>0.25</v>
      </c>
      <c r="AG6" s="25">
        <f>BehavioralTask_Sub0259_test_out!BF6</f>
        <v>0.16666666666666663</v>
      </c>
      <c r="AH6" s="25">
        <f>BehavioralTask_Sub0259_test_out!BD7</f>
        <v>0.5</v>
      </c>
      <c r="AI6" s="25">
        <f>BehavioralTask_Sub0259_test_out!BE7</f>
        <v>0.33333333333333331</v>
      </c>
      <c r="AJ6" s="25">
        <f>BehavioralTask_Sub0259_test_out!BF7</f>
        <v>8.333333333333337E-2</v>
      </c>
      <c r="AK6" s="25">
        <f>BehavioralTask_Sub0259_test_out!BD8</f>
        <v>0.33333333333333331</v>
      </c>
      <c r="AL6" s="25">
        <f>BehavioralTask_Sub0259_test_out!BE8</f>
        <v>0.25</v>
      </c>
      <c r="AM6" s="25">
        <f>BehavioralTask_Sub0259_test_out!BF8</f>
        <v>0.20833333333333337</v>
      </c>
      <c r="AN6" s="25">
        <f>BehavioralTask_Sub0259_test_out!BD9</f>
        <v>0.5</v>
      </c>
      <c r="AO6" s="25">
        <f>BehavioralTask_Sub0259_test_out!BE9</f>
        <v>0.41666666666666669</v>
      </c>
      <c r="AP6" s="25">
        <f>BehavioralTask_Sub0259_test_out!BF9</f>
        <v>4.166666666666663E-2</v>
      </c>
      <c r="AQ6" s="25">
        <f>BehavioralTask_Sub0259_test_out!BD10</f>
        <v>0.58333333333333337</v>
      </c>
      <c r="AR6" s="25">
        <f>BehavioralTask_Sub0259_test_out!BE10</f>
        <v>0.16666666666666666</v>
      </c>
      <c r="AS6" s="25">
        <f>BehavioralTask_Sub0259_test_out!BF10</f>
        <v>0.125</v>
      </c>
      <c r="AT6" s="25">
        <f>BehavioralTask_Sub0259_test_out!BD11</f>
        <v>0.58333333333333337</v>
      </c>
      <c r="AU6" s="25">
        <f>BehavioralTask_Sub0259_test_out!BE11</f>
        <v>0.16666666666666666</v>
      </c>
      <c r="AV6" s="25">
        <f>BehavioralTask_Sub0259_test_out!BF11</f>
        <v>0.125</v>
      </c>
      <c r="AW6" s="25">
        <f>BehavioralTask_Sub0259_test_out!AX14</f>
        <v>0.16666666666666666</v>
      </c>
      <c r="AX6" s="25">
        <f>BehavioralTask_Sub0259_test_out!AY14</f>
        <v>8.3333333333333329E-2</v>
      </c>
      <c r="AY6" s="25">
        <f>BehavioralTask_Sub0259_test_out!AZ14</f>
        <v>0.375</v>
      </c>
      <c r="AZ6" s="25">
        <f>BehavioralTask_Sub0259_test_out!AX15</f>
        <v>0.5</v>
      </c>
      <c r="BA6" s="25">
        <f>BehavioralTask_Sub0259_test_out!AY15</f>
        <v>0.16666666666666666</v>
      </c>
      <c r="BB6" s="25">
        <f>BehavioralTask_Sub0259_test_out!AZ15</f>
        <v>0.16666666666666669</v>
      </c>
      <c r="BC6" s="25">
        <f>BehavioralTask_Sub0259_test_out!AX16</f>
        <v>0.41666666666666669</v>
      </c>
      <c r="BD6" s="25">
        <f>BehavioralTask_Sub0259_test_out!AY16</f>
        <v>0.16666666666666666</v>
      </c>
      <c r="BE6" s="25">
        <f>BehavioralTask_Sub0259_test_out!AZ16</f>
        <v>0.20833333333333331</v>
      </c>
      <c r="BF6" s="25">
        <f>BehavioralTask_Sub0259_test_out!AX17</f>
        <v>0.66666666666666663</v>
      </c>
      <c r="BG6" s="25">
        <f>BehavioralTask_Sub0259_test_out!AY17</f>
        <v>0.16666666666666666</v>
      </c>
      <c r="BH6" s="25">
        <f>BehavioralTask_Sub0259_test_out!AZ17</f>
        <v>8.333333333333337E-2</v>
      </c>
      <c r="BI6" s="25">
        <f>BehavioralTask_Sub0259_test_out!AX18</f>
        <v>0.58333333333333337</v>
      </c>
      <c r="BJ6" s="25">
        <f>BehavioralTask_Sub0259_test_out!AY18</f>
        <v>8.3333333333333329E-2</v>
      </c>
      <c r="BK6" s="25">
        <f>BehavioralTask_Sub0259_test_out!AZ18</f>
        <v>0.16666666666666663</v>
      </c>
      <c r="BL6" s="25">
        <f>BehavioralTask_Sub0259_test_out!AX19</f>
        <v>0.33333333333333331</v>
      </c>
      <c r="BM6" s="25">
        <f>BehavioralTask_Sub0259_test_out!AY19</f>
        <v>0.5</v>
      </c>
      <c r="BN6" s="25">
        <f>BehavioralTask_Sub0259_test_out!AZ19</f>
        <v>8.333333333333337E-2</v>
      </c>
      <c r="BO6" s="25">
        <f>BehavioralTask_Sub0259_test_out!AX20</f>
        <v>0.33333333333333331</v>
      </c>
      <c r="BP6" s="25">
        <f>BehavioralTask_Sub0259_test_out!AY20</f>
        <v>0.58333333333333337</v>
      </c>
      <c r="BQ6" s="25">
        <f>BehavioralTask_Sub0259_test_out!AZ20</f>
        <v>4.166666666666663E-2</v>
      </c>
      <c r="BR6" s="25">
        <f>BehavioralTask_Sub0259_test_out!AX21</f>
        <v>0.33333333333333331</v>
      </c>
      <c r="BS6" s="25">
        <f>BehavioralTask_Sub0259_test_out!AY21</f>
        <v>0.41666666666666669</v>
      </c>
      <c r="BT6" s="25">
        <f>BehavioralTask_Sub0259_test_out!AZ21</f>
        <v>0.125</v>
      </c>
      <c r="BU6" s="25">
        <f>BehavioralTask_Sub0259_test_out!BD14</f>
        <v>0.16666666666666666</v>
      </c>
      <c r="BV6" s="25">
        <f>BehavioralTask_Sub0259_test_out!BE14</f>
        <v>8.3333333333333329E-2</v>
      </c>
      <c r="BW6" s="25">
        <f>BehavioralTask_Sub0259_test_out!BF14</f>
        <v>0.375</v>
      </c>
      <c r="BX6" s="25">
        <f>BehavioralTask_Sub0259_test_out!BD15</f>
        <v>0.16666666666666666</v>
      </c>
      <c r="BY6" s="25">
        <f>BehavioralTask_Sub0259_test_out!BE15</f>
        <v>0.25</v>
      </c>
      <c r="BZ6" s="25">
        <f>BehavioralTask_Sub0259_test_out!BF15</f>
        <v>0.29166666666666669</v>
      </c>
      <c r="CA6" s="25">
        <f>BehavioralTask_Sub0259_test_out!BD16</f>
        <v>0.5</v>
      </c>
      <c r="CB6" s="25">
        <f>BehavioralTask_Sub0259_test_out!BE16</f>
        <v>0.33333333333333331</v>
      </c>
      <c r="CC6" s="25">
        <f>BehavioralTask_Sub0259_test_out!BF16</f>
        <v>8.333333333333337E-2</v>
      </c>
      <c r="CD6" s="25">
        <f>BehavioralTask_Sub0259_test_out!BD17</f>
        <v>0.58333333333333337</v>
      </c>
      <c r="CE6" s="25">
        <f>BehavioralTask_Sub0259_test_out!BE17</f>
        <v>8.3333333333333329E-2</v>
      </c>
      <c r="CF6" s="25">
        <f>BehavioralTask_Sub0259_test_out!BF17</f>
        <v>0.16666666666666663</v>
      </c>
      <c r="CG6" s="25">
        <f>BehavioralTask_Sub0259_test_out!BD18</f>
        <v>0.5</v>
      </c>
      <c r="CH6" s="25">
        <f>BehavioralTask_Sub0259_test_out!BE18</f>
        <v>0.16666666666666666</v>
      </c>
      <c r="CI6" s="25">
        <f>BehavioralTask_Sub0259_test_out!BF18</f>
        <v>0.16666666666666669</v>
      </c>
      <c r="CJ6" s="25">
        <f>BehavioralTask_Sub0259_test_out!BD19</f>
        <v>0.66666666666666663</v>
      </c>
      <c r="CK6" s="25">
        <f>BehavioralTask_Sub0259_test_out!BE19</f>
        <v>8.3333333333333329E-2</v>
      </c>
      <c r="CL6" s="25">
        <f>BehavioralTask_Sub0259_test_out!BF19</f>
        <v>0.125</v>
      </c>
      <c r="CM6" s="25">
        <f>BehavioralTask_Sub0259_test_out!BD20</f>
        <v>0.5</v>
      </c>
      <c r="CN6" s="25">
        <f>BehavioralTask_Sub0259_test_out!BE20</f>
        <v>8.3333333333333329E-2</v>
      </c>
      <c r="CO6" s="25">
        <f>BehavioralTask_Sub0259_test_out!BF20</f>
        <v>0.20833333333333331</v>
      </c>
      <c r="CP6" s="25">
        <f>BehavioralTask_Sub0259_test_out!BD21</f>
        <v>0.75</v>
      </c>
      <c r="CQ6" s="25">
        <f>BehavioralTask_Sub0259_test_out!BE21</f>
        <v>0</v>
      </c>
      <c r="CR6" s="25">
        <f>BehavioralTask_Sub0259_test_out!BF21</f>
        <v>0.125</v>
      </c>
      <c r="CS6" s="25">
        <f>BehavioralTask_Sub0259_test_out!AX24</f>
        <v>0.25</v>
      </c>
      <c r="CT6" s="25">
        <f>BehavioralTask_Sub0259_test_out!AY24</f>
        <v>0.33333333333333331</v>
      </c>
      <c r="CU6" s="25">
        <f>BehavioralTask_Sub0259_test_out!AZ24</f>
        <v>0.20833333333333337</v>
      </c>
      <c r="CV6" s="25">
        <f>BehavioralTask_Sub0259_test_out!AX25</f>
        <v>0.41666666666666669</v>
      </c>
      <c r="CW6" s="25">
        <f>BehavioralTask_Sub0259_test_out!AY25</f>
        <v>8.3333333333333329E-2</v>
      </c>
      <c r="CX6" s="25">
        <f>BehavioralTask_Sub0259_test_out!AZ25</f>
        <v>0.25</v>
      </c>
      <c r="CY6" s="25">
        <f>BehavioralTask_Sub0259_test_out!AX26</f>
        <v>0.25</v>
      </c>
      <c r="CZ6" s="25">
        <f>BehavioralTask_Sub0259_test_out!AY26</f>
        <v>0.25</v>
      </c>
      <c r="DA6" s="25">
        <f>BehavioralTask_Sub0259_test_out!AZ26</f>
        <v>0.25</v>
      </c>
      <c r="DB6" s="25">
        <f>BehavioralTask_Sub0259_test_out!AX27</f>
        <v>0.41666666666666669</v>
      </c>
      <c r="DC6" s="25">
        <f>BehavioralTask_Sub0259_test_out!AY27</f>
        <v>0.33333333333333331</v>
      </c>
      <c r="DD6" s="25">
        <f>BehavioralTask_Sub0259_test_out!AZ27</f>
        <v>0.125</v>
      </c>
      <c r="DE6" s="25">
        <f>BehavioralTask_Sub0259_test_out!AX28</f>
        <v>0.58333333333333337</v>
      </c>
      <c r="DF6" s="25">
        <f>BehavioralTask_Sub0259_test_out!AY28</f>
        <v>0</v>
      </c>
      <c r="DG6" s="25">
        <f>BehavioralTask_Sub0259_test_out!AZ28</f>
        <v>0.20833333333333331</v>
      </c>
      <c r="DH6" s="25">
        <f>BehavioralTask_Sub0259_test_out!AX29</f>
        <v>0.58333333333333337</v>
      </c>
      <c r="DI6" s="25">
        <f>BehavioralTask_Sub0259_test_out!AY29</f>
        <v>0.16666666666666666</v>
      </c>
      <c r="DJ6" s="25">
        <f>BehavioralTask_Sub0259_test_out!AZ29</f>
        <v>0.125</v>
      </c>
      <c r="DK6" s="25">
        <f>BehavioralTask_Sub0259_test_out!AX30</f>
        <v>0.33333333333333331</v>
      </c>
      <c r="DL6" s="25">
        <f>BehavioralTask_Sub0259_test_out!AY30</f>
        <v>0.25</v>
      </c>
      <c r="DM6" s="25">
        <f>BehavioralTask_Sub0259_test_out!AZ30</f>
        <v>0.20833333333333337</v>
      </c>
      <c r="DN6" s="25">
        <f>BehavioralTask_Sub0259_test_out!AX31</f>
        <v>0.66666666666666663</v>
      </c>
      <c r="DO6" s="25">
        <f>BehavioralTask_Sub0259_test_out!AY31</f>
        <v>0.16666666666666666</v>
      </c>
      <c r="DP6" s="25">
        <f>BehavioralTask_Sub0259_test_out!AZ31</f>
        <v>8.333333333333337E-2</v>
      </c>
      <c r="DQ6" s="25">
        <f>BehavioralTask_Sub0259_test_out!BD24</f>
        <v>0.16666666666666666</v>
      </c>
      <c r="DR6" s="25">
        <f>BehavioralTask_Sub0259_test_out!BE24</f>
        <v>0.25</v>
      </c>
      <c r="DS6" s="25">
        <f>BehavioralTask_Sub0259_test_out!BF24</f>
        <v>0.29166666666666669</v>
      </c>
      <c r="DT6" s="25">
        <f>BehavioralTask_Sub0259_test_out!BD25</f>
        <v>0.16666666666666666</v>
      </c>
      <c r="DU6" s="25">
        <f>BehavioralTask_Sub0259_test_out!BE25</f>
        <v>0.25</v>
      </c>
      <c r="DV6" s="25">
        <f>BehavioralTask_Sub0259_test_out!BF25</f>
        <v>0.29166666666666669</v>
      </c>
      <c r="DW6" s="25">
        <f>BehavioralTask_Sub0259_test_out!BD26</f>
        <v>0.33333333333333331</v>
      </c>
      <c r="DX6" s="25">
        <f>BehavioralTask_Sub0259_test_out!BE26</f>
        <v>0.33333333333333331</v>
      </c>
      <c r="DY6" s="25">
        <f>BehavioralTask_Sub0259_test_out!BF26</f>
        <v>0.16666666666666669</v>
      </c>
      <c r="DZ6" s="25">
        <f>BehavioralTask_Sub0259_test_out!BD27</f>
        <v>0.58333333333333337</v>
      </c>
      <c r="EA6" s="25">
        <f>BehavioralTask_Sub0259_test_out!BE27</f>
        <v>0.25</v>
      </c>
      <c r="EB6" s="25">
        <f>BehavioralTask_Sub0259_test_out!BF27</f>
        <v>8.3333333333333315E-2</v>
      </c>
      <c r="EC6" s="25">
        <f>BehavioralTask_Sub0259_test_out!BD28</f>
        <v>0.5</v>
      </c>
      <c r="ED6" s="25">
        <f>BehavioralTask_Sub0259_test_out!BE28</f>
        <v>0.25</v>
      </c>
      <c r="EE6" s="25">
        <f>BehavioralTask_Sub0259_test_out!BF28</f>
        <v>0.125</v>
      </c>
      <c r="EF6" s="25">
        <f>BehavioralTask_Sub0259_test_out!BD29</f>
        <v>0.5</v>
      </c>
      <c r="EG6" s="25">
        <f>BehavioralTask_Sub0259_test_out!BE29</f>
        <v>0.16666666666666666</v>
      </c>
      <c r="EH6" s="25">
        <f>BehavioralTask_Sub0259_test_out!BF29</f>
        <v>0.16666666666666669</v>
      </c>
      <c r="EI6" s="25">
        <f>BehavioralTask_Sub0259_test_out!BD30</f>
        <v>0.5</v>
      </c>
      <c r="EJ6" s="25">
        <f>BehavioralTask_Sub0259_test_out!BE30</f>
        <v>8.3333333333333329E-2</v>
      </c>
      <c r="EK6" s="25">
        <f>BehavioralTask_Sub0259_test_out!BF30</f>
        <v>0.20833333333333331</v>
      </c>
      <c r="EL6" s="25">
        <f>BehavioralTask_Sub0259_test_out!BD31</f>
        <v>0.41666666666666669</v>
      </c>
      <c r="EM6" s="25">
        <f>BehavioralTask_Sub0259_test_out!BE31</f>
        <v>0.16666666666666666</v>
      </c>
      <c r="EN6" s="25">
        <f>BehavioralTask_Sub0259_test_out!BF31</f>
        <v>0.20833333333333331</v>
      </c>
      <c r="EO6" s="25">
        <f>utest_out!AR10</f>
        <v>0.33333333333333331</v>
      </c>
      <c r="EP6" s="25">
        <f>utest_out!AS10</f>
        <v>0.33333333333333331</v>
      </c>
      <c r="EQ6" s="25">
        <f>utest_out!AT10</f>
        <v>0.16666666666666669</v>
      </c>
      <c r="ER6" s="25">
        <f>utest_out!AR11</f>
        <v>0.33333333333333331</v>
      </c>
      <c r="ES6" s="25">
        <f>utest_out!AS11</f>
        <v>0.66666666666666663</v>
      </c>
      <c r="ET6" s="25">
        <f>utest_out!AT11</f>
        <v>0</v>
      </c>
      <c r="EU6" s="25">
        <f>utest_out!AR12</f>
        <v>0.16666666666666666</v>
      </c>
      <c r="EV6" s="25">
        <f>utest_out!AS12</f>
        <v>0.5</v>
      </c>
      <c r="EW6" s="25">
        <f>utest_out!AT12</f>
        <v>0.16666666666666669</v>
      </c>
      <c r="EX6" s="25">
        <f>utest_out!AR16</f>
        <v>0.66666666666666663</v>
      </c>
      <c r="EY6" s="25">
        <f>utest_out!AS16</f>
        <v>0</v>
      </c>
      <c r="EZ6" s="25">
        <f>utest_out!AT16</f>
        <v>0.16666666666666669</v>
      </c>
      <c r="FA6" s="25">
        <f>utest_out!AR17</f>
        <v>0.66666666666666663</v>
      </c>
      <c r="FB6" s="25">
        <f>utest_out!AS17</f>
        <v>0</v>
      </c>
      <c r="FC6" s="25">
        <f>utest_out!AT17</f>
        <v>0.16666666666666669</v>
      </c>
      <c r="FD6" s="25">
        <f>utest_out!AR18</f>
        <v>0.16666666666666666</v>
      </c>
      <c r="FE6" s="25">
        <f>utest_out!AS18</f>
        <v>0.5</v>
      </c>
      <c r="FF6" s="25">
        <f>utest_out!AT18</f>
        <v>0.16666666666666669</v>
      </c>
    </row>
    <row r="7" spans="1:162" x14ac:dyDescent="0.25">
      <c r="A7" t="s">
        <v>382</v>
      </c>
    </row>
    <row r="8" spans="1:162" x14ac:dyDescent="0.25">
      <c r="A8" s="31" t="s">
        <v>383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1" t="s">
        <v>384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1" t="s">
        <v>385</v>
      </c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1" t="s">
        <v>386</v>
      </c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1" t="s">
        <v>387</v>
      </c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1" t="s">
        <v>388</v>
      </c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1" t="s">
        <v>389</v>
      </c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1" t="s">
        <v>390</v>
      </c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1" t="s">
        <v>378</v>
      </c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1" t="s">
        <v>383</v>
      </c>
      <c r="DF8" s="31"/>
      <c r="DG8" s="31"/>
      <c r="DH8" s="31"/>
      <c r="DI8" s="31"/>
      <c r="DJ8" s="31"/>
      <c r="DK8" s="31" t="s">
        <v>384</v>
      </c>
      <c r="DL8" s="31"/>
      <c r="DM8" s="31"/>
      <c r="DN8" s="31"/>
      <c r="DO8" s="31"/>
      <c r="DP8" s="31"/>
      <c r="DQ8" s="31" t="s">
        <v>385</v>
      </c>
      <c r="DR8" s="31"/>
      <c r="DS8" s="31"/>
      <c r="DT8" s="31"/>
      <c r="DU8" s="31"/>
      <c r="DV8" s="31"/>
      <c r="DW8" s="31" t="s">
        <v>386</v>
      </c>
      <c r="DX8" s="31"/>
      <c r="DY8" s="31"/>
      <c r="DZ8" s="31"/>
      <c r="EA8" s="31"/>
      <c r="EB8" s="31"/>
      <c r="EC8" s="31" t="s">
        <v>387</v>
      </c>
      <c r="ED8" s="31"/>
      <c r="EE8" s="31"/>
      <c r="EF8" s="31"/>
      <c r="EG8" s="31"/>
      <c r="EH8" s="31"/>
      <c r="EI8" s="31" t="s">
        <v>388</v>
      </c>
      <c r="EJ8" s="31"/>
      <c r="EK8" s="31"/>
      <c r="EL8" s="31"/>
      <c r="EM8" s="31"/>
      <c r="EN8" s="31"/>
      <c r="EO8" s="31" t="s">
        <v>389</v>
      </c>
      <c r="EP8" s="31"/>
      <c r="EQ8" s="31"/>
      <c r="ER8" s="31"/>
      <c r="ES8" s="31"/>
      <c r="ET8" s="31"/>
      <c r="EU8" s="31" t="s">
        <v>390</v>
      </c>
      <c r="EV8" s="31"/>
      <c r="EW8" s="31"/>
      <c r="EX8" s="31"/>
      <c r="EY8" s="31"/>
      <c r="EZ8" s="31"/>
      <c r="FA8" s="31" t="s">
        <v>378</v>
      </c>
      <c r="FB8" s="31"/>
      <c r="FC8" s="31"/>
      <c r="FD8" s="31"/>
      <c r="FE8" s="31"/>
      <c r="FF8" s="31"/>
    </row>
    <row r="9" spans="1:162" x14ac:dyDescent="0.25">
      <c r="A9" s="32" t="s">
        <v>355</v>
      </c>
      <c r="B9" s="32"/>
      <c r="C9" s="32"/>
      <c r="D9" s="32"/>
      <c r="E9" s="31" t="s">
        <v>356</v>
      </c>
      <c r="F9" s="32"/>
      <c r="G9" s="32"/>
      <c r="H9" s="32"/>
      <c r="I9" s="31" t="s">
        <v>357</v>
      </c>
      <c r="J9" s="31"/>
      <c r="K9" s="31"/>
      <c r="L9" s="31"/>
      <c r="M9" s="32" t="s">
        <v>355</v>
      </c>
      <c r="N9" s="32"/>
      <c r="O9" s="32"/>
      <c r="P9" s="32"/>
      <c r="Q9" s="31" t="s">
        <v>356</v>
      </c>
      <c r="R9" s="32"/>
      <c r="S9" s="32"/>
      <c r="T9" s="32"/>
      <c r="U9" s="31" t="s">
        <v>357</v>
      </c>
      <c r="V9" s="31"/>
      <c r="W9" s="31"/>
      <c r="X9" s="31"/>
      <c r="Y9" s="32" t="s">
        <v>355</v>
      </c>
      <c r="Z9" s="32"/>
      <c r="AA9" s="32"/>
      <c r="AB9" s="32"/>
      <c r="AC9" s="31" t="s">
        <v>356</v>
      </c>
      <c r="AD9" s="32"/>
      <c r="AE9" s="32"/>
      <c r="AF9" s="32"/>
      <c r="AG9" s="31" t="s">
        <v>357</v>
      </c>
      <c r="AH9" s="31"/>
      <c r="AI9" s="31"/>
      <c r="AJ9" s="31"/>
      <c r="AK9" s="32" t="s">
        <v>355</v>
      </c>
      <c r="AL9" s="32"/>
      <c r="AM9" s="32"/>
      <c r="AN9" s="32"/>
      <c r="AO9" s="31" t="s">
        <v>356</v>
      </c>
      <c r="AP9" s="32"/>
      <c r="AQ9" s="32"/>
      <c r="AR9" s="32"/>
      <c r="AS9" s="31" t="s">
        <v>357</v>
      </c>
      <c r="AT9" s="31"/>
      <c r="AU9" s="31"/>
      <c r="AV9" s="31"/>
      <c r="AW9" s="32" t="s">
        <v>355</v>
      </c>
      <c r="AX9" s="32"/>
      <c r="AY9" s="32"/>
      <c r="AZ9" s="32"/>
      <c r="BA9" s="31" t="s">
        <v>356</v>
      </c>
      <c r="BB9" s="32"/>
      <c r="BC9" s="32"/>
      <c r="BD9" s="32"/>
      <c r="BE9" s="31" t="s">
        <v>357</v>
      </c>
      <c r="BF9" s="31"/>
      <c r="BG9" s="31"/>
      <c r="BH9" s="31"/>
      <c r="BI9" s="32" t="s">
        <v>355</v>
      </c>
      <c r="BJ9" s="32"/>
      <c r="BK9" s="32"/>
      <c r="BL9" s="32"/>
      <c r="BM9" s="31" t="s">
        <v>356</v>
      </c>
      <c r="BN9" s="32"/>
      <c r="BO9" s="32"/>
      <c r="BP9" s="32"/>
      <c r="BQ9" s="31" t="s">
        <v>357</v>
      </c>
      <c r="BR9" s="31"/>
      <c r="BS9" s="31"/>
      <c r="BT9" s="31"/>
      <c r="BU9" s="32" t="s">
        <v>355</v>
      </c>
      <c r="BV9" s="32"/>
      <c r="BW9" s="32"/>
      <c r="BX9" s="32"/>
      <c r="BY9" s="31" t="s">
        <v>356</v>
      </c>
      <c r="BZ9" s="32"/>
      <c r="CA9" s="32"/>
      <c r="CB9" s="32"/>
      <c r="CC9" s="31" t="s">
        <v>357</v>
      </c>
      <c r="CD9" s="31"/>
      <c r="CE9" s="31"/>
      <c r="CF9" s="31"/>
      <c r="CG9" s="32" t="s">
        <v>355</v>
      </c>
      <c r="CH9" s="32"/>
      <c r="CI9" s="32"/>
      <c r="CJ9" s="32"/>
      <c r="CK9" s="31" t="s">
        <v>356</v>
      </c>
      <c r="CL9" s="32"/>
      <c r="CM9" s="32"/>
      <c r="CN9" s="32"/>
      <c r="CO9" s="31" t="s">
        <v>357</v>
      </c>
      <c r="CP9" s="31"/>
      <c r="CQ9" s="31"/>
      <c r="CR9" s="31"/>
      <c r="CS9" s="32" t="s">
        <v>355</v>
      </c>
      <c r="CT9" s="32"/>
      <c r="CU9" s="32"/>
      <c r="CV9" s="32"/>
      <c r="CW9" s="31" t="s">
        <v>356</v>
      </c>
      <c r="CX9" s="32"/>
      <c r="CY9" s="32"/>
      <c r="CZ9" s="32"/>
      <c r="DA9" s="31" t="s">
        <v>357</v>
      </c>
      <c r="DB9" s="31"/>
      <c r="DC9" s="31"/>
      <c r="DD9" s="31"/>
      <c r="DE9" s="31" t="s">
        <v>355</v>
      </c>
      <c r="DF9" s="31"/>
      <c r="DG9" s="31" t="s">
        <v>356</v>
      </c>
      <c r="DH9" s="31"/>
      <c r="DI9" s="31" t="s">
        <v>357</v>
      </c>
      <c r="DJ9" s="31"/>
      <c r="DK9" s="31" t="s">
        <v>355</v>
      </c>
      <c r="DL9" s="31"/>
      <c r="DM9" s="31" t="s">
        <v>356</v>
      </c>
      <c r="DN9" s="31"/>
      <c r="DO9" s="31" t="s">
        <v>357</v>
      </c>
      <c r="DP9" s="31"/>
      <c r="DQ9" s="31" t="s">
        <v>355</v>
      </c>
      <c r="DR9" s="31"/>
      <c r="DS9" s="31" t="s">
        <v>356</v>
      </c>
      <c r="DT9" s="31"/>
      <c r="DU9" s="31" t="s">
        <v>357</v>
      </c>
      <c r="DV9" s="31"/>
      <c r="DW9" s="31" t="s">
        <v>355</v>
      </c>
      <c r="DX9" s="31"/>
      <c r="DY9" s="31" t="s">
        <v>356</v>
      </c>
      <c r="DZ9" s="31"/>
      <c r="EA9" s="31" t="s">
        <v>357</v>
      </c>
      <c r="EB9" s="31"/>
      <c r="EC9" s="31" t="s">
        <v>355</v>
      </c>
      <c r="ED9" s="31"/>
      <c r="EE9" s="31" t="s">
        <v>356</v>
      </c>
      <c r="EF9" s="31"/>
      <c r="EG9" s="31" t="s">
        <v>357</v>
      </c>
      <c r="EH9" s="31"/>
      <c r="EI9" s="31" t="s">
        <v>355</v>
      </c>
      <c r="EJ9" s="31"/>
      <c r="EK9" s="31" t="s">
        <v>356</v>
      </c>
      <c r="EL9" s="31"/>
      <c r="EM9" s="31" t="s">
        <v>357</v>
      </c>
      <c r="EN9" s="31"/>
      <c r="EO9" s="31" t="s">
        <v>355</v>
      </c>
      <c r="EP9" s="31"/>
      <c r="EQ9" s="31" t="s">
        <v>356</v>
      </c>
      <c r="ER9" s="31"/>
      <c r="ES9" s="31" t="s">
        <v>357</v>
      </c>
      <c r="ET9" s="31"/>
      <c r="EU9" s="31" t="s">
        <v>355</v>
      </c>
      <c r="EV9" s="31"/>
      <c r="EW9" s="31" t="s">
        <v>356</v>
      </c>
      <c r="EX9" s="31"/>
      <c r="EY9" s="31" t="s">
        <v>357</v>
      </c>
      <c r="EZ9" s="31"/>
      <c r="FA9" s="31" t="s">
        <v>355</v>
      </c>
      <c r="FB9" s="31"/>
      <c r="FC9" s="31" t="s">
        <v>356</v>
      </c>
      <c r="FD9" s="31"/>
      <c r="FE9" s="31" t="s">
        <v>357</v>
      </c>
      <c r="FF9" s="31"/>
    </row>
    <row r="10" spans="1:162" x14ac:dyDescent="0.25">
      <c r="A10" t="s">
        <v>391</v>
      </c>
      <c r="B10" t="s">
        <v>392</v>
      </c>
      <c r="C10" t="s">
        <v>393</v>
      </c>
      <c r="D10" t="s">
        <v>394</v>
      </c>
      <c r="E10" t="s">
        <v>391</v>
      </c>
      <c r="F10" t="s">
        <v>392</v>
      </c>
      <c r="G10" t="s">
        <v>393</v>
      </c>
      <c r="H10" t="s">
        <v>394</v>
      </c>
      <c r="I10" t="s">
        <v>391</v>
      </c>
      <c r="J10" t="s">
        <v>392</v>
      </c>
      <c r="K10" t="s">
        <v>393</v>
      </c>
      <c r="L10" t="s">
        <v>394</v>
      </c>
      <c r="M10" t="s">
        <v>391</v>
      </c>
      <c r="N10" t="s">
        <v>392</v>
      </c>
      <c r="O10" t="s">
        <v>393</v>
      </c>
      <c r="P10" t="s">
        <v>394</v>
      </c>
      <c r="Q10" t="s">
        <v>391</v>
      </c>
      <c r="R10" t="s">
        <v>392</v>
      </c>
      <c r="S10" t="s">
        <v>393</v>
      </c>
      <c r="T10" t="s">
        <v>394</v>
      </c>
      <c r="U10" t="s">
        <v>391</v>
      </c>
      <c r="V10" t="s">
        <v>392</v>
      </c>
      <c r="W10" t="s">
        <v>393</v>
      </c>
      <c r="X10" t="s">
        <v>394</v>
      </c>
      <c r="Y10" t="s">
        <v>391</v>
      </c>
      <c r="Z10" t="s">
        <v>392</v>
      </c>
      <c r="AA10" t="s">
        <v>393</v>
      </c>
      <c r="AB10" t="s">
        <v>394</v>
      </c>
      <c r="AC10" t="s">
        <v>391</v>
      </c>
      <c r="AD10" t="s">
        <v>392</v>
      </c>
      <c r="AE10" t="s">
        <v>393</v>
      </c>
      <c r="AF10" t="s">
        <v>394</v>
      </c>
      <c r="AG10" t="s">
        <v>391</v>
      </c>
      <c r="AH10" t="s">
        <v>392</v>
      </c>
      <c r="AI10" t="s">
        <v>393</v>
      </c>
      <c r="AJ10" t="s">
        <v>394</v>
      </c>
      <c r="AK10" t="s">
        <v>391</v>
      </c>
      <c r="AL10" t="s">
        <v>392</v>
      </c>
      <c r="AM10" t="s">
        <v>393</v>
      </c>
      <c r="AN10" t="s">
        <v>394</v>
      </c>
      <c r="AO10" t="s">
        <v>391</v>
      </c>
      <c r="AP10" t="s">
        <v>392</v>
      </c>
      <c r="AQ10" t="s">
        <v>393</v>
      </c>
      <c r="AR10" t="s">
        <v>394</v>
      </c>
      <c r="AS10" t="s">
        <v>391</v>
      </c>
      <c r="AT10" t="s">
        <v>392</v>
      </c>
      <c r="AU10" t="s">
        <v>393</v>
      </c>
      <c r="AV10" t="s">
        <v>394</v>
      </c>
      <c r="AW10" t="s">
        <v>391</v>
      </c>
      <c r="AX10" t="s">
        <v>392</v>
      </c>
      <c r="AY10" t="s">
        <v>393</v>
      </c>
      <c r="AZ10" t="s">
        <v>394</v>
      </c>
      <c r="BA10" t="s">
        <v>391</v>
      </c>
      <c r="BB10" t="s">
        <v>392</v>
      </c>
      <c r="BC10" t="s">
        <v>393</v>
      </c>
      <c r="BD10" t="s">
        <v>394</v>
      </c>
      <c r="BE10" t="s">
        <v>391</v>
      </c>
      <c r="BF10" t="s">
        <v>392</v>
      </c>
      <c r="BG10" t="s">
        <v>393</v>
      </c>
      <c r="BH10" t="s">
        <v>394</v>
      </c>
      <c r="BI10" t="s">
        <v>391</v>
      </c>
      <c r="BJ10" t="s">
        <v>392</v>
      </c>
      <c r="BK10" t="s">
        <v>393</v>
      </c>
      <c r="BL10" t="s">
        <v>394</v>
      </c>
      <c r="BM10" t="s">
        <v>391</v>
      </c>
      <c r="BN10" t="s">
        <v>392</v>
      </c>
      <c r="BO10" t="s">
        <v>393</v>
      </c>
      <c r="BP10" t="s">
        <v>394</v>
      </c>
      <c r="BQ10" t="s">
        <v>391</v>
      </c>
      <c r="BR10" t="s">
        <v>392</v>
      </c>
      <c r="BS10" t="s">
        <v>393</v>
      </c>
      <c r="BT10" t="s">
        <v>394</v>
      </c>
      <c r="BU10" t="s">
        <v>391</v>
      </c>
      <c r="BV10" t="s">
        <v>392</v>
      </c>
      <c r="BW10" t="s">
        <v>393</v>
      </c>
      <c r="BX10" t="s">
        <v>394</v>
      </c>
      <c r="BY10" t="s">
        <v>391</v>
      </c>
      <c r="BZ10" t="s">
        <v>392</v>
      </c>
      <c r="CA10" t="s">
        <v>393</v>
      </c>
      <c r="CB10" t="s">
        <v>394</v>
      </c>
      <c r="CC10" t="s">
        <v>391</v>
      </c>
      <c r="CD10" t="s">
        <v>392</v>
      </c>
      <c r="CE10" t="s">
        <v>393</v>
      </c>
      <c r="CF10" t="s">
        <v>394</v>
      </c>
      <c r="CG10" t="s">
        <v>391</v>
      </c>
      <c r="CH10" t="s">
        <v>392</v>
      </c>
      <c r="CI10" t="s">
        <v>393</v>
      </c>
      <c r="CJ10" t="s">
        <v>394</v>
      </c>
      <c r="CK10" t="s">
        <v>391</v>
      </c>
      <c r="CL10" t="s">
        <v>392</v>
      </c>
      <c r="CM10" t="s">
        <v>393</v>
      </c>
      <c r="CN10" t="s">
        <v>394</v>
      </c>
      <c r="CO10" t="s">
        <v>391</v>
      </c>
      <c r="CP10" t="s">
        <v>392</v>
      </c>
      <c r="CQ10" t="s">
        <v>393</v>
      </c>
      <c r="CR10" t="s">
        <v>394</v>
      </c>
      <c r="CS10" t="s">
        <v>391</v>
      </c>
      <c r="CT10" t="s">
        <v>392</v>
      </c>
      <c r="CU10" t="s">
        <v>393</v>
      </c>
      <c r="CV10" t="s">
        <v>394</v>
      </c>
      <c r="CW10" t="s">
        <v>391</v>
      </c>
      <c r="CX10" t="s">
        <v>392</v>
      </c>
      <c r="CY10" t="s">
        <v>393</v>
      </c>
      <c r="CZ10" t="s">
        <v>394</v>
      </c>
      <c r="DA10" t="s">
        <v>391</v>
      </c>
      <c r="DB10" t="s">
        <v>392</v>
      </c>
      <c r="DC10" t="s">
        <v>393</v>
      </c>
      <c r="DD10" t="s">
        <v>394</v>
      </c>
      <c r="DE10" t="s">
        <v>395</v>
      </c>
      <c r="DF10" t="s">
        <v>396</v>
      </c>
      <c r="DG10" t="s">
        <v>395</v>
      </c>
      <c r="DH10" t="s">
        <v>396</v>
      </c>
      <c r="DI10" t="s">
        <v>395</v>
      </c>
      <c r="DJ10" t="s">
        <v>396</v>
      </c>
      <c r="DK10" t="s">
        <v>395</v>
      </c>
      <c r="DL10" t="s">
        <v>396</v>
      </c>
      <c r="DM10" t="s">
        <v>395</v>
      </c>
      <c r="DN10" t="s">
        <v>396</v>
      </c>
      <c r="DO10" t="s">
        <v>395</v>
      </c>
      <c r="DP10" t="s">
        <v>396</v>
      </c>
      <c r="DQ10" t="s">
        <v>395</v>
      </c>
      <c r="DR10" t="s">
        <v>396</v>
      </c>
      <c r="DS10" t="s">
        <v>395</v>
      </c>
      <c r="DT10" t="s">
        <v>396</v>
      </c>
      <c r="DU10" t="s">
        <v>395</v>
      </c>
      <c r="DV10" t="s">
        <v>396</v>
      </c>
      <c r="DW10" t="s">
        <v>395</v>
      </c>
      <c r="DX10" t="s">
        <v>396</v>
      </c>
      <c r="DY10" t="s">
        <v>395</v>
      </c>
      <c r="DZ10" t="s">
        <v>396</v>
      </c>
      <c r="EA10" t="s">
        <v>395</v>
      </c>
      <c r="EB10" t="s">
        <v>396</v>
      </c>
      <c r="EC10" t="s">
        <v>395</v>
      </c>
      <c r="ED10" t="s">
        <v>396</v>
      </c>
      <c r="EE10" t="s">
        <v>395</v>
      </c>
      <c r="EF10" t="s">
        <v>396</v>
      </c>
      <c r="EG10" t="s">
        <v>395</v>
      </c>
      <c r="EH10" t="s">
        <v>396</v>
      </c>
      <c r="EI10" t="s">
        <v>395</v>
      </c>
      <c r="EJ10" t="s">
        <v>396</v>
      </c>
      <c r="EK10" t="s">
        <v>395</v>
      </c>
      <c r="EL10" t="s">
        <v>396</v>
      </c>
      <c r="EM10" t="s">
        <v>395</v>
      </c>
      <c r="EN10" t="s">
        <v>396</v>
      </c>
      <c r="EO10" t="s">
        <v>395</v>
      </c>
      <c r="EP10" t="s">
        <v>396</v>
      </c>
      <c r="EQ10" t="s">
        <v>395</v>
      </c>
      <c r="ER10" t="s">
        <v>396</v>
      </c>
      <c r="ES10" t="s">
        <v>395</v>
      </c>
      <c r="ET10" t="s">
        <v>396</v>
      </c>
      <c r="EU10" t="s">
        <v>395</v>
      </c>
      <c r="EV10" t="s">
        <v>396</v>
      </c>
      <c r="EW10" t="s">
        <v>395</v>
      </c>
      <c r="EX10" t="s">
        <v>396</v>
      </c>
      <c r="EY10" t="s">
        <v>395</v>
      </c>
      <c r="EZ10" t="s">
        <v>396</v>
      </c>
      <c r="FA10" t="s">
        <v>395</v>
      </c>
      <c r="FB10" t="s">
        <v>396</v>
      </c>
      <c r="FC10" t="s">
        <v>395</v>
      </c>
      <c r="FD10" t="s">
        <v>396</v>
      </c>
      <c r="FE10" t="s">
        <v>395</v>
      </c>
      <c r="FF10" t="s">
        <v>396</v>
      </c>
    </row>
    <row r="11" spans="1:162" x14ac:dyDescent="0.25">
      <c r="A11" s="25">
        <f>BehavioralTask_Sub0259_test_out!AS90</f>
        <v>0.16666666666666666</v>
      </c>
      <c r="B11" s="25">
        <f>BehavioralTask_Sub0259_test_out!AT90</f>
        <v>0.16666666666666666</v>
      </c>
      <c r="C11" s="25">
        <f>BehavioralTask_Sub0259_test_out!AU90</f>
        <v>0.5</v>
      </c>
      <c r="D11" s="25">
        <f>BehavioralTask_Sub0259_test_out!AV90</f>
        <v>0</v>
      </c>
      <c r="E11" s="25">
        <f>BehavioralTask_Sub0259_test_out!AW90</f>
        <v>0</v>
      </c>
      <c r="F11" s="25">
        <f>BehavioralTask_Sub0259_test_out!AX90</f>
        <v>0.33333333333333331</v>
      </c>
      <c r="G11" s="25">
        <f>BehavioralTask_Sub0259_test_out!AY90</f>
        <v>0</v>
      </c>
      <c r="H11" s="25">
        <f>BehavioralTask_Sub0259_test_out!AZ90</f>
        <v>0.33333333333333331</v>
      </c>
      <c r="I11" s="25">
        <f>BehavioralTask_Sub0259_test_out!BA90</f>
        <v>0.33333333333333331</v>
      </c>
      <c r="J11" s="25">
        <f>BehavioralTask_Sub0259_test_out!BB90</f>
        <v>0.16666666666666666</v>
      </c>
      <c r="K11" s="25">
        <f>BehavioralTask_Sub0259_test_out!BC90</f>
        <v>0.16666666666666666</v>
      </c>
      <c r="L11" s="25">
        <f>BehavioralTask_Sub0259_test_out!BD90</f>
        <v>0.16666666666666666</v>
      </c>
      <c r="M11" s="25">
        <f>BehavioralTask_Sub0259_test_out!AS91</f>
        <v>0.5</v>
      </c>
      <c r="N11" s="25">
        <f>BehavioralTask_Sub0259_test_out!AT91</f>
        <v>0.16666666666666666</v>
      </c>
      <c r="O11" s="25">
        <f>BehavioralTask_Sub0259_test_out!AU91</f>
        <v>0</v>
      </c>
      <c r="P11" s="25">
        <f>BehavioralTask_Sub0259_test_out!AV91</f>
        <v>0</v>
      </c>
      <c r="Q11" s="25">
        <f>BehavioralTask_Sub0259_test_out!AW91</f>
        <v>0.5</v>
      </c>
      <c r="R11" s="25">
        <f>BehavioralTask_Sub0259_test_out!AX91</f>
        <v>0.16666666666666666</v>
      </c>
      <c r="S11" s="25">
        <f>BehavioralTask_Sub0259_test_out!AY91</f>
        <v>0.16666666666666666</v>
      </c>
      <c r="T11" s="25">
        <f>BehavioralTask_Sub0259_test_out!AZ91</f>
        <v>0.5</v>
      </c>
      <c r="U11" s="25">
        <f>BehavioralTask_Sub0259_test_out!BA91</f>
        <v>0</v>
      </c>
      <c r="V11" s="25">
        <f>BehavioralTask_Sub0259_test_out!BB91</f>
        <v>0.16666666666666666</v>
      </c>
      <c r="W11" s="25">
        <f>BehavioralTask_Sub0259_test_out!BC91</f>
        <v>0.33333333333333331</v>
      </c>
      <c r="X11" s="25">
        <f>BehavioralTask_Sub0259_test_out!BD91</f>
        <v>0.66666666666666663</v>
      </c>
      <c r="Y11" s="25">
        <f>BehavioralTask_Sub0259_test_out!AS92</f>
        <v>0.33333333333333331</v>
      </c>
      <c r="Z11" s="25">
        <f>BehavioralTask_Sub0259_test_out!AT92</f>
        <v>0.16666666666666666</v>
      </c>
      <c r="AA11" s="25">
        <f>BehavioralTask_Sub0259_test_out!AU92</f>
        <v>0.33333333333333331</v>
      </c>
      <c r="AB11" s="25">
        <f>BehavioralTask_Sub0259_test_out!AV92</f>
        <v>0.33333333333333331</v>
      </c>
      <c r="AC11" s="25">
        <f>BehavioralTask_Sub0259_test_out!AW92</f>
        <v>0.83333333333333337</v>
      </c>
      <c r="AD11" s="25">
        <f>BehavioralTask_Sub0259_test_out!AX92</f>
        <v>0.5</v>
      </c>
      <c r="AE11" s="25">
        <f>BehavioralTask_Sub0259_test_out!AY92</f>
        <v>0.33333333333333331</v>
      </c>
      <c r="AF11" s="25">
        <f>BehavioralTask_Sub0259_test_out!AZ92</f>
        <v>0.16666666666666666</v>
      </c>
      <c r="AG11" s="25">
        <f>BehavioralTask_Sub0259_test_out!BA92</f>
        <v>0</v>
      </c>
      <c r="AH11" s="25">
        <f>BehavioralTask_Sub0259_test_out!BB92</f>
        <v>0.5</v>
      </c>
      <c r="AI11" s="25">
        <f>BehavioralTask_Sub0259_test_out!BC92</f>
        <v>0.33333333333333331</v>
      </c>
      <c r="AJ11" s="25">
        <f>BehavioralTask_Sub0259_test_out!BD92</f>
        <v>0.33333333333333331</v>
      </c>
      <c r="AK11" s="25">
        <f>BehavioralTask_Sub0259_test_out!AS93</f>
        <v>0.5</v>
      </c>
      <c r="AL11" s="25">
        <f>BehavioralTask_Sub0259_test_out!AT93</f>
        <v>0.5</v>
      </c>
      <c r="AM11" s="25">
        <f>BehavioralTask_Sub0259_test_out!AU93</f>
        <v>0.33333333333333331</v>
      </c>
      <c r="AN11" s="25">
        <f>BehavioralTask_Sub0259_test_out!AV93</f>
        <v>0.5</v>
      </c>
      <c r="AO11" s="25">
        <f>BehavioralTask_Sub0259_test_out!AW93</f>
        <v>0.66666666666666663</v>
      </c>
      <c r="AP11" s="25">
        <f>BehavioralTask_Sub0259_test_out!AX93</f>
        <v>0.5</v>
      </c>
      <c r="AQ11" s="25">
        <f>BehavioralTask_Sub0259_test_out!AY93</f>
        <v>0.33333333333333331</v>
      </c>
      <c r="AR11" s="25">
        <f>BehavioralTask_Sub0259_test_out!AZ93</f>
        <v>1</v>
      </c>
      <c r="AS11" s="25">
        <f>BehavioralTask_Sub0259_test_out!BA93</f>
        <v>0.16666666666666666</v>
      </c>
      <c r="AT11" s="25">
        <f>BehavioralTask_Sub0259_test_out!BB93</f>
        <v>0.66666666666666663</v>
      </c>
      <c r="AU11" s="25">
        <f>BehavioralTask_Sub0259_test_out!BC93</f>
        <v>0.66666666666666663</v>
      </c>
      <c r="AV11" s="25">
        <f>BehavioralTask_Sub0259_test_out!BD93</f>
        <v>0.5</v>
      </c>
      <c r="AW11" s="25">
        <f>BehavioralTask_Sub0259_test_out!AS94</f>
        <v>0.33333333333333331</v>
      </c>
      <c r="AX11" s="25">
        <f>BehavioralTask_Sub0259_test_out!AT94</f>
        <v>0.33333333333333331</v>
      </c>
      <c r="AY11" s="25">
        <f>BehavioralTask_Sub0259_test_out!AU94</f>
        <v>0.33333333333333331</v>
      </c>
      <c r="AZ11" s="25">
        <f>BehavioralTask_Sub0259_test_out!AV94</f>
        <v>0.16666666666666666</v>
      </c>
      <c r="BA11" s="25">
        <f>BehavioralTask_Sub0259_test_out!AW94</f>
        <v>0.66666666666666663</v>
      </c>
      <c r="BB11" s="25">
        <f>BehavioralTask_Sub0259_test_out!AX94</f>
        <v>0.33333333333333331</v>
      </c>
      <c r="BC11" s="25">
        <f>BehavioralTask_Sub0259_test_out!AY94</f>
        <v>0.16666666666666666</v>
      </c>
      <c r="BD11" s="25">
        <f>BehavioralTask_Sub0259_test_out!AZ94</f>
        <v>1</v>
      </c>
      <c r="BE11" s="25">
        <f>BehavioralTask_Sub0259_test_out!BA94</f>
        <v>0.16666666666666666</v>
      </c>
      <c r="BF11" s="25">
        <f>BehavioralTask_Sub0259_test_out!BB94</f>
        <v>0.5</v>
      </c>
      <c r="BG11" s="25">
        <f>BehavioralTask_Sub0259_test_out!BC94</f>
        <v>0.83333333333333337</v>
      </c>
      <c r="BH11" s="25">
        <f>BehavioralTask_Sub0259_test_out!BD94</f>
        <v>0.66666666666666663</v>
      </c>
      <c r="BI11" s="25">
        <f>BehavioralTask_Sub0259_test_out!AS95</f>
        <v>0.66666666666666663</v>
      </c>
      <c r="BJ11" s="25">
        <f>BehavioralTask_Sub0259_test_out!AT95</f>
        <v>0.5</v>
      </c>
      <c r="BK11" s="25">
        <f>BehavioralTask_Sub0259_test_out!AU95</f>
        <v>0.5</v>
      </c>
      <c r="BL11" s="25">
        <f>BehavioralTask_Sub0259_test_out!AV95</f>
        <v>0.5</v>
      </c>
      <c r="BM11" s="25">
        <f>BehavioralTask_Sub0259_test_out!AW95</f>
        <v>0.5</v>
      </c>
      <c r="BN11" s="25">
        <f>BehavioralTask_Sub0259_test_out!AX95</f>
        <v>0.5</v>
      </c>
      <c r="BO11" s="25">
        <f>BehavioralTask_Sub0259_test_out!AY95</f>
        <v>0.5</v>
      </c>
      <c r="BP11" s="25">
        <f>BehavioralTask_Sub0259_test_out!AZ95</f>
        <v>0.5</v>
      </c>
      <c r="BQ11" s="25">
        <f>BehavioralTask_Sub0259_test_out!BA95</f>
        <v>0.66666666666666663</v>
      </c>
      <c r="BR11" s="25">
        <f>BehavioralTask_Sub0259_test_out!BB95</f>
        <v>0.66666666666666663</v>
      </c>
      <c r="BS11" s="25">
        <f>BehavioralTask_Sub0259_test_out!BC95</f>
        <v>0.5</v>
      </c>
      <c r="BT11" s="25">
        <f>BehavioralTask_Sub0259_test_out!BD95</f>
        <v>0.33333333333333331</v>
      </c>
      <c r="BU11" s="25">
        <f>BehavioralTask_Sub0259_test_out!AS96</f>
        <v>0.5</v>
      </c>
      <c r="BV11" s="25">
        <f>BehavioralTask_Sub0259_test_out!AT96</f>
        <v>0.5</v>
      </c>
      <c r="BW11" s="25">
        <f>BehavioralTask_Sub0259_test_out!AU96</f>
        <v>0.33333333333333331</v>
      </c>
      <c r="BX11" s="25">
        <f>BehavioralTask_Sub0259_test_out!AV96</f>
        <v>0.5</v>
      </c>
      <c r="BY11" s="25">
        <f>BehavioralTask_Sub0259_test_out!AW96</f>
        <v>0.5</v>
      </c>
      <c r="BZ11" s="25">
        <f>BehavioralTask_Sub0259_test_out!AX96</f>
        <v>0.33333333333333331</v>
      </c>
      <c r="CA11" s="25">
        <f>BehavioralTask_Sub0259_test_out!AY96</f>
        <v>0.33333333333333331</v>
      </c>
      <c r="CB11" s="25">
        <f>BehavioralTask_Sub0259_test_out!AZ96</f>
        <v>0.5</v>
      </c>
      <c r="CC11" s="25">
        <f>BehavioralTask_Sub0259_test_out!BA96</f>
        <v>0.5</v>
      </c>
      <c r="CD11" s="25">
        <f>BehavioralTask_Sub0259_test_out!BB96</f>
        <v>0.5</v>
      </c>
      <c r="CE11" s="25">
        <f>BehavioralTask_Sub0259_test_out!BC96</f>
        <v>0.5</v>
      </c>
      <c r="CF11" s="25">
        <f>BehavioralTask_Sub0259_test_out!BD96</f>
        <v>0.16666666666666666</v>
      </c>
      <c r="CG11" s="25">
        <f>BehavioralTask_Sub0259_test_out!AS97</f>
        <v>0.5</v>
      </c>
      <c r="CH11" s="25">
        <f>BehavioralTask_Sub0259_test_out!AT97</f>
        <v>0.66666666666666663</v>
      </c>
      <c r="CI11" s="25">
        <f>BehavioralTask_Sub0259_test_out!AU97</f>
        <v>0.33333333333333331</v>
      </c>
      <c r="CJ11" s="25">
        <f>BehavioralTask_Sub0259_test_out!AV97</f>
        <v>0.5</v>
      </c>
      <c r="CK11" s="25">
        <f>BehavioralTask_Sub0259_test_out!AW97</f>
        <v>0.66666666666666663</v>
      </c>
      <c r="CL11" s="25">
        <f>BehavioralTask_Sub0259_test_out!AX97</f>
        <v>0.16666666666666666</v>
      </c>
      <c r="CM11" s="25">
        <f>BehavioralTask_Sub0259_test_out!AY97</f>
        <v>0.5</v>
      </c>
      <c r="CN11" s="25">
        <f>BehavioralTask_Sub0259_test_out!AZ97</f>
        <v>0.83333333333333337</v>
      </c>
      <c r="CO11" s="25">
        <f>BehavioralTask_Sub0259_test_out!BA97</f>
        <v>0.33333333333333331</v>
      </c>
      <c r="CP11" s="25">
        <f>BehavioralTask_Sub0259_test_out!BB97</f>
        <v>0.83333333333333337</v>
      </c>
      <c r="CQ11" s="25">
        <f>BehavioralTask_Sub0259_test_out!BC97</f>
        <v>0.66666666666666663</v>
      </c>
      <c r="CR11" s="25">
        <f>BehavioralTask_Sub0259_test_out!BD97</f>
        <v>0.33333333333333331</v>
      </c>
      <c r="CS11" s="25">
        <f>utest_out!AX27</f>
        <v>0.33333333333333331</v>
      </c>
      <c r="CT11" s="25">
        <f>utest_out!AY27</f>
        <v>0.33333333333333331</v>
      </c>
      <c r="CU11" s="25">
        <f>utest_out!AZ27</f>
        <v>0.33333333333333331</v>
      </c>
      <c r="CV11" s="25">
        <f>utest_out!BA27</f>
        <v>1</v>
      </c>
      <c r="CW11" s="25">
        <f>utest_out!AX28</f>
        <v>0.33333333333333331</v>
      </c>
      <c r="CX11" s="25">
        <f>utest_out!AY28</f>
        <v>0.66666666666666663</v>
      </c>
      <c r="CY11" s="25">
        <f>utest_out!AZ28</f>
        <v>0.66666666666666663</v>
      </c>
      <c r="CZ11" s="25">
        <f>utest_out!BA28</f>
        <v>0.33333333333333331</v>
      </c>
      <c r="DA11" s="25">
        <f>utest_out!AX29</f>
        <v>0</v>
      </c>
      <c r="DB11" s="25">
        <f>utest_out!AY29</f>
        <v>0</v>
      </c>
      <c r="DC11" s="25">
        <f>utest_out!AZ29</f>
        <v>0</v>
      </c>
      <c r="DD11" s="25">
        <f>utest_out!BA29</f>
        <v>0.66666666666666663</v>
      </c>
      <c r="DE11" s="25">
        <f>BehavioralTask_Sub0259_test_out!AS101</f>
        <v>0.33333333333333331</v>
      </c>
      <c r="DF11" s="25">
        <f>BehavioralTask_Sub0259_test_out!AT101</f>
        <v>8.3333333333333329E-2</v>
      </c>
      <c r="DG11" s="25">
        <f>BehavioralTask_Sub0259_test_out!AU101</f>
        <v>0</v>
      </c>
      <c r="DH11" s="25">
        <f>BehavioralTask_Sub0259_test_out!AV101</f>
        <v>0.33333333333333331</v>
      </c>
      <c r="DI11" s="25">
        <f>BehavioralTask_Sub0259_test_out!AW101</f>
        <v>0.25</v>
      </c>
      <c r="DJ11" s="25">
        <f>BehavioralTask_Sub0259_test_out!AX101</f>
        <v>0.16666666666666666</v>
      </c>
      <c r="DK11" s="25">
        <f>BehavioralTask_Sub0259_test_out!AS102</f>
        <v>0.25</v>
      </c>
      <c r="DL11" s="25">
        <f>BehavioralTask_Sub0259_test_out!AT102</f>
        <v>8.3333333333333329E-2</v>
      </c>
      <c r="DM11" s="25">
        <f>BehavioralTask_Sub0259_test_out!AU102</f>
        <v>0.33333333333333331</v>
      </c>
      <c r="DN11" s="25">
        <f>BehavioralTask_Sub0259_test_out!AV102</f>
        <v>0.33333333333333331</v>
      </c>
      <c r="DO11" s="25">
        <f>BehavioralTask_Sub0259_test_out!AW102</f>
        <v>0.16666666666666666</v>
      </c>
      <c r="DP11" s="25">
        <f>BehavioralTask_Sub0259_test_out!AX102</f>
        <v>0.41666666666666669</v>
      </c>
      <c r="DQ11" s="25">
        <f>BehavioralTask_Sub0259_test_out!AS103</f>
        <v>0.33333333333333331</v>
      </c>
      <c r="DR11" s="25">
        <f>BehavioralTask_Sub0259_test_out!AT103</f>
        <v>0.25</v>
      </c>
      <c r="DS11" s="25">
        <f>BehavioralTask_Sub0259_test_out!AU103</f>
        <v>0.58333333333333337</v>
      </c>
      <c r="DT11" s="25">
        <f>BehavioralTask_Sub0259_test_out!AV103</f>
        <v>0.33333333333333331</v>
      </c>
      <c r="DU11" s="25">
        <f>BehavioralTask_Sub0259_test_out!AW103</f>
        <v>0.16666666666666666</v>
      </c>
      <c r="DV11" s="25">
        <f>BehavioralTask_Sub0259_test_out!AX103</f>
        <v>0.41666666666666669</v>
      </c>
      <c r="DW11" s="25">
        <f>BehavioralTask_Sub0259_test_out!AS104</f>
        <v>0.41666666666666669</v>
      </c>
      <c r="DX11" s="25">
        <f>BehavioralTask_Sub0259_test_out!AT104</f>
        <v>0.5</v>
      </c>
      <c r="DY11" s="25">
        <f>BehavioralTask_Sub0259_test_out!AU104</f>
        <v>0.5</v>
      </c>
      <c r="DZ11" s="25">
        <f>BehavioralTask_Sub0259_test_out!AV104</f>
        <v>0.75</v>
      </c>
      <c r="EA11" s="25">
        <f>BehavioralTask_Sub0259_test_out!AW104</f>
        <v>0.41666666666666669</v>
      </c>
      <c r="EB11" s="25">
        <f>BehavioralTask_Sub0259_test_out!AX104</f>
        <v>0.58333333333333337</v>
      </c>
      <c r="EC11" s="25">
        <f>BehavioralTask_Sub0259_test_out!AS105</f>
        <v>0.33333333333333331</v>
      </c>
      <c r="ED11" s="25">
        <f>BehavioralTask_Sub0259_test_out!AT105</f>
        <v>0.25</v>
      </c>
      <c r="EE11" s="25">
        <f>BehavioralTask_Sub0259_test_out!AU105</f>
        <v>0.41666666666666669</v>
      </c>
      <c r="EF11" s="25">
        <f>BehavioralTask_Sub0259_test_out!AV105</f>
        <v>0.66666666666666663</v>
      </c>
      <c r="EG11" s="25">
        <f>BehavioralTask_Sub0259_test_out!AW105</f>
        <v>0.5</v>
      </c>
      <c r="EH11" s="25">
        <f>BehavioralTask_Sub0259_test_out!AX105</f>
        <v>0.58333333333333337</v>
      </c>
      <c r="EI11" s="25">
        <f>BehavioralTask_Sub0259_test_out!AS106</f>
        <v>0.58333333333333337</v>
      </c>
      <c r="EJ11" s="25">
        <f>BehavioralTask_Sub0259_test_out!AT106</f>
        <v>0.5</v>
      </c>
      <c r="EK11" s="25">
        <f>BehavioralTask_Sub0259_test_out!AU106</f>
        <v>0.5</v>
      </c>
      <c r="EL11" s="25">
        <f>BehavioralTask_Sub0259_test_out!AV106</f>
        <v>0.5</v>
      </c>
      <c r="EM11" s="25">
        <f>BehavioralTask_Sub0259_test_out!AW106</f>
        <v>0.58333333333333337</v>
      </c>
      <c r="EN11" s="25">
        <f>BehavioralTask_Sub0259_test_out!AX106</f>
        <v>0.5</v>
      </c>
      <c r="EO11" s="25">
        <f>BehavioralTask_Sub0259_test_out!AS107</f>
        <v>0.41666666666666669</v>
      </c>
      <c r="EP11" s="25">
        <f>BehavioralTask_Sub0259_test_out!AT107</f>
        <v>0.5</v>
      </c>
      <c r="EQ11" s="25">
        <f>BehavioralTask_Sub0259_test_out!AU107</f>
        <v>0.41666666666666669</v>
      </c>
      <c r="ER11" s="25">
        <f>BehavioralTask_Sub0259_test_out!AV107</f>
        <v>0.41666666666666669</v>
      </c>
      <c r="ES11" s="25">
        <f>BehavioralTask_Sub0259_test_out!AW107</f>
        <v>0.5</v>
      </c>
      <c r="ET11" s="25">
        <f>BehavioralTask_Sub0259_test_out!AX107</f>
        <v>0.33333333333333331</v>
      </c>
      <c r="EU11" s="25">
        <f>BehavioralTask_Sub0259_test_out!AS108</f>
        <v>0.41666666666666669</v>
      </c>
      <c r="EV11" s="25">
        <f>BehavioralTask_Sub0259_test_out!AT108</f>
        <v>0.58333333333333337</v>
      </c>
      <c r="EW11" s="25">
        <f>BehavioralTask_Sub0259_test_out!AU108</f>
        <v>0.58333333333333337</v>
      </c>
      <c r="EX11" s="25">
        <f>BehavioralTask_Sub0259_test_out!AV108</f>
        <v>0.5</v>
      </c>
      <c r="EY11" s="25">
        <f>BehavioralTask_Sub0259_test_out!AW108</f>
        <v>0.5</v>
      </c>
      <c r="EZ11" s="25">
        <f>BehavioralTask_Sub0259_test_out!AX108</f>
        <v>0.58333333333333337</v>
      </c>
      <c r="FA11" s="25">
        <f>utest_out!AR27</f>
        <v>0.33333333333333331</v>
      </c>
      <c r="FB11" s="25">
        <f>utest_out!AS27</f>
        <v>0.66666666666666663</v>
      </c>
      <c r="FC11" s="25">
        <f>utest_out!AR28</f>
        <v>0.5</v>
      </c>
      <c r="FD11" s="25">
        <f>utest_out!AS28</f>
        <v>0.5</v>
      </c>
      <c r="FE11" s="25">
        <f>utest_out!AR29</f>
        <v>0</v>
      </c>
      <c r="FF11" s="25">
        <f>utest_out!AS29</f>
        <v>0.33333333333333331</v>
      </c>
    </row>
    <row r="12" spans="1:162" x14ac:dyDescent="0.25">
      <c r="A12" t="s">
        <v>360</v>
      </c>
    </row>
    <row r="13" spans="1:162" x14ac:dyDescent="0.25">
      <c r="A13" s="31" t="s">
        <v>383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1" t="s">
        <v>384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1" t="s">
        <v>385</v>
      </c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1" t="s">
        <v>386</v>
      </c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1" t="s">
        <v>387</v>
      </c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1" t="s">
        <v>388</v>
      </c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1" t="s">
        <v>389</v>
      </c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1" t="s">
        <v>390</v>
      </c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1" t="s">
        <v>378</v>
      </c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1" t="s">
        <v>383</v>
      </c>
      <c r="DF13" s="31"/>
      <c r="DG13" s="31"/>
      <c r="DH13" s="31"/>
      <c r="DI13" s="31"/>
      <c r="DJ13" s="31"/>
      <c r="DK13" s="31" t="s">
        <v>384</v>
      </c>
      <c r="DL13" s="31"/>
      <c r="DM13" s="31"/>
      <c r="DN13" s="31"/>
      <c r="DO13" s="31"/>
      <c r="DP13" s="31"/>
      <c r="DQ13" s="31" t="s">
        <v>385</v>
      </c>
      <c r="DR13" s="31"/>
      <c r="DS13" s="31"/>
      <c r="DT13" s="31"/>
      <c r="DU13" s="31"/>
      <c r="DV13" s="31"/>
      <c r="DW13" s="31" t="s">
        <v>386</v>
      </c>
      <c r="DX13" s="31"/>
      <c r="DY13" s="31"/>
      <c r="DZ13" s="31"/>
      <c r="EA13" s="31"/>
      <c r="EB13" s="31"/>
      <c r="EC13" s="31" t="s">
        <v>387</v>
      </c>
      <c r="ED13" s="31"/>
      <c r="EE13" s="31"/>
      <c r="EF13" s="31"/>
      <c r="EG13" s="31"/>
      <c r="EH13" s="31"/>
      <c r="EI13" s="31" t="s">
        <v>388</v>
      </c>
      <c r="EJ13" s="31"/>
      <c r="EK13" s="31"/>
      <c r="EL13" s="31"/>
      <c r="EM13" s="31"/>
      <c r="EN13" s="31"/>
      <c r="EO13" s="31" t="s">
        <v>389</v>
      </c>
      <c r="EP13" s="31"/>
      <c r="EQ13" s="31"/>
      <c r="ER13" s="31"/>
      <c r="ES13" s="31"/>
      <c r="ET13" s="31"/>
      <c r="EU13" s="31" t="s">
        <v>390</v>
      </c>
      <c r="EV13" s="31"/>
      <c r="EW13" s="31"/>
      <c r="EX13" s="31"/>
      <c r="EY13" s="31"/>
      <c r="EZ13" s="31"/>
      <c r="FA13" s="31" t="s">
        <v>378</v>
      </c>
      <c r="FB13" s="31"/>
      <c r="FC13" s="31"/>
      <c r="FD13" s="31"/>
      <c r="FE13" s="31"/>
      <c r="FF13" s="31"/>
    </row>
    <row r="14" spans="1:162" x14ac:dyDescent="0.25">
      <c r="A14" s="32" t="s">
        <v>355</v>
      </c>
      <c r="B14" s="32"/>
      <c r="C14" s="32"/>
      <c r="D14" s="32"/>
      <c r="E14" s="31" t="s">
        <v>356</v>
      </c>
      <c r="F14" s="32"/>
      <c r="G14" s="32"/>
      <c r="H14" s="32"/>
      <c r="I14" s="31" t="s">
        <v>357</v>
      </c>
      <c r="J14" s="31"/>
      <c r="K14" s="31"/>
      <c r="L14" s="31"/>
      <c r="M14" s="32" t="s">
        <v>355</v>
      </c>
      <c r="N14" s="32"/>
      <c r="O14" s="32"/>
      <c r="P14" s="32"/>
      <c r="Q14" s="31" t="s">
        <v>356</v>
      </c>
      <c r="R14" s="32"/>
      <c r="S14" s="32"/>
      <c r="T14" s="32"/>
      <c r="U14" s="31" t="s">
        <v>357</v>
      </c>
      <c r="V14" s="31"/>
      <c r="W14" s="31"/>
      <c r="X14" s="31"/>
      <c r="Y14" s="32" t="s">
        <v>355</v>
      </c>
      <c r="Z14" s="32"/>
      <c r="AA14" s="32"/>
      <c r="AB14" s="32"/>
      <c r="AC14" s="31" t="s">
        <v>356</v>
      </c>
      <c r="AD14" s="32"/>
      <c r="AE14" s="32"/>
      <c r="AF14" s="32"/>
      <c r="AG14" s="31" t="s">
        <v>357</v>
      </c>
      <c r="AH14" s="31"/>
      <c r="AI14" s="31"/>
      <c r="AJ14" s="31"/>
      <c r="AK14" s="32" t="s">
        <v>355</v>
      </c>
      <c r="AL14" s="32"/>
      <c r="AM14" s="32"/>
      <c r="AN14" s="32"/>
      <c r="AO14" s="31" t="s">
        <v>356</v>
      </c>
      <c r="AP14" s="32"/>
      <c r="AQ14" s="32"/>
      <c r="AR14" s="32"/>
      <c r="AS14" s="31" t="s">
        <v>357</v>
      </c>
      <c r="AT14" s="31"/>
      <c r="AU14" s="31"/>
      <c r="AV14" s="31"/>
      <c r="AW14" s="32" t="s">
        <v>355</v>
      </c>
      <c r="AX14" s="32"/>
      <c r="AY14" s="32"/>
      <c r="AZ14" s="32"/>
      <c r="BA14" s="31" t="s">
        <v>356</v>
      </c>
      <c r="BB14" s="32"/>
      <c r="BC14" s="32"/>
      <c r="BD14" s="32"/>
      <c r="BE14" s="31" t="s">
        <v>357</v>
      </c>
      <c r="BF14" s="31"/>
      <c r="BG14" s="31"/>
      <c r="BH14" s="31"/>
      <c r="BI14" s="32" t="s">
        <v>355</v>
      </c>
      <c r="BJ14" s="32"/>
      <c r="BK14" s="32"/>
      <c r="BL14" s="32"/>
      <c r="BM14" s="31" t="s">
        <v>356</v>
      </c>
      <c r="BN14" s="32"/>
      <c r="BO14" s="32"/>
      <c r="BP14" s="32"/>
      <c r="BQ14" s="31" t="s">
        <v>357</v>
      </c>
      <c r="BR14" s="31"/>
      <c r="BS14" s="31"/>
      <c r="BT14" s="31"/>
      <c r="BU14" s="32" t="s">
        <v>355</v>
      </c>
      <c r="BV14" s="32"/>
      <c r="BW14" s="32"/>
      <c r="BX14" s="32"/>
      <c r="BY14" s="31" t="s">
        <v>356</v>
      </c>
      <c r="BZ14" s="32"/>
      <c r="CA14" s="32"/>
      <c r="CB14" s="32"/>
      <c r="CC14" s="31" t="s">
        <v>357</v>
      </c>
      <c r="CD14" s="31"/>
      <c r="CE14" s="31"/>
      <c r="CF14" s="31"/>
      <c r="CG14" s="32" t="s">
        <v>355</v>
      </c>
      <c r="CH14" s="32"/>
      <c r="CI14" s="32"/>
      <c r="CJ14" s="32"/>
      <c r="CK14" s="31" t="s">
        <v>356</v>
      </c>
      <c r="CL14" s="32"/>
      <c r="CM14" s="32"/>
      <c r="CN14" s="32"/>
      <c r="CO14" s="31" t="s">
        <v>357</v>
      </c>
      <c r="CP14" s="31"/>
      <c r="CQ14" s="31"/>
      <c r="CR14" s="31"/>
      <c r="CS14" s="32" t="s">
        <v>355</v>
      </c>
      <c r="CT14" s="32"/>
      <c r="CU14" s="32"/>
      <c r="CV14" s="32"/>
      <c r="CW14" s="31" t="s">
        <v>356</v>
      </c>
      <c r="CX14" s="32"/>
      <c r="CY14" s="32"/>
      <c r="CZ14" s="32"/>
      <c r="DA14" s="31" t="s">
        <v>357</v>
      </c>
      <c r="DB14" s="31"/>
      <c r="DC14" s="31"/>
      <c r="DD14" s="31"/>
      <c r="DE14" s="31" t="s">
        <v>355</v>
      </c>
      <c r="DF14" s="31"/>
      <c r="DG14" s="31" t="s">
        <v>356</v>
      </c>
      <c r="DH14" s="31"/>
      <c r="DI14" s="31" t="s">
        <v>357</v>
      </c>
      <c r="DJ14" s="31"/>
      <c r="DK14" s="31" t="s">
        <v>355</v>
      </c>
      <c r="DL14" s="31"/>
      <c r="DM14" s="31" t="s">
        <v>356</v>
      </c>
      <c r="DN14" s="31"/>
      <c r="DO14" s="31" t="s">
        <v>357</v>
      </c>
      <c r="DP14" s="31"/>
      <c r="DQ14" s="31" t="s">
        <v>355</v>
      </c>
      <c r="DR14" s="31"/>
      <c r="DS14" s="31" t="s">
        <v>356</v>
      </c>
      <c r="DT14" s="31"/>
      <c r="DU14" s="31" t="s">
        <v>357</v>
      </c>
      <c r="DV14" s="31"/>
      <c r="DW14" s="31" t="s">
        <v>355</v>
      </c>
      <c r="DX14" s="31"/>
      <c r="DY14" s="31" t="s">
        <v>356</v>
      </c>
      <c r="DZ14" s="31"/>
      <c r="EA14" s="31" t="s">
        <v>357</v>
      </c>
      <c r="EB14" s="31"/>
      <c r="EC14" s="31" t="s">
        <v>355</v>
      </c>
      <c r="ED14" s="31"/>
      <c r="EE14" s="31" t="s">
        <v>356</v>
      </c>
      <c r="EF14" s="31"/>
      <c r="EG14" s="31" t="s">
        <v>357</v>
      </c>
      <c r="EH14" s="31"/>
      <c r="EI14" s="31" t="s">
        <v>355</v>
      </c>
      <c r="EJ14" s="31"/>
      <c r="EK14" s="31" t="s">
        <v>356</v>
      </c>
      <c r="EL14" s="31"/>
      <c r="EM14" s="31" t="s">
        <v>357</v>
      </c>
      <c r="EN14" s="31"/>
      <c r="EO14" s="31" t="s">
        <v>355</v>
      </c>
      <c r="EP14" s="31"/>
      <c r="EQ14" s="31" t="s">
        <v>356</v>
      </c>
      <c r="ER14" s="31"/>
      <c r="ES14" s="31" t="s">
        <v>357</v>
      </c>
      <c r="ET14" s="31"/>
      <c r="EU14" s="31" t="s">
        <v>355</v>
      </c>
      <c r="EV14" s="31"/>
      <c r="EW14" s="31" t="s">
        <v>356</v>
      </c>
      <c r="EX14" s="31"/>
      <c r="EY14" s="31" t="s">
        <v>357</v>
      </c>
      <c r="EZ14" s="31"/>
      <c r="FA14" s="31" t="s">
        <v>355</v>
      </c>
      <c r="FB14" s="31"/>
      <c r="FC14" s="31" t="s">
        <v>356</v>
      </c>
      <c r="FD14" s="31"/>
      <c r="FE14" s="31" t="s">
        <v>357</v>
      </c>
      <c r="FF14" s="31"/>
    </row>
    <row r="15" spans="1:162" x14ac:dyDescent="0.25">
      <c r="A15" t="s">
        <v>391</v>
      </c>
      <c r="B15" t="s">
        <v>392</v>
      </c>
      <c r="C15" t="s">
        <v>393</v>
      </c>
      <c r="D15" t="s">
        <v>394</v>
      </c>
      <c r="E15" t="s">
        <v>391</v>
      </c>
      <c r="F15" t="s">
        <v>392</v>
      </c>
      <c r="G15" t="s">
        <v>393</v>
      </c>
      <c r="H15" t="s">
        <v>394</v>
      </c>
      <c r="I15" t="s">
        <v>391</v>
      </c>
      <c r="J15" t="s">
        <v>392</v>
      </c>
      <c r="K15" t="s">
        <v>393</v>
      </c>
      <c r="L15" t="s">
        <v>394</v>
      </c>
      <c r="M15" t="s">
        <v>391</v>
      </c>
      <c r="N15" t="s">
        <v>392</v>
      </c>
      <c r="O15" t="s">
        <v>393</v>
      </c>
      <c r="P15" t="s">
        <v>394</v>
      </c>
      <c r="Q15" t="s">
        <v>391</v>
      </c>
      <c r="R15" t="s">
        <v>392</v>
      </c>
      <c r="S15" t="s">
        <v>393</v>
      </c>
      <c r="T15" t="s">
        <v>394</v>
      </c>
      <c r="U15" t="s">
        <v>391</v>
      </c>
      <c r="V15" t="s">
        <v>392</v>
      </c>
      <c r="W15" t="s">
        <v>393</v>
      </c>
      <c r="X15" t="s">
        <v>394</v>
      </c>
      <c r="Y15" t="s">
        <v>391</v>
      </c>
      <c r="Z15" t="s">
        <v>392</v>
      </c>
      <c r="AA15" t="s">
        <v>393</v>
      </c>
      <c r="AB15" t="s">
        <v>394</v>
      </c>
      <c r="AC15" t="s">
        <v>391</v>
      </c>
      <c r="AD15" t="s">
        <v>392</v>
      </c>
      <c r="AE15" t="s">
        <v>393</v>
      </c>
      <c r="AF15" t="s">
        <v>394</v>
      </c>
      <c r="AG15" t="s">
        <v>391</v>
      </c>
      <c r="AH15" t="s">
        <v>392</v>
      </c>
      <c r="AI15" t="s">
        <v>393</v>
      </c>
      <c r="AJ15" t="s">
        <v>394</v>
      </c>
      <c r="AK15" t="s">
        <v>391</v>
      </c>
      <c r="AL15" t="s">
        <v>392</v>
      </c>
      <c r="AM15" t="s">
        <v>393</v>
      </c>
      <c r="AN15" t="s">
        <v>394</v>
      </c>
      <c r="AO15" t="s">
        <v>391</v>
      </c>
      <c r="AP15" t="s">
        <v>392</v>
      </c>
      <c r="AQ15" t="s">
        <v>393</v>
      </c>
      <c r="AR15" t="s">
        <v>394</v>
      </c>
      <c r="AS15" t="s">
        <v>391</v>
      </c>
      <c r="AT15" t="s">
        <v>392</v>
      </c>
      <c r="AU15" t="s">
        <v>393</v>
      </c>
      <c r="AV15" t="s">
        <v>394</v>
      </c>
      <c r="AW15" t="s">
        <v>391</v>
      </c>
      <c r="AX15" t="s">
        <v>392</v>
      </c>
      <c r="AY15" t="s">
        <v>393</v>
      </c>
      <c r="AZ15" t="s">
        <v>394</v>
      </c>
      <c r="BA15" t="s">
        <v>391</v>
      </c>
      <c r="BB15" t="s">
        <v>392</v>
      </c>
      <c r="BC15" t="s">
        <v>393</v>
      </c>
      <c r="BD15" t="s">
        <v>394</v>
      </c>
      <c r="BE15" t="s">
        <v>391</v>
      </c>
      <c r="BF15" t="s">
        <v>392</v>
      </c>
      <c r="BG15" t="s">
        <v>393</v>
      </c>
      <c r="BH15" t="s">
        <v>394</v>
      </c>
      <c r="BI15" t="s">
        <v>391</v>
      </c>
      <c r="BJ15" t="s">
        <v>392</v>
      </c>
      <c r="BK15" t="s">
        <v>393</v>
      </c>
      <c r="BL15" t="s">
        <v>394</v>
      </c>
      <c r="BM15" t="s">
        <v>391</v>
      </c>
      <c r="BN15" t="s">
        <v>392</v>
      </c>
      <c r="BO15" t="s">
        <v>393</v>
      </c>
      <c r="BP15" t="s">
        <v>394</v>
      </c>
      <c r="BQ15" t="s">
        <v>391</v>
      </c>
      <c r="BR15" t="s">
        <v>392</v>
      </c>
      <c r="BS15" t="s">
        <v>393</v>
      </c>
      <c r="BT15" t="s">
        <v>394</v>
      </c>
      <c r="BU15" t="s">
        <v>391</v>
      </c>
      <c r="BV15" t="s">
        <v>392</v>
      </c>
      <c r="BW15" t="s">
        <v>393</v>
      </c>
      <c r="BX15" t="s">
        <v>394</v>
      </c>
      <c r="BY15" t="s">
        <v>391</v>
      </c>
      <c r="BZ15" t="s">
        <v>392</v>
      </c>
      <c r="CA15" t="s">
        <v>393</v>
      </c>
      <c r="CB15" t="s">
        <v>394</v>
      </c>
      <c r="CC15" t="s">
        <v>391</v>
      </c>
      <c r="CD15" t="s">
        <v>392</v>
      </c>
      <c r="CE15" t="s">
        <v>393</v>
      </c>
      <c r="CF15" t="s">
        <v>394</v>
      </c>
      <c r="CG15" t="s">
        <v>391</v>
      </c>
      <c r="CH15" t="s">
        <v>392</v>
      </c>
      <c r="CI15" t="s">
        <v>393</v>
      </c>
      <c r="CJ15" t="s">
        <v>394</v>
      </c>
      <c r="CK15" t="s">
        <v>391</v>
      </c>
      <c r="CL15" t="s">
        <v>392</v>
      </c>
      <c r="CM15" t="s">
        <v>393</v>
      </c>
      <c r="CN15" t="s">
        <v>394</v>
      </c>
      <c r="CO15" t="s">
        <v>391</v>
      </c>
      <c r="CP15" t="s">
        <v>392</v>
      </c>
      <c r="CQ15" t="s">
        <v>393</v>
      </c>
      <c r="CR15" t="s">
        <v>394</v>
      </c>
      <c r="CS15" t="s">
        <v>391</v>
      </c>
      <c r="CT15" t="s">
        <v>392</v>
      </c>
      <c r="CU15" t="s">
        <v>393</v>
      </c>
      <c r="CV15" t="s">
        <v>394</v>
      </c>
      <c r="CW15" t="s">
        <v>391</v>
      </c>
      <c r="CX15" t="s">
        <v>392</v>
      </c>
      <c r="CY15" t="s">
        <v>393</v>
      </c>
      <c r="CZ15" t="s">
        <v>394</v>
      </c>
      <c r="DA15" t="s">
        <v>391</v>
      </c>
      <c r="DB15" t="s">
        <v>392</v>
      </c>
      <c r="DC15" t="s">
        <v>393</v>
      </c>
      <c r="DD15" t="s">
        <v>394</v>
      </c>
      <c r="DE15" t="s">
        <v>395</v>
      </c>
      <c r="DF15" t="s">
        <v>396</v>
      </c>
      <c r="DG15" t="s">
        <v>395</v>
      </c>
      <c r="DH15" t="s">
        <v>396</v>
      </c>
      <c r="DI15" t="s">
        <v>395</v>
      </c>
      <c r="DJ15" t="s">
        <v>396</v>
      </c>
      <c r="DK15" t="s">
        <v>395</v>
      </c>
      <c r="DL15" t="s">
        <v>396</v>
      </c>
      <c r="DM15" t="s">
        <v>395</v>
      </c>
      <c r="DN15" t="s">
        <v>396</v>
      </c>
      <c r="DO15" t="s">
        <v>395</v>
      </c>
      <c r="DP15" t="s">
        <v>396</v>
      </c>
      <c r="DQ15" t="s">
        <v>395</v>
      </c>
      <c r="DR15" t="s">
        <v>396</v>
      </c>
      <c r="DS15" t="s">
        <v>395</v>
      </c>
      <c r="DT15" t="s">
        <v>396</v>
      </c>
      <c r="DU15" t="s">
        <v>395</v>
      </c>
      <c r="DV15" t="s">
        <v>396</v>
      </c>
      <c r="DW15" t="s">
        <v>395</v>
      </c>
      <c r="DX15" t="s">
        <v>396</v>
      </c>
      <c r="DY15" t="s">
        <v>395</v>
      </c>
      <c r="DZ15" t="s">
        <v>396</v>
      </c>
      <c r="EA15" t="s">
        <v>395</v>
      </c>
      <c r="EB15" t="s">
        <v>396</v>
      </c>
      <c r="EC15" t="s">
        <v>395</v>
      </c>
      <c r="ED15" t="s">
        <v>396</v>
      </c>
      <c r="EE15" t="s">
        <v>395</v>
      </c>
      <c r="EF15" t="s">
        <v>396</v>
      </c>
      <c r="EG15" t="s">
        <v>395</v>
      </c>
      <c r="EH15" t="s">
        <v>396</v>
      </c>
      <c r="EI15" t="s">
        <v>395</v>
      </c>
      <c r="EJ15" t="s">
        <v>396</v>
      </c>
      <c r="EK15" t="s">
        <v>395</v>
      </c>
      <c r="EL15" t="s">
        <v>396</v>
      </c>
      <c r="EM15" t="s">
        <v>395</v>
      </c>
      <c r="EN15" t="s">
        <v>396</v>
      </c>
      <c r="EO15" t="s">
        <v>395</v>
      </c>
      <c r="EP15" t="s">
        <v>396</v>
      </c>
      <c r="EQ15" t="s">
        <v>395</v>
      </c>
      <c r="ER15" t="s">
        <v>396</v>
      </c>
      <c r="ES15" t="s">
        <v>395</v>
      </c>
      <c r="ET15" t="s">
        <v>396</v>
      </c>
      <c r="EU15" t="s">
        <v>395</v>
      </c>
      <c r="EV15" t="s">
        <v>396</v>
      </c>
      <c r="EW15" t="s">
        <v>395</v>
      </c>
      <c r="EX15" t="s">
        <v>396</v>
      </c>
      <c r="EY15" t="s">
        <v>395</v>
      </c>
      <c r="EZ15" t="s">
        <v>396</v>
      </c>
      <c r="FA15" t="s">
        <v>395</v>
      </c>
      <c r="FB15" t="s">
        <v>396</v>
      </c>
      <c r="FC15" t="s">
        <v>395</v>
      </c>
      <c r="FD15" t="s">
        <v>396</v>
      </c>
      <c r="FE15" t="s">
        <v>395</v>
      </c>
      <c r="FF15" t="s">
        <v>396</v>
      </c>
    </row>
    <row r="16" spans="1:162" x14ac:dyDescent="0.25">
      <c r="A16" s="25">
        <f>BehavioralTask_Sub0259_test_out!AS57</f>
        <v>2.1339999999999999</v>
      </c>
      <c r="B16" s="25">
        <f>BehavioralTask_Sub0259_test_out!AT57</f>
        <v>2.34</v>
      </c>
      <c r="C16" s="25">
        <f>BehavioralTask_Sub0259_test_out!AU57</f>
        <v>2.58</v>
      </c>
      <c r="D16" s="25" t="str">
        <f>BehavioralTask_Sub0259_test_out!AV57</f>
        <v>.</v>
      </c>
      <c r="E16" s="25" t="str">
        <f>BehavioralTask_Sub0259_test_out!AW57</f>
        <v>.</v>
      </c>
      <c r="F16" s="25">
        <f>BehavioralTask_Sub0259_test_out!AX57</f>
        <v>1.0805</v>
      </c>
      <c r="G16" s="25" t="str">
        <f>BehavioralTask_Sub0259_test_out!AY57</f>
        <v>.</v>
      </c>
      <c r="H16" s="25">
        <f>BehavioralTask_Sub0259_test_out!AZ57</f>
        <v>1.6315</v>
      </c>
      <c r="I16" s="25">
        <f>BehavioralTask_Sub0259_test_out!BA57</f>
        <v>1.5550000000000002</v>
      </c>
      <c r="J16" s="25">
        <f>BehavioralTask_Sub0259_test_out!BB57</f>
        <v>0.93400000000000005</v>
      </c>
      <c r="K16" s="25">
        <f>BehavioralTask_Sub0259_test_out!BC57</f>
        <v>0.67600000000000005</v>
      </c>
      <c r="L16" s="25">
        <f>BehavioralTask_Sub0259_test_out!BD57</f>
        <v>1.0900000000000001</v>
      </c>
      <c r="M16" s="25">
        <f>BehavioralTask_Sub0259_test_out!AS58</f>
        <v>1.9449999999999996</v>
      </c>
      <c r="N16" s="25">
        <f>BehavioralTask_Sub0259_test_out!AT58</f>
        <v>1.3160000000000001</v>
      </c>
      <c r="O16" s="25" t="str">
        <f>BehavioralTask_Sub0259_test_out!AU58</f>
        <v>.</v>
      </c>
      <c r="P16" s="25" t="str">
        <f>BehavioralTask_Sub0259_test_out!AV58</f>
        <v>.</v>
      </c>
      <c r="Q16" s="25">
        <f>BehavioralTask_Sub0259_test_out!AW58</f>
        <v>1.9103333333333332</v>
      </c>
      <c r="R16" s="25">
        <f>BehavioralTask_Sub0259_test_out!AX58</f>
        <v>2.5619999999999998</v>
      </c>
      <c r="S16" s="25">
        <f>BehavioralTask_Sub0259_test_out!AY58</f>
        <v>2.3929999999999998</v>
      </c>
      <c r="T16" s="25">
        <f>BehavioralTask_Sub0259_test_out!AZ58</f>
        <v>2.3130000000000002</v>
      </c>
      <c r="U16" s="25" t="str">
        <f>BehavioralTask_Sub0259_test_out!BA58</f>
        <v>.</v>
      </c>
      <c r="V16" s="25">
        <f>BehavioralTask_Sub0259_test_out!BB58</f>
        <v>2.9409999999999998</v>
      </c>
      <c r="W16" s="25">
        <f>BehavioralTask_Sub0259_test_out!BC58</f>
        <v>1.9044999999999999</v>
      </c>
      <c r="X16" s="25">
        <f>BehavioralTask_Sub0259_test_out!BD58</f>
        <v>2.6612499999999999</v>
      </c>
      <c r="Y16" s="25">
        <f>BehavioralTask_Sub0259_test_out!AS59</f>
        <v>2.137</v>
      </c>
      <c r="Z16" s="25">
        <f>BehavioralTask_Sub0259_test_out!AT59</f>
        <v>0.58599999999999997</v>
      </c>
      <c r="AA16" s="25">
        <f>BehavioralTask_Sub0259_test_out!AU59</f>
        <v>2.0460000000000003</v>
      </c>
      <c r="AB16" s="25">
        <f>BehavioralTask_Sub0259_test_out!AV59</f>
        <v>2.3784999999999998</v>
      </c>
      <c r="AC16" s="25">
        <f>BehavioralTask_Sub0259_test_out!AW59</f>
        <v>1.6079999999999999</v>
      </c>
      <c r="AD16" s="25">
        <f>BehavioralTask_Sub0259_test_out!AX59</f>
        <v>1.8229999999999997</v>
      </c>
      <c r="AE16" s="25">
        <f>BehavioralTask_Sub0259_test_out!AY59</f>
        <v>2.1734999999999998</v>
      </c>
      <c r="AF16" s="25">
        <f>BehavioralTask_Sub0259_test_out!AZ59</f>
        <v>2.2370000000000001</v>
      </c>
      <c r="AG16" s="25" t="str">
        <f>BehavioralTask_Sub0259_test_out!BA59</f>
        <v>.</v>
      </c>
      <c r="AH16" s="25">
        <f>BehavioralTask_Sub0259_test_out!BB59</f>
        <v>2.4656666666666669</v>
      </c>
      <c r="AI16" s="25">
        <f>BehavioralTask_Sub0259_test_out!BC59</f>
        <v>1.5575000000000001</v>
      </c>
      <c r="AJ16" s="25">
        <f>BehavioralTask_Sub0259_test_out!BD59</f>
        <v>2.8174999999999999</v>
      </c>
      <c r="AK16" s="25">
        <f>BehavioralTask_Sub0259_test_out!AS60</f>
        <v>2.597</v>
      </c>
      <c r="AL16" s="25">
        <f>BehavioralTask_Sub0259_test_out!AT60</f>
        <v>1.8840000000000001</v>
      </c>
      <c r="AM16" s="25">
        <f>BehavioralTask_Sub0259_test_out!AU60</f>
        <v>1.218</v>
      </c>
      <c r="AN16" s="25">
        <f>BehavioralTask_Sub0259_test_out!AV60</f>
        <v>1.5865</v>
      </c>
      <c r="AO16" s="25">
        <f>BehavioralTask_Sub0259_test_out!AW60</f>
        <v>1.45825</v>
      </c>
      <c r="AP16" s="25">
        <f>BehavioralTask_Sub0259_test_out!AX60</f>
        <v>2.1339999999999999</v>
      </c>
      <c r="AQ16" s="25">
        <f>BehavioralTask_Sub0259_test_out!AY60</f>
        <v>2.4660000000000002</v>
      </c>
      <c r="AR16" s="25">
        <f>BehavioralTask_Sub0259_test_out!AZ60</f>
        <v>1.3813333333333333</v>
      </c>
      <c r="AS16" s="25">
        <f>BehavioralTask_Sub0259_test_out!BA60</f>
        <v>2.0430000000000001</v>
      </c>
      <c r="AT16" s="25">
        <f>BehavioralTask_Sub0259_test_out!BB60</f>
        <v>1.6270000000000002</v>
      </c>
      <c r="AU16" s="25">
        <f>BehavioralTask_Sub0259_test_out!BC60</f>
        <v>2.0285000000000002</v>
      </c>
      <c r="AV16" s="25">
        <f>BehavioralTask_Sub0259_test_out!BD60</f>
        <v>1.9483333333333333</v>
      </c>
      <c r="AW16" s="25">
        <f>BehavioralTask_Sub0259_test_out!AS61</f>
        <v>2.2029999999999998</v>
      </c>
      <c r="AX16" s="25">
        <f>BehavioralTask_Sub0259_test_out!AT61</f>
        <v>1.7815000000000001</v>
      </c>
      <c r="AY16" s="25">
        <f>BehavioralTask_Sub0259_test_out!AU61</f>
        <v>1.4535</v>
      </c>
      <c r="AZ16" s="25">
        <f>BehavioralTask_Sub0259_test_out!AV61</f>
        <v>2.012</v>
      </c>
      <c r="BA16" s="25">
        <f>BehavioralTask_Sub0259_test_out!AW61</f>
        <v>1.8925000000000001</v>
      </c>
      <c r="BB16" s="25">
        <f>BehavioralTask_Sub0259_test_out!AX61</f>
        <v>2.0594999999999999</v>
      </c>
      <c r="BC16" s="25">
        <f>BehavioralTask_Sub0259_test_out!AY61</f>
        <v>2.6749999999999998</v>
      </c>
      <c r="BD16" s="25">
        <f>BehavioralTask_Sub0259_test_out!AZ61</f>
        <v>1.7711666666666666</v>
      </c>
      <c r="BE16" s="25">
        <f>BehavioralTask_Sub0259_test_out!BA61</f>
        <v>2.3119999999999998</v>
      </c>
      <c r="BF16" s="25">
        <f>BehavioralTask_Sub0259_test_out!BB61</f>
        <v>2.4380000000000002</v>
      </c>
      <c r="BG16" s="25">
        <f>BehavioralTask_Sub0259_test_out!BC61</f>
        <v>2.4762</v>
      </c>
      <c r="BH16" s="25">
        <f>BehavioralTask_Sub0259_test_out!BD61</f>
        <v>2.4472499999999999</v>
      </c>
      <c r="BI16" s="25">
        <f>BehavioralTask_Sub0259_test_out!AS62</f>
        <v>1.65</v>
      </c>
      <c r="BJ16" s="25">
        <f>BehavioralTask_Sub0259_test_out!AT62</f>
        <v>1.5063333333333333</v>
      </c>
      <c r="BK16" s="25">
        <f>BehavioralTask_Sub0259_test_out!AU62</f>
        <v>1.4123333333333334</v>
      </c>
      <c r="BL16" s="25">
        <f>BehavioralTask_Sub0259_test_out!AV62</f>
        <v>1.9383333333333332</v>
      </c>
      <c r="BM16" s="25">
        <f>BehavioralTask_Sub0259_test_out!AW62</f>
        <v>1.6460000000000001</v>
      </c>
      <c r="BN16" s="25">
        <f>BehavioralTask_Sub0259_test_out!AX62</f>
        <v>2.1126666666666662</v>
      </c>
      <c r="BO16" s="25">
        <f>BehavioralTask_Sub0259_test_out!AY62</f>
        <v>1.5066666666666668</v>
      </c>
      <c r="BP16" s="25">
        <f>BehavioralTask_Sub0259_test_out!AZ62</f>
        <v>1.8296666666666666</v>
      </c>
      <c r="BQ16" s="25">
        <f>BehavioralTask_Sub0259_test_out!BA62</f>
        <v>2.5354999999999999</v>
      </c>
      <c r="BR16" s="25">
        <f>BehavioralTask_Sub0259_test_out!BB62</f>
        <v>1.4594999999999998</v>
      </c>
      <c r="BS16" s="25">
        <f>BehavioralTask_Sub0259_test_out!BC62</f>
        <v>1.1806666666666665</v>
      </c>
      <c r="BT16" s="25">
        <f>BehavioralTask_Sub0259_test_out!BD62</f>
        <v>2.0540000000000003</v>
      </c>
      <c r="BU16" s="25">
        <f>BehavioralTask_Sub0259_test_out!AS63</f>
        <v>1.627</v>
      </c>
      <c r="BV16" s="25">
        <f>BehavioralTask_Sub0259_test_out!AT63</f>
        <v>1.3240000000000001</v>
      </c>
      <c r="BW16" s="25">
        <f>BehavioralTask_Sub0259_test_out!AU63</f>
        <v>2.2995000000000001</v>
      </c>
      <c r="BX16" s="25">
        <f>BehavioralTask_Sub0259_test_out!AV63</f>
        <v>2.7149999999999999</v>
      </c>
      <c r="BY16" s="25">
        <f>BehavioralTask_Sub0259_test_out!AW63</f>
        <v>1.0063333333333333</v>
      </c>
      <c r="BZ16" s="25">
        <f>BehavioralTask_Sub0259_test_out!AX63</f>
        <v>2.2284999999999999</v>
      </c>
      <c r="CA16" s="25">
        <f>BehavioralTask_Sub0259_test_out!AY63</f>
        <v>1.1305000000000001</v>
      </c>
      <c r="CB16" s="25">
        <f>BehavioralTask_Sub0259_test_out!AZ63</f>
        <v>1.9006666666666667</v>
      </c>
      <c r="CC16" s="25">
        <f>BehavioralTask_Sub0259_test_out!BA63</f>
        <v>2.3933333333333331</v>
      </c>
      <c r="CD16" s="25">
        <f>BehavioralTask_Sub0259_test_out!BB63</f>
        <v>2.4633333333333329</v>
      </c>
      <c r="CE16" s="25">
        <f>BehavioralTask_Sub0259_test_out!BC63</f>
        <v>1.1806666666666665</v>
      </c>
      <c r="CF16" s="25">
        <f>BehavioralTask_Sub0259_test_out!BD63</f>
        <v>1.0569999999999999</v>
      </c>
      <c r="CG16" s="25">
        <f>BehavioralTask_Sub0259_test_out!AS64</f>
        <v>1.7676666666666667</v>
      </c>
      <c r="CH16" s="25">
        <f>BehavioralTask_Sub0259_test_out!AT64</f>
        <v>1.1492499999999999</v>
      </c>
      <c r="CI16" s="25">
        <f>BehavioralTask_Sub0259_test_out!AU64</f>
        <v>1.4185000000000001</v>
      </c>
      <c r="CJ16" s="25">
        <f>BehavioralTask_Sub0259_test_out!AV64</f>
        <v>1.921</v>
      </c>
      <c r="CK16" s="25">
        <f>BehavioralTask_Sub0259_test_out!AW64</f>
        <v>2.1427499999999999</v>
      </c>
      <c r="CL16" s="25">
        <f>BehavioralTask_Sub0259_test_out!AX64</f>
        <v>0.71099999999999997</v>
      </c>
      <c r="CM16" s="25">
        <f>BehavioralTask_Sub0259_test_out!AY64</f>
        <v>2.0143333333333335</v>
      </c>
      <c r="CN16" s="25">
        <f>BehavioralTask_Sub0259_test_out!AZ64</f>
        <v>2.1824000000000003</v>
      </c>
      <c r="CO16" s="25">
        <f>BehavioralTask_Sub0259_test_out!BA64</f>
        <v>2.0090000000000003</v>
      </c>
      <c r="CP16" s="25">
        <f>BehavioralTask_Sub0259_test_out!BB64</f>
        <v>1.8338000000000001</v>
      </c>
      <c r="CQ16" s="25">
        <f>BehavioralTask_Sub0259_test_out!BC64</f>
        <v>1.5077499999999999</v>
      </c>
      <c r="CR16" s="25">
        <f>BehavioralTask_Sub0259_test_out!BD64</f>
        <v>1.8460000000000001</v>
      </c>
      <c r="CS16" s="25">
        <f>utest_out!AR32</f>
        <v>2.323</v>
      </c>
      <c r="CT16" s="25">
        <f>utest_out!AS32</f>
        <v>2.4860000000000002</v>
      </c>
      <c r="CU16" s="25">
        <f>utest_out!AT32</f>
        <v>2.37</v>
      </c>
      <c r="CV16" s="25">
        <f>utest_out!AU32</f>
        <v>2.4346666666666663</v>
      </c>
      <c r="CW16" s="25">
        <f>utest_out!AR33</f>
        <v>2.9169999999999998</v>
      </c>
      <c r="CX16" s="25">
        <f>utest_out!AS33</f>
        <v>2.3650000000000002</v>
      </c>
      <c r="CY16" s="25">
        <f>utest_out!AT33</f>
        <v>2.7509999999999999</v>
      </c>
      <c r="CZ16" s="25">
        <f>utest_out!AU33</f>
        <v>2.9849999999999999</v>
      </c>
      <c r="DA16" s="25" t="str">
        <f>utest_out!AR34</f>
        <v>.</v>
      </c>
      <c r="DB16" s="25" t="str">
        <f>utest_out!AS34</f>
        <v>.</v>
      </c>
      <c r="DC16" s="25" t="str">
        <f>utest_out!AT34</f>
        <v>.</v>
      </c>
      <c r="DD16" s="25">
        <f>utest_out!AU34</f>
        <v>2.3330000000000002</v>
      </c>
      <c r="DE16" s="25">
        <f>BehavioralTask_Sub0259_test_out!AS68</f>
        <v>2.4685000000000001</v>
      </c>
      <c r="DF16" s="25">
        <f>BehavioralTask_Sub0259_test_out!AT68</f>
        <v>2.34</v>
      </c>
      <c r="DG16" s="25" t="e">
        <f>BehavioralTask_Sub0259_test_out!AU68</f>
        <v>#DIV/0!</v>
      </c>
      <c r="DH16" s="25">
        <f>BehavioralTask_Sub0259_test_out!AV68</f>
        <v>1.3559999999999999</v>
      </c>
      <c r="DI16" s="25">
        <f>BehavioralTask_Sub0259_test_out!AW68</f>
        <v>1.2620000000000002</v>
      </c>
      <c r="DJ16" s="25">
        <f>BehavioralTask_Sub0259_test_out!AX68</f>
        <v>1.012</v>
      </c>
      <c r="DK16" s="25">
        <f>BehavioralTask_Sub0259_test_out!AS69</f>
        <v>1.9449999999999996</v>
      </c>
      <c r="DL16" s="25">
        <f>BehavioralTask_Sub0259_test_out!AT69</f>
        <v>1.3160000000000001</v>
      </c>
      <c r="DM16" s="25">
        <f>BehavioralTask_Sub0259_test_out!AU69</f>
        <v>2.0309999999999997</v>
      </c>
      <c r="DN16" s="25">
        <f>BehavioralTask_Sub0259_test_out!AV69</f>
        <v>2.3752499999999999</v>
      </c>
      <c r="DO16" s="25">
        <f>BehavioralTask_Sub0259_test_out!AW69</f>
        <v>1.9044999999999999</v>
      </c>
      <c r="DP16" s="25">
        <f>BehavioralTask_Sub0259_test_out!AX69</f>
        <v>2.7171999999999996</v>
      </c>
      <c r="DQ16" s="25">
        <f>BehavioralTask_Sub0259_test_out!AS70</f>
        <v>2.0914999999999999</v>
      </c>
      <c r="DR16" s="25">
        <f>BehavioralTask_Sub0259_test_out!AT70</f>
        <v>1.7809999999999999</v>
      </c>
      <c r="DS16" s="25">
        <f>BehavioralTask_Sub0259_test_out!AU70</f>
        <v>1.7695714285714284</v>
      </c>
      <c r="DT16" s="25">
        <f>BehavioralTask_Sub0259_test_out!AV70</f>
        <v>1.9264999999999999</v>
      </c>
      <c r="DU16" s="25">
        <f>BehavioralTask_Sub0259_test_out!AW70</f>
        <v>1.5575000000000001</v>
      </c>
      <c r="DV16" s="25">
        <f>BehavioralTask_Sub0259_test_out!AX70</f>
        <v>2.6063999999999998</v>
      </c>
      <c r="DW16" s="25">
        <f>BehavioralTask_Sub0259_test_out!AS71</f>
        <v>2.0453999999999999</v>
      </c>
      <c r="DX16" s="25">
        <f>BehavioralTask_Sub0259_test_out!AT71</f>
        <v>1.7649999999999999</v>
      </c>
      <c r="DY16" s="25">
        <f>BehavioralTask_Sub0259_test_out!AU71</f>
        <v>1.7941666666666667</v>
      </c>
      <c r="DZ16" s="25">
        <f>BehavioralTask_Sub0259_test_out!AV71</f>
        <v>1.6322222222222225</v>
      </c>
      <c r="EA16" s="25">
        <f>BehavioralTask_Sub0259_test_out!AW71</f>
        <v>2.0314000000000001</v>
      </c>
      <c r="EB16" s="25">
        <f>BehavioralTask_Sub0259_test_out!AX71</f>
        <v>1.7647142857142859</v>
      </c>
      <c r="EC16" s="25">
        <f>BehavioralTask_Sub0259_test_out!AS72</f>
        <v>1.8282499999999999</v>
      </c>
      <c r="ED16" s="25">
        <f>BehavioralTask_Sub0259_test_out!AT72</f>
        <v>1.8583333333333334</v>
      </c>
      <c r="EE16" s="25">
        <f>BehavioralTask_Sub0259_test_out!AU72</f>
        <v>2.0490000000000004</v>
      </c>
      <c r="EF16" s="25">
        <f>BehavioralTask_Sub0259_test_out!AV72</f>
        <v>1.8432499999999998</v>
      </c>
      <c r="EG16" s="25">
        <f>BehavioralTask_Sub0259_test_out!AW72</f>
        <v>2.4488333333333334</v>
      </c>
      <c r="EH16" s="25">
        <f>BehavioralTask_Sub0259_test_out!AX72</f>
        <v>2.4432857142857145</v>
      </c>
      <c r="EI16" s="25">
        <f>BehavioralTask_Sub0259_test_out!AS73</f>
        <v>1.548142857142857</v>
      </c>
      <c r="EJ16" s="25">
        <f>BehavioralTask_Sub0259_test_out!AT73</f>
        <v>1.7223333333333333</v>
      </c>
      <c r="EK16" s="25">
        <f>BehavioralTask_Sub0259_test_out!AU73</f>
        <v>1.5763333333333336</v>
      </c>
      <c r="EL16" s="25">
        <f>BehavioralTask_Sub0259_test_out!AV73</f>
        <v>1.9711666666666663</v>
      </c>
      <c r="EM16" s="25">
        <f>BehavioralTask_Sub0259_test_out!AW73</f>
        <v>1.9548571428571428</v>
      </c>
      <c r="EN16" s="25">
        <f>BehavioralTask_Sub0259_test_out!AX73</f>
        <v>1.6576666666666666</v>
      </c>
      <c r="EO16" s="25">
        <f>BehavioralTask_Sub0259_test_out!AS74</f>
        <v>1.8960000000000001</v>
      </c>
      <c r="EP16" s="25">
        <f>BehavioralTask_Sub0259_test_out!AT74</f>
        <v>2.0194999999999999</v>
      </c>
      <c r="EQ16" s="25">
        <f>BehavioralTask_Sub0259_test_out!AU74</f>
        <v>1.056</v>
      </c>
      <c r="ER16" s="25">
        <f>BehavioralTask_Sub0259_test_out!AV74</f>
        <v>2.0317999999999996</v>
      </c>
      <c r="ES16" s="25">
        <f>BehavioralTask_Sub0259_test_out!AW74</f>
        <v>1.7869999999999999</v>
      </c>
      <c r="ET16" s="25">
        <f>BehavioralTask_Sub0259_test_out!AX74</f>
        <v>2.1117499999999998</v>
      </c>
      <c r="EU16" s="25">
        <f>BehavioralTask_Sub0259_test_out!AS75</f>
        <v>1.6280000000000001</v>
      </c>
      <c r="EV16" s="25">
        <f>BehavioralTask_Sub0259_test_out!AT75</f>
        <v>1.48</v>
      </c>
      <c r="EW16" s="25">
        <f>BehavioralTask_Sub0259_test_out!AU75</f>
        <v>2.0877142857142856</v>
      </c>
      <c r="EX16" s="25">
        <f>BehavioralTask_Sub0259_test_out!AV75</f>
        <v>1.9371666666666669</v>
      </c>
      <c r="EY16" s="25">
        <f>BehavioralTask_Sub0259_test_out!AW75</f>
        <v>1.6748333333333332</v>
      </c>
      <c r="EZ16" s="25">
        <f>BehavioralTask_Sub0259_test_out!AX75</f>
        <v>1.8372857142857144</v>
      </c>
      <c r="FA16" s="25">
        <f>utest_out!AR37</f>
        <v>2.3464999999999998</v>
      </c>
      <c r="FB16" s="25">
        <f>utest_out!AS37</f>
        <v>2.4474999999999998</v>
      </c>
      <c r="FC16" s="25">
        <f>utest_out!AR38</f>
        <v>2.8063333333333333</v>
      </c>
      <c r="FD16" s="25">
        <f>utest_out!AS38</f>
        <v>2.5716666666666668</v>
      </c>
      <c r="FE16" s="25" t="str">
        <f>utest_out!AR39</f>
        <v>.</v>
      </c>
      <c r="FF16" s="25">
        <f>utest_out!AS39</f>
        <v>2.3330000000000002</v>
      </c>
    </row>
  </sheetData>
  <mergeCells count="246">
    <mergeCell ref="EO1:EQ1"/>
    <mergeCell ref="ER1:ET1"/>
    <mergeCell ref="EU1:EW1"/>
    <mergeCell ref="EX1:EZ1"/>
    <mergeCell ref="FA1:FC1"/>
    <mergeCell ref="FD1:FF1"/>
    <mergeCell ref="A1:X1"/>
    <mergeCell ref="Y1:AV1"/>
    <mergeCell ref="AW1:BT1"/>
    <mergeCell ref="BU1:CR1"/>
    <mergeCell ref="CS1:DP1"/>
    <mergeCell ref="DQ1:EN1"/>
    <mergeCell ref="EX2:EZ2"/>
    <mergeCell ref="FA2:FC2"/>
    <mergeCell ref="FD2:FF2"/>
    <mergeCell ref="A2:X2"/>
    <mergeCell ref="Y2:AV2"/>
    <mergeCell ref="AW2:BT2"/>
    <mergeCell ref="BU2:CR2"/>
    <mergeCell ref="CS2:DP2"/>
    <mergeCell ref="DQ2:EN2"/>
    <mergeCell ref="A3:F3"/>
    <mergeCell ref="G3:L3"/>
    <mergeCell ref="M3:R3"/>
    <mergeCell ref="S3:X3"/>
    <mergeCell ref="Y3:AD3"/>
    <mergeCell ref="AE3:AJ3"/>
    <mergeCell ref="EO2:EQ2"/>
    <mergeCell ref="ER2:ET2"/>
    <mergeCell ref="EU2:EW2"/>
    <mergeCell ref="BU3:BZ3"/>
    <mergeCell ref="CA3:CF3"/>
    <mergeCell ref="CG3:CL3"/>
    <mergeCell ref="CM3:CR3"/>
    <mergeCell ref="CS3:CX3"/>
    <mergeCell ref="CY3:DD3"/>
    <mergeCell ref="AK3:AP3"/>
    <mergeCell ref="AQ3:AV3"/>
    <mergeCell ref="AW3:BB3"/>
    <mergeCell ref="BC3:BH3"/>
    <mergeCell ref="BI3:BN3"/>
    <mergeCell ref="BO3:BT3"/>
    <mergeCell ref="EO3:EQ4"/>
    <mergeCell ref="ER3:ET4"/>
    <mergeCell ref="EU3:EW4"/>
    <mergeCell ref="EX3:EZ4"/>
    <mergeCell ref="FA3:FC4"/>
    <mergeCell ref="FD3:FF4"/>
    <mergeCell ref="DE3:DJ3"/>
    <mergeCell ref="DK3:DP3"/>
    <mergeCell ref="DQ3:DV3"/>
    <mergeCell ref="DW3:EB3"/>
    <mergeCell ref="EC3:EH3"/>
    <mergeCell ref="EI3:EN3"/>
    <mergeCell ref="DW4:DY4"/>
    <mergeCell ref="DZ4:EB4"/>
    <mergeCell ref="EC4:EE4"/>
    <mergeCell ref="EF4:EH4"/>
    <mergeCell ref="EI4:EK4"/>
    <mergeCell ref="EL4:EN4"/>
    <mergeCell ref="DE4:DG4"/>
    <mergeCell ref="DH4:DJ4"/>
    <mergeCell ref="DK4:DM4"/>
    <mergeCell ref="DN4:DP4"/>
    <mergeCell ref="DQ4:DS4"/>
    <mergeCell ref="DT4:DV4"/>
    <mergeCell ref="S4:U4"/>
    <mergeCell ref="V4:X4"/>
    <mergeCell ref="Y4:AA4"/>
    <mergeCell ref="AB4:AD4"/>
    <mergeCell ref="AE4:AG4"/>
    <mergeCell ref="AH4:AJ4"/>
    <mergeCell ref="A4:C4"/>
    <mergeCell ref="D4:F4"/>
    <mergeCell ref="G4:I4"/>
    <mergeCell ref="J4:L4"/>
    <mergeCell ref="M4:O4"/>
    <mergeCell ref="P4:R4"/>
    <mergeCell ref="BC4:BE4"/>
    <mergeCell ref="BF4:BH4"/>
    <mergeCell ref="BI4:BK4"/>
    <mergeCell ref="BL4:BN4"/>
    <mergeCell ref="BO4:BQ4"/>
    <mergeCell ref="BR4:BT4"/>
    <mergeCell ref="AK4:AM4"/>
    <mergeCell ref="AN4:AP4"/>
    <mergeCell ref="AQ4:AS4"/>
    <mergeCell ref="AT4:AV4"/>
    <mergeCell ref="AW4:AY4"/>
    <mergeCell ref="AZ4:BB4"/>
    <mergeCell ref="CM4:CO4"/>
    <mergeCell ref="CP4:CR4"/>
    <mergeCell ref="CS4:CU4"/>
    <mergeCell ref="CV4:CX4"/>
    <mergeCell ref="CY4:DA4"/>
    <mergeCell ref="DB4:DD4"/>
    <mergeCell ref="BU4:BW4"/>
    <mergeCell ref="BX4:BZ4"/>
    <mergeCell ref="CA4:CC4"/>
    <mergeCell ref="CD4:CF4"/>
    <mergeCell ref="CG4:CI4"/>
    <mergeCell ref="CJ4:CL4"/>
    <mergeCell ref="EO8:ET8"/>
    <mergeCell ref="EU8:EZ8"/>
    <mergeCell ref="FA8:FF8"/>
    <mergeCell ref="BU8:CF8"/>
    <mergeCell ref="CG8:CR8"/>
    <mergeCell ref="CS8:DD8"/>
    <mergeCell ref="DE8:DJ8"/>
    <mergeCell ref="DK8:DP8"/>
    <mergeCell ref="DQ8:DV8"/>
    <mergeCell ref="A9:D9"/>
    <mergeCell ref="E9:H9"/>
    <mergeCell ref="I9:L9"/>
    <mergeCell ref="M9:P9"/>
    <mergeCell ref="Q9:T9"/>
    <mergeCell ref="U9:X9"/>
    <mergeCell ref="DW8:EB8"/>
    <mergeCell ref="EC8:EH8"/>
    <mergeCell ref="EI8:EN8"/>
    <mergeCell ref="A8:L8"/>
    <mergeCell ref="M8:X8"/>
    <mergeCell ref="Y8:AJ8"/>
    <mergeCell ref="AK8:AV8"/>
    <mergeCell ref="AW8:BH8"/>
    <mergeCell ref="BI8:BT8"/>
    <mergeCell ref="AW9:AZ9"/>
    <mergeCell ref="BA9:BD9"/>
    <mergeCell ref="BE9:BH9"/>
    <mergeCell ref="BI9:BL9"/>
    <mergeCell ref="BM9:BP9"/>
    <mergeCell ref="BQ9:BT9"/>
    <mergeCell ref="Y9:AB9"/>
    <mergeCell ref="AC9:AF9"/>
    <mergeCell ref="AG9:AJ9"/>
    <mergeCell ref="AK9:AN9"/>
    <mergeCell ref="AO9:AR9"/>
    <mergeCell ref="AS9:AV9"/>
    <mergeCell ref="CS9:CV9"/>
    <mergeCell ref="CW9:CZ9"/>
    <mergeCell ref="DA9:DD9"/>
    <mergeCell ref="DE9:DF9"/>
    <mergeCell ref="DG9:DH9"/>
    <mergeCell ref="DI9:DJ9"/>
    <mergeCell ref="BU9:BX9"/>
    <mergeCell ref="BY9:CB9"/>
    <mergeCell ref="CC9:CF9"/>
    <mergeCell ref="CG9:CJ9"/>
    <mergeCell ref="CK9:CN9"/>
    <mergeCell ref="CO9:CR9"/>
    <mergeCell ref="DW9:DX9"/>
    <mergeCell ref="DY9:DZ9"/>
    <mergeCell ref="EA9:EB9"/>
    <mergeCell ref="EC9:ED9"/>
    <mergeCell ref="EE9:EF9"/>
    <mergeCell ref="EG9:EH9"/>
    <mergeCell ref="DK9:DL9"/>
    <mergeCell ref="DM9:DN9"/>
    <mergeCell ref="DO9:DP9"/>
    <mergeCell ref="DQ9:DR9"/>
    <mergeCell ref="DS9:DT9"/>
    <mergeCell ref="DU9:DV9"/>
    <mergeCell ref="EU9:EV9"/>
    <mergeCell ref="EW9:EX9"/>
    <mergeCell ref="EY9:EZ9"/>
    <mergeCell ref="FA9:FB9"/>
    <mergeCell ref="FC9:FD9"/>
    <mergeCell ref="FE9:FF9"/>
    <mergeCell ref="EI9:EJ9"/>
    <mergeCell ref="EK9:EL9"/>
    <mergeCell ref="EM9:EN9"/>
    <mergeCell ref="EO9:EP9"/>
    <mergeCell ref="EQ9:ER9"/>
    <mergeCell ref="ES9:ET9"/>
    <mergeCell ref="EO13:ET13"/>
    <mergeCell ref="EU13:EZ13"/>
    <mergeCell ref="FA13:FF13"/>
    <mergeCell ref="BU13:CF13"/>
    <mergeCell ref="CG13:CR13"/>
    <mergeCell ref="CS13:DD13"/>
    <mergeCell ref="DE13:DJ13"/>
    <mergeCell ref="DK13:DP13"/>
    <mergeCell ref="DQ13:DV13"/>
    <mergeCell ref="A14:D14"/>
    <mergeCell ref="E14:H14"/>
    <mergeCell ref="I14:L14"/>
    <mergeCell ref="M14:P14"/>
    <mergeCell ref="Q14:T14"/>
    <mergeCell ref="U14:X14"/>
    <mergeCell ref="DW13:EB13"/>
    <mergeCell ref="EC13:EH13"/>
    <mergeCell ref="EI13:EN13"/>
    <mergeCell ref="A13:L13"/>
    <mergeCell ref="M13:X13"/>
    <mergeCell ref="Y13:AJ13"/>
    <mergeCell ref="AK13:AV13"/>
    <mergeCell ref="AW13:BH13"/>
    <mergeCell ref="BI13:BT13"/>
    <mergeCell ref="AW14:AZ14"/>
    <mergeCell ref="BA14:BD14"/>
    <mergeCell ref="BE14:BH14"/>
    <mergeCell ref="BI14:BL14"/>
    <mergeCell ref="BM14:BP14"/>
    <mergeCell ref="BQ14:BT14"/>
    <mergeCell ref="Y14:AB14"/>
    <mergeCell ref="AC14:AF14"/>
    <mergeCell ref="AG14:AJ14"/>
    <mergeCell ref="AK14:AN14"/>
    <mergeCell ref="AO14:AR14"/>
    <mergeCell ref="AS14:AV14"/>
    <mergeCell ref="CS14:CV14"/>
    <mergeCell ref="CW14:CZ14"/>
    <mergeCell ref="DA14:DD14"/>
    <mergeCell ref="DE14:DF14"/>
    <mergeCell ref="DG14:DH14"/>
    <mergeCell ref="DI14:DJ14"/>
    <mergeCell ref="BU14:BX14"/>
    <mergeCell ref="BY14:CB14"/>
    <mergeCell ref="CC14:CF14"/>
    <mergeCell ref="CG14:CJ14"/>
    <mergeCell ref="CK14:CN14"/>
    <mergeCell ref="CO14:CR14"/>
    <mergeCell ref="DW14:DX14"/>
    <mergeCell ref="DY14:DZ14"/>
    <mergeCell ref="EA14:EB14"/>
    <mergeCell ref="EC14:ED14"/>
    <mergeCell ref="EE14:EF14"/>
    <mergeCell ref="EG14:EH14"/>
    <mergeCell ref="DK14:DL14"/>
    <mergeCell ref="DM14:DN14"/>
    <mergeCell ref="DO14:DP14"/>
    <mergeCell ref="DQ14:DR14"/>
    <mergeCell ref="DS14:DT14"/>
    <mergeCell ref="DU14:DV14"/>
    <mergeCell ref="EU14:EV14"/>
    <mergeCell ref="EW14:EX14"/>
    <mergeCell ref="EY14:EZ14"/>
    <mergeCell ref="FA14:FB14"/>
    <mergeCell ref="FC14:FD14"/>
    <mergeCell ref="FE14:FF14"/>
    <mergeCell ref="EI14:EJ14"/>
    <mergeCell ref="EK14:EL14"/>
    <mergeCell ref="EM14:EN14"/>
    <mergeCell ref="EO14:EP14"/>
    <mergeCell ref="EQ14:ER14"/>
    <mergeCell ref="ES14:ET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BehavioralTask_Sub0259_test_out</vt:lpstr>
      <vt:lpstr>BehavioralTask_train_out</vt:lpstr>
      <vt:lpstr>utest_out</vt:lpstr>
      <vt:lpstr>error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halili</dc:creator>
  <cp:lastModifiedBy>Windows User</cp:lastModifiedBy>
  <dcterms:created xsi:type="dcterms:W3CDTF">2021-06-22T19:24:28Z</dcterms:created>
  <dcterms:modified xsi:type="dcterms:W3CDTF">2023-05-09T12:50:01Z</dcterms:modified>
</cp:coreProperties>
</file>