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esktop/"/>
    </mc:Choice>
  </mc:AlternateContent>
  <xr:revisionPtr revIDLastSave="0" documentId="13_ncr:1_{20742535-F123-754D-AB07-C8151CCF60FC}" xr6:coauthVersionLast="36" xr6:coauthVersionMax="36" xr10:uidLastSave="{00000000-0000-0000-0000-000000000000}"/>
  <bookViews>
    <workbookView xWindow="0" yWindow="500" windowWidth="25600" windowHeight="15500" activeTab="1" xr2:uid="{0D9E82A9-E9D4-1441-8880-73F748E93275}"/>
  </bookViews>
  <sheets>
    <sheet name="To-do" sheetId="2" r:id="rId1"/>
    <sheet name="Refinance Calculator" sheetId="8" r:id="rId2"/>
    <sheet name="VarIO" sheetId="10" r:id="rId3"/>
    <sheet name="Lawn Fix" sheetId="6" r:id="rId4"/>
    <sheet name="Wealth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" i="8" l="1"/>
  <c r="AB27" i="8" s="1"/>
  <c r="AF27" i="8" l="1"/>
  <c r="AD27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4" i="8"/>
  <c r="AB3" i="8"/>
  <c r="B6" i="11"/>
  <c r="Z2" i="8" l="1"/>
  <c r="D2" i="8" s="1"/>
  <c r="F44" i="8"/>
  <c r="B44" i="8"/>
  <c r="D44" i="8" s="1"/>
  <c r="D17" i="8"/>
  <c r="N6" i="8"/>
  <c r="M6" i="8"/>
  <c r="B5" i="8"/>
  <c r="B3" i="8" s="1"/>
  <c r="E17" i="8" s="1"/>
  <c r="D1" i="8"/>
  <c r="D4" i="8" s="1"/>
  <c r="F45" i="8" s="1"/>
  <c r="V4" i="8" l="1"/>
  <c r="W4" i="8" s="1"/>
  <c r="B18" i="8"/>
  <c r="F46" i="8"/>
  <c r="D3" i="8"/>
  <c r="F18" i="8" s="1"/>
  <c r="E44" i="8"/>
  <c r="N1" i="11"/>
  <c r="F5" i="11"/>
  <c r="G5" i="11" s="1"/>
  <c r="B5" i="11"/>
  <c r="G4" i="11"/>
  <c r="G3" i="11"/>
  <c r="F4" i="11"/>
  <c r="I4" i="11" s="1"/>
  <c r="F3" i="11"/>
  <c r="I3" i="11" s="1"/>
  <c r="E6" i="11"/>
  <c r="H3" i="11"/>
  <c r="F19" i="8" l="1"/>
  <c r="B45" i="8"/>
  <c r="C18" i="8"/>
  <c r="F47" i="8"/>
  <c r="I5" i="11"/>
  <c r="H5" i="11"/>
  <c r="F6" i="11"/>
  <c r="G6" i="11" s="1"/>
  <c r="H4" i="11"/>
  <c r="AL10" i="8"/>
  <c r="D45" i="8" l="1"/>
  <c r="F20" i="8"/>
  <c r="F48" i="8"/>
  <c r="D18" i="8"/>
  <c r="H6" i="11"/>
  <c r="I6" i="11"/>
  <c r="F49" i="8" l="1"/>
  <c r="E45" i="8"/>
  <c r="E18" i="8"/>
  <c r="F21" i="8"/>
  <c r="B19" i="8" l="1"/>
  <c r="F22" i="8"/>
  <c r="B46" i="8"/>
  <c r="F50" i="8"/>
  <c r="AL19" i="8"/>
  <c r="AM19" i="8" s="1"/>
  <c r="AL12" i="8"/>
  <c r="AM12" i="8" s="1"/>
  <c r="AL11" i="8"/>
  <c r="AL9" i="8"/>
  <c r="F23" i="8" l="1"/>
  <c r="F51" i="8"/>
  <c r="D46" i="8"/>
  <c r="C19" i="8"/>
  <c r="AB12" i="10"/>
  <c r="AB11" i="10"/>
  <c r="AB19" i="10"/>
  <c r="AB10" i="10"/>
  <c r="AB9" i="10"/>
  <c r="B44" i="10"/>
  <c r="Q16" i="10"/>
  <c r="T9" i="10"/>
  <c r="N6" i="10"/>
  <c r="M6" i="10"/>
  <c r="B5" i="10"/>
  <c r="J3" i="10"/>
  <c r="I3" i="10"/>
  <c r="B3" i="10"/>
  <c r="B17" i="10" s="1"/>
  <c r="V2" i="10"/>
  <c r="D2" i="10"/>
  <c r="D1" i="10"/>
  <c r="D4" i="10" s="1"/>
  <c r="F44" i="10" s="1"/>
  <c r="E46" i="8" l="1"/>
  <c r="D19" i="8"/>
  <c r="F24" i="8"/>
  <c r="F52" i="8"/>
  <c r="F45" i="10"/>
  <c r="D44" i="10"/>
  <c r="C40" i="10"/>
  <c r="C38" i="10"/>
  <c r="C35" i="10"/>
  <c r="C32" i="10"/>
  <c r="C30" i="10"/>
  <c r="C28" i="10"/>
  <c r="C25" i="10"/>
  <c r="C23" i="10"/>
  <c r="C21" i="10"/>
  <c r="C19" i="10"/>
  <c r="C17" i="10"/>
  <c r="C39" i="10"/>
  <c r="C37" i="10"/>
  <c r="C36" i="10"/>
  <c r="C34" i="10"/>
  <c r="C33" i="10"/>
  <c r="C31" i="10"/>
  <c r="C29" i="10"/>
  <c r="C27" i="10"/>
  <c r="C26" i="10"/>
  <c r="C24" i="10"/>
  <c r="C22" i="10"/>
  <c r="C20" i="10"/>
  <c r="C18" i="10"/>
  <c r="D3" i="10"/>
  <c r="F17" i="10" s="1"/>
  <c r="E17" i="10"/>
  <c r="E19" i="8" l="1"/>
  <c r="F53" i="8"/>
  <c r="B47" i="8"/>
  <c r="F25" i="8"/>
  <c r="F18" i="10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E18" i="10"/>
  <c r="B18" i="10"/>
  <c r="F46" i="10"/>
  <c r="J6" i="10"/>
  <c r="R6" i="10" s="1"/>
  <c r="I6" i="10"/>
  <c r="Q6" i="10" s="1"/>
  <c r="S6" i="10" s="1"/>
  <c r="E44" i="10"/>
  <c r="F26" i="8" l="1"/>
  <c r="F54" i="8"/>
  <c r="D47" i="8"/>
  <c r="B20" i="8"/>
  <c r="J4" i="10"/>
  <c r="F47" i="10"/>
  <c r="E19" i="10"/>
  <c r="B19" i="10"/>
  <c r="B45" i="10"/>
  <c r="I4" i="10"/>
  <c r="D16" i="2"/>
  <c r="C20" i="8" l="1"/>
  <c r="D20" i="8" s="1"/>
  <c r="F55" i="8"/>
  <c r="E47" i="8"/>
  <c r="F27" i="8"/>
  <c r="F48" i="10"/>
  <c r="E20" i="10"/>
  <c r="B20" i="10"/>
  <c r="D45" i="10"/>
  <c r="E20" i="8" l="1"/>
  <c r="F56" i="8"/>
  <c r="M4" i="8"/>
  <c r="B48" i="8"/>
  <c r="F28" i="8"/>
  <c r="E45" i="10"/>
  <c r="F49" i="10"/>
  <c r="E21" i="10"/>
  <c r="B21" i="10"/>
  <c r="D13" i="2"/>
  <c r="D6" i="2"/>
  <c r="D48" i="8" l="1"/>
  <c r="F57" i="8"/>
  <c r="B21" i="8"/>
  <c r="F29" i="8"/>
  <c r="I4" i="8"/>
  <c r="Q4" i="8" s="1"/>
  <c r="S4" i="8" s="1"/>
  <c r="F50" i="10"/>
  <c r="E22" i="10"/>
  <c r="B22" i="10"/>
  <c r="B46" i="10"/>
  <c r="F58" i="8" l="1"/>
  <c r="C21" i="8"/>
  <c r="D21" i="8" s="1"/>
  <c r="E48" i="8"/>
  <c r="F30" i="8"/>
  <c r="D46" i="10"/>
  <c r="F51" i="10"/>
  <c r="E23" i="10"/>
  <c r="B23" i="10"/>
  <c r="D15" i="2"/>
  <c r="E21" i="8" l="1"/>
  <c r="F31" i="8"/>
  <c r="B49" i="8"/>
  <c r="F59" i="8"/>
  <c r="E24" i="10"/>
  <c r="B24" i="10"/>
  <c r="F52" i="10"/>
  <c r="E46" i="10"/>
  <c r="F32" i="8" l="1"/>
  <c r="B22" i="8"/>
  <c r="F60" i="8"/>
  <c r="D49" i="8"/>
  <c r="E49" i="8" s="1"/>
  <c r="B47" i="10"/>
  <c r="F53" i="10"/>
  <c r="E25" i="10"/>
  <c r="B25" i="10"/>
  <c r="C22" i="8" l="1"/>
  <c r="D22" i="8" s="1"/>
  <c r="B50" i="8"/>
  <c r="D50" i="8" s="1"/>
  <c r="E50" i="8" s="1"/>
  <c r="F61" i="8"/>
  <c r="F33" i="8"/>
  <c r="F54" i="10"/>
  <c r="D47" i="10"/>
  <c r="E26" i="10"/>
  <c r="B26" i="10"/>
  <c r="B51" i="8" l="1"/>
  <c r="D51" i="8" s="1"/>
  <c r="E51" i="8" s="1"/>
  <c r="F62" i="8"/>
  <c r="F34" i="8"/>
  <c r="E22" i="8"/>
  <c r="E47" i="10"/>
  <c r="E27" i="10"/>
  <c r="B27" i="10"/>
  <c r="F55" i="10"/>
  <c r="B52" i="8" l="1"/>
  <c r="D52" i="8" s="1"/>
  <c r="E52" i="8" s="1"/>
  <c r="B23" i="8"/>
  <c r="F63" i="8"/>
  <c r="F35" i="8"/>
  <c r="E28" i="10"/>
  <c r="B28" i="10"/>
  <c r="I2" i="10" s="1"/>
  <c r="B48" i="10"/>
  <c r="F56" i="10"/>
  <c r="M4" i="10"/>
  <c r="Q4" i="10" s="1"/>
  <c r="S4" i="10" s="1"/>
  <c r="T11" i="10" s="1"/>
  <c r="D4" i="2"/>
  <c r="B53" i="8" l="1"/>
  <c r="D53" i="8" s="1"/>
  <c r="E53" i="8" s="1"/>
  <c r="F36" i="8"/>
  <c r="C23" i="8"/>
  <c r="D23" i="8" s="1"/>
  <c r="E23" i="8" s="1"/>
  <c r="F64" i="8"/>
  <c r="D48" i="10"/>
  <c r="F57" i="10"/>
  <c r="E29" i="10"/>
  <c r="I5" i="10"/>
  <c r="B29" i="10"/>
  <c r="D14" i="2"/>
  <c r="B24" i="8" l="1"/>
  <c r="B54" i="8"/>
  <c r="D54" i="8" s="1"/>
  <c r="E54" i="8" s="1"/>
  <c r="F65" i="8"/>
  <c r="F37" i="8"/>
  <c r="F58" i="10"/>
  <c r="E30" i="10"/>
  <c r="B30" i="10"/>
  <c r="E48" i="10"/>
  <c r="D12" i="2"/>
  <c r="D11" i="2"/>
  <c r="D10" i="2"/>
  <c r="D9" i="2"/>
  <c r="D8" i="2"/>
  <c r="D7" i="2"/>
  <c r="D3" i="2"/>
  <c r="D2" i="2"/>
  <c r="B55" i="8" l="1"/>
  <c r="F38" i="8"/>
  <c r="F66" i="8"/>
  <c r="C24" i="8"/>
  <c r="D24" i="8" s="1"/>
  <c r="E24" i="8" s="1"/>
  <c r="B49" i="10"/>
  <c r="D49" i="10" s="1"/>
  <c r="E49" i="10" s="1"/>
  <c r="E31" i="10"/>
  <c r="B31" i="10"/>
  <c r="F59" i="10"/>
  <c r="F39" i="8" l="1"/>
  <c r="B25" i="8"/>
  <c r="D55" i="8"/>
  <c r="M2" i="8"/>
  <c r="F67" i="8"/>
  <c r="B50" i="10"/>
  <c r="D50" i="10" s="1"/>
  <c r="E50" i="10" s="1"/>
  <c r="E32" i="10"/>
  <c r="B32" i="10"/>
  <c r="F60" i="10"/>
  <c r="F40" i="8" l="1"/>
  <c r="C25" i="8"/>
  <c r="D25" i="8" s="1"/>
  <c r="E25" i="8" s="1"/>
  <c r="N4" i="8"/>
  <c r="M3" i="8"/>
  <c r="E55" i="8"/>
  <c r="B51" i="10"/>
  <c r="D51" i="10" s="1"/>
  <c r="E51" i="10" s="1"/>
  <c r="F61" i="10"/>
  <c r="E33" i="10"/>
  <c r="B33" i="10"/>
  <c r="B26" i="8" l="1"/>
  <c r="J4" i="8"/>
  <c r="R4" i="8" s="1"/>
  <c r="B56" i="8"/>
  <c r="D56" i="8" s="1"/>
  <c r="E56" i="8" s="1"/>
  <c r="M5" i="8"/>
  <c r="B52" i="10"/>
  <c r="D52" i="10" s="1"/>
  <c r="E52" i="10" s="1"/>
  <c r="F62" i="10"/>
  <c r="E34" i="10"/>
  <c r="B34" i="10"/>
  <c r="B57" i="8" l="1"/>
  <c r="D57" i="8" s="1"/>
  <c r="E57" i="8" s="1"/>
  <c r="C26" i="8"/>
  <c r="D26" i="8" s="1"/>
  <c r="E26" i="8" s="1"/>
  <c r="B53" i="10"/>
  <c r="D53" i="10" s="1"/>
  <c r="E53" i="10" s="1"/>
  <c r="F63" i="10"/>
  <c r="E35" i="10"/>
  <c r="B35" i="10"/>
  <c r="E58" i="8" l="1"/>
  <c r="B58" i="8"/>
  <c r="D58" i="8" s="1"/>
  <c r="B27" i="8"/>
  <c r="B54" i="10"/>
  <c r="D54" i="10" s="1"/>
  <c r="E54" i="10" s="1"/>
  <c r="F64" i="10"/>
  <c r="E36" i="10"/>
  <c r="B36" i="10"/>
  <c r="B59" i="8" l="1"/>
  <c r="D59" i="8" s="1"/>
  <c r="E59" i="8" s="1"/>
  <c r="C27" i="8"/>
  <c r="D27" i="8" s="1"/>
  <c r="E27" i="8" s="1"/>
  <c r="B55" i="10"/>
  <c r="F65" i="10"/>
  <c r="E37" i="10"/>
  <c r="B37" i="10"/>
  <c r="B60" i="8" l="1"/>
  <c r="D60" i="8" s="1"/>
  <c r="E60" i="8" s="1"/>
  <c r="B28" i="8"/>
  <c r="F66" i="10"/>
  <c r="M2" i="10"/>
  <c r="Q2" i="10" s="1"/>
  <c r="S2" i="10" s="1"/>
  <c r="D55" i="10"/>
  <c r="E38" i="10"/>
  <c r="B38" i="10"/>
  <c r="B61" i="8" l="1"/>
  <c r="D61" i="8" s="1"/>
  <c r="E61" i="8" s="1"/>
  <c r="C28" i="8"/>
  <c r="I6" i="8" s="1"/>
  <c r="Q6" i="8" s="1"/>
  <c r="S6" i="8" s="1"/>
  <c r="T2" i="10"/>
  <c r="M3" i="10"/>
  <c r="Q3" i="10" s="1"/>
  <c r="S3" i="10" s="1"/>
  <c r="E55" i="10"/>
  <c r="E39" i="10"/>
  <c r="B39" i="10"/>
  <c r="F67" i="10"/>
  <c r="I2" i="8" l="1"/>
  <c r="Q2" i="8" s="1"/>
  <c r="S2" i="8" s="1"/>
  <c r="B62" i="8"/>
  <c r="D62" i="8" s="1"/>
  <c r="E62" i="8" s="1"/>
  <c r="D28" i="8"/>
  <c r="AB15" i="10"/>
  <c r="AB20" i="10" s="1"/>
  <c r="E40" i="10"/>
  <c r="J5" i="10" s="1"/>
  <c r="B40" i="10"/>
  <c r="J2" i="10" s="1"/>
  <c r="M5" i="10"/>
  <c r="Q5" i="10" s="1"/>
  <c r="B56" i="10"/>
  <c r="D56" i="10" s="1"/>
  <c r="E56" i="10" s="1"/>
  <c r="N4" i="10"/>
  <c r="R4" i="10" s="1"/>
  <c r="B63" i="8" l="1"/>
  <c r="D63" i="8" s="1"/>
  <c r="E63" i="8" s="1"/>
  <c r="I3" i="8"/>
  <c r="Q3" i="8" s="1"/>
  <c r="S3" i="8" s="1"/>
  <c r="E28" i="8"/>
  <c r="B57" i="10"/>
  <c r="D57" i="10" s="1"/>
  <c r="E57" i="10" s="1"/>
  <c r="B64" i="8" l="1"/>
  <c r="D64" i="8" s="1"/>
  <c r="E64" i="8" s="1"/>
  <c r="I5" i="8"/>
  <c r="Q5" i="8" s="1"/>
  <c r="B29" i="8"/>
  <c r="B58" i="10"/>
  <c r="D58" i="10" s="1"/>
  <c r="E58" i="10" s="1"/>
  <c r="B65" i="8" l="1"/>
  <c r="D65" i="8" s="1"/>
  <c r="E65" i="8" s="1"/>
  <c r="C29" i="8"/>
  <c r="D29" i="8" s="1"/>
  <c r="E29" i="8" s="1"/>
  <c r="B59" i="10"/>
  <c r="D59" i="10" s="1"/>
  <c r="E59" i="10" s="1"/>
  <c r="B30" i="8" l="1"/>
  <c r="B66" i="8"/>
  <c r="D66" i="8" s="1"/>
  <c r="E66" i="8" s="1"/>
  <c r="B60" i="10"/>
  <c r="D60" i="10" s="1"/>
  <c r="E60" i="10" s="1"/>
  <c r="B67" i="8" l="1"/>
  <c r="C30" i="8"/>
  <c r="D30" i="8" s="1"/>
  <c r="E30" i="8" s="1"/>
  <c r="B61" i="10"/>
  <c r="D61" i="10" s="1"/>
  <c r="E61" i="10" s="1"/>
  <c r="B31" i="8" l="1"/>
  <c r="N2" i="8"/>
  <c r="D67" i="8"/>
  <c r="B62" i="10"/>
  <c r="D62" i="10" s="1"/>
  <c r="E62" i="10" s="1"/>
  <c r="N3" i="8" l="1"/>
  <c r="E67" i="8"/>
  <c r="N5" i="8" s="1"/>
  <c r="C31" i="8"/>
  <c r="D31" i="8" s="1"/>
  <c r="E31" i="8" s="1"/>
  <c r="B63" i="10"/>
  <c r="D63" i="10" s="1"/>
  <c r="E63" i="10" s="1"/>
  <c r="B32" i="8" l="1"/>
  <c r="B64" i="10"/>
  <c r="D64" i="10" s="1"/>
  <c r="E64" i="10" s="1"/>
  <c r="C32" i="8" l="1"/>
  <c r="D32" i="8" s="1"/>
  <c r="E32" i="8" s="1"/>
  <c r="B65" i="10"/>
  <c r="D65" i="10" s="1"/>
  <c r="E65" i="10" s="1"/>
  <c r="B33" i="8" l="1"/>
  <c r="B66" i="10"/>
  <c r="D66" i="10" s="1"/>
  <c r="E66" i="10" s="1"/>
  <c r="C33" i="8" l="1"/>
  <c r="D33" i="8" s="1"/>
  <c r="E33" i="8" s="1"/>
  <c r="B67" i="10"/>
  <c r="B34" i="8" l="1"/>
  <c r="N2" i="10"/>
  <c r="R2" i="10" s="1"/>
  <c r="D67" i="10"/>
  <c r="C34" i="8" l="1"/>
  <c r="D34" i="8" s="1"/>
  <c r="E34" i="8" s="1"/>
  <c r="N3" i="10"/>
  <c r="R3" i="10" s="1"/>
  <c r="E67" i="10"/>
  <c r="N5" i="10" s="1"/>
  <c r="R5" i="10" s="1"/>
  <c r="B35" i="8" l="1"/>
  <c r="C35" i="8" l="1"/>
  <c r="D35" i="8" s="1"/>
  <c r="E35" i="8" s="1"/>
  <c r="B36" i="8" l="1"/>
  <c r="C36" i="8" l="1"/>
  <c r="D36" i="8" s="1"/>
  <c r="E36" i="8" s="1"/>
  <c r="B37" i="8" l="1"/>
  <c r="C37" i="8" l="1"/>
  <c r="D37" i="8" s="1"/>
  <c r="E37" i="8" s="1"/>
  <c r="B38" i="8" l="1"/>
  <c r="C38" i="8" l="1"/>
  <c r="D38" i="8" s="1"/>
  <c r="E38" i="8" s="1"/>
  <c r="B39" i="8" l="1"/>
  <c r="C39" i="8" l="1"/>
  <c r="D39" i="8" s="1"/>
  <c r="E39" i="8" s="1"/>
  <c r="B40" i="8" l="1"/>
  <c r="C40" i="8" l="1"/>
  <c r="J6" i="8" s="1"/>
  <c r="R6" i="8" s="1"/>
  <c r="J2" i="8" l="1"/>
  <c r="R2" i="8" s="1"/>
  <c r="D40" i="8"/>
  <c r="J3" i="8" s="1"/>
  <c r="R3" i="8" s="1"/>
  <c r="E40" i="8" l="1"/>
  <c r="J5" i="8" s="1"/>
  <c r="R5" i="8" s="1"/>
  <c r="AL13" i="8" l="1"/>
  <c r="AL14" i="8" l="1"/>
  <c r="AL15" i="8" s="1"/>
  <c r="AL20" i="8" s="1"/>
  <c r="AM15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8" authorId="0" shapeId="0" xr:uid="{B01D64BC-8767-DC41-B209-73128B2A6B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Level 2 Aug reg deadline is 4/May2021
</t>
        </r>
      </text>
    </comment>
    <comment ref="F14" authorId="0" shapeId="0" xr:uid="{B92B5FD9-1500-EB45-B3FE-A85458341A3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$19/month
</t>
        </r>
      </text>
    </comment>
  </commentList>
</comments>
</file>

<file path=xl/sharedStrings.xml><?xml version="1.0" encoding="utf-8"?>
<sst xmlns="http://schemas.openxmlformats.org/spreadsheetml/2006/main" count="350" uniqueCount="154">
  <si>
    <t xml:space="preserve">Refinance </t>
  </si>
  <si>
    <t>Priority Level</t>
  </si>
  <si>
    <t>NAB Annual Choice Package fee of $395 will be charged</t>
  </si>
  <si>
    <t>ANZ Credit Card Annual Fee due</t>
  </si>
  <si>
    <t>Business Days To</t>
  </si>
  <si>
    <t>Description of Key Dates</t>
  </si>
  <si>
    <t>Key Dates</t>
  </si>
  <si>
    <t>Task</t>
  </si>
  <si>
    <t>High</t>
  </si>
  <si>
    <t>Cancel Property Insurance</t>
  </si>
  <si>
    <t>Sign up health insurance</t>
  </si>
  <si>
    <t>Order</t>
  </si>
  <si>
    <t>Carpet Reinstallation</t>
  </si>
  <si>
    <t>CFA exam re-schedule</t>
  </si>
  <si>
    <t>Council Fee Payment</t>
  </si>
  <si>
    <t>Low</t>
  </si>
  <si>
    <t>Email comm received from CFA re Dec exam cancellation</t>
  </si>
  <si>
    <t>Tick</t>
  </si>
  <si>
    <t>Standard Registration Deadline for Feb Exam</t>
  </si>
  <si>
    <t>Garden Fix</t>
  </si>
  <si>
    <t>Ease of Vic restriction</t>
  </si>
  <si>
    <t>ATO tax return lodgement</t>
  </si>
  <si>
    <t>Medium</t>
  </si>
  <si>
    <t>Next payment period</t>
  </si>
  <si>
    <t>Deadline of Tax lodgement</t>
  </si>
  <si>
    <t>Application of chemicals</t>
  </si>
  <si>
    <t>Install new mail box</t>
  </si>
  <si>
    <t>Cancel Stan</t>
  </si>
  <si>
    <t>Yes</t>
  </si>
  <si>
    <t>Mortage Rate</t>
  </si>
  <si>
    <t>Months</t>
  </si>
  <si>
    <t>Period</t>
  </si>
  <si>
    <t>Interest Paid</t>
  </si>
  <si>
    <t>Principal Paid</t>
  </si>
  <si>
    <t>Mortage Amount</t>
  </si>
  <si>
    <t>Tina</t>
  </si>
  <si>
    <t>CBA</t>
  </si>
  <si>
    <t>Gantian</t>
  </si>
  <si>
    <t>BOM</t>
  </si>
  <si>
    <t>P&amp;I</t>
  </si>
  <si>
    <t>Residential</t>
  </si>
  <si>
    <t>12 Month</t>
  </si>
  <si>
    <t>24 Month</t>
  </si>
  <si>
    <t>Principal Outstanding</t>
  </si>
  <si>
    <t>Total Paid</t>
  </si>
  <si>
    <t>Offset</t>
  </si>
  <si>
    <t>Offset Interest</t>
  </si>
  <si>
    <t>Offset interest</t>
  </si>
  <si>
    <t>Product List</t>
  </si>
  <si>
    <t>Tool List</t>
  </si>
  <si>
    <t>Metal Rake</t>
  </si>
  <si>
    <t>Purpose</t>
  </si>
  <si>
    <t>To rake out weed</t>
  </si>
  <si>
    <t>Glyphosate</t>
  </si>
  <si>
    <t>Garden Pressure Sprayer Kit</t>
  </si>
  <si>
    <t>https://www.bunnings.com.au/aqua-systems-5l-garden-pressure-sprayer-kit_p2960992</t>
  </si>
  <si>
    <t>https://www.bunnings.com.au/yates-1l-zero-weed-killer-super-concentrate-490_p3012676</t>
  </si>
  <si>
    <t>Seeds</t>
  </si>
  <si>
    <t>https://www.bunnings.com.au/munns-professional-1-1kg-kikuyu-lawn-seed-blend_p0049358</t>
  </si>
  <si>
    <t>Aerate</t>
  </si>
  <si>
    <t>Hose Connector</t>
  </si>
  <si>
    <t>https://www.bunnings.com.au/nylex-12mm-universal-adaptor_p3110987</t>
  </si>
  <si>
    <t>Price</t>
  </si>
  <si>
    <t>Q and A</t>
  </si>
  <si>
    <t>What is Glyphosate</t>
  </si>
  <si>
    <t>What is Top Soil</t>
  </si>
  <si>
    <t>What is fertiliser</t>
  </si>
  <si>
    <t xml:space="preserve"> Grasscylcing</t>
  </si>
  <si>
    <t xml:space="preserve"> </t>
  </si>
  <si>
    <t>6-8 W for $4000 refinance rebate</t>
  </si>
  <si>
    <t>Comment</t>
  </si>
  <si>
    <t>4 Months to transfer to residential</t>
  </si>
  <si>
    <t>Credit card from BOM</t>
  </si>
  <si>
    <t>Change Month</t>
  </si>
  <si>
    <t>Start Month</t>
  </si>
  <si>
    <t>Fixed Rate</t>
  </si>
  <si>
    <t>Total</t>
  </si>
  <si>
    <t>Fixed Max</t>
  </si>
  <si>
    <t>Fixed Min</t>
  </si>
  <si>
    <t>Variable Account</t>
  </si>
  <si>
    <t>Total Borrowing</t>
  </si>
  <si>
    <t>Variable Amount</t>
  </si>
  <si>
    <t>Fixed Amount</t>
  </si>
  <si>
    <t>Variable Mortgage</t>
  </si>
  <si>
    <t>Fixed Mortgage</t>
  </si>
  <si>
    <t>Fixed Account</t>
  </si>
  <si>
    <t>Reset Var Rate</t>
  </si>
  <si>
    <t>Reset Fixed Rate</t>
  </si>
  <si>
    <t>Var Account</t>
  </si>
  <si>
    <t>Effective Monthly 12 Month</t>
  </si>
  <si>
    <t>Share</t>
  </si>
  <si>
    <t>Total Account</t>
  </si>
  <si>
    <t>No change</t>
  </si>
  <si>
    <t>NAB adjustment Var2.75%</t>
  </si>
  <si>
    <t>NAB adjust fix 586k and var</t>
  </si>
  <si>
    <t>Comparison to NAB</t>
  </si>
  <si>
    <t>City Council Garden Bin</t>
  </si>
  <si>
    <t>Installed by Ryan&amp;Smith Carpet</t>
  </si>
  <si>
    <t>Flyscreen and Security Door</t>
  </si>
  <si>
    <t>Carpot to Garage</t>
  </si>
  <si>
    <t>Signed up on 25th Nov</t>
  </si>
  <si>
    <t>Install Flyscreen Door and Security Door</t>
  </si>
  <si>
    <t>Commsec US account</t>
  </si>
  <si>
    <t>CFA Study</t>
  </si>
  <si>
    <t>Tax Form for ANZ</t>
  </si>
  <si>
    <t>W-8 Form</t>
  </si>
  <si>
    <t xml:space="preserve">not discharged </t>
  </si>
  <si>
    <t>Council Payment in full 2278.35</t>
  </si>
  <si>
    <t>Leverage Ratio</t>
  </si>
  <si>
    <t>Spending</t>
  </si>
  <si>
    <t>Electricity</t>
  </si>
  <si>
    <t>Broadband</t>
  </si>
  <si>
    <t>Phone</t>
  </si>
  <si>
    <t>Water</t>
  </si>
  <si>
    <t>Gas</t>
  </si>
  <si>
    <t>Amazon</t>
  </si>
  <si>
    <t>Private Health Insurance</t>
  </si>
  <si>
    <t>Home and Content Insurance</t>
  </si>
  <si>
    <t>Council Fee</t>
  </si>
  <si>
    <t>Grocery</t>
  </si>
  <si>
    <t>Subtotal</t>
  </si>
  <si>
    <t>Mortgage</t>
  </si>
  <si>
    <t>Rental Income</t>
  </si>
  <si>
    <t>Salary</t>
  </si>
  <si>
    <t>Passive Income</t>
  </si>
  <si>
    <t>Disposable Income</t>
  </si>
  <si>
    <t>Principle</t>
  </si>
  <si>
    <t>Interest</t>
  </si>
  <si>
    <t>Income</t>
  </si>
  <si>
    <t>Commute</t>
  </si>
  <si>
    <t>Date</t>
  </si>
  <si>
    <t>Cash</t>
  </si>
  <si>
    <t>Asset</t>
  </si>
  <si>
    <t>Debt</t>
  </si>
  <si>
    <t>Real Estate</t>
  </si>
  <si>
    <t>Shares</t>
  </si>
  <si>
    <t>LVR</t>
  </si>
  <si>
    <t>Equity</t>
  </si>
  <si>
    <t>Liquid Asset</t>
  </si>
  <si>
    <t>Worth</t>
  </si>
  <si>
    <t>After Tax Income</t>
  </si>
  <si>
    <t>19-20</t>
  </si>
  <si>
    <t>20-21</t>
  </si>
  <si>
    <t>21-22</t>
  </si>
  <si>
    <t>Redraw</t>
  </si>
  <si>
    <t>Offset+Redraw</t>
  </si>
  <si>
    <t>Split Month</t>
  </si>
  <si>
    <t>Fixed Expire</t>
  </si>
  <si>
    <t>Offset Account</t>
  </si>
  <si>
    <t>Mortagage Adj</t>
  </si>
  <si>
    <t>Dpst/Wthdrw</t>
  </si>
  <si>
    <t>Start</t>
  </si>
  <si>
    <t>Now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</si>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</sst>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(&quot;$&quot;* #,##0_);_(&quot;$&quot;* \(#,##0\);_(&quot;$&quot;* &quot;-&quot;??_);_(@_)"/>
    <numFmt numFmtId="166" formatCode="0.0%"/>
    <numFmt numFmtId="167" formatCode="_-&quot;$&quot;* #,##0_-;\-&quot;$&quot;* #,##0_-;_-&quot;$&quot;* &quot;-&quot;??_-;_-@_-"/>
  </numFmts>
  <fonts count="8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6276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0" fontId="0" fillId="0" borderId="0" xfId="2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165" fontId="4" fillId="2" borderId="0" xfId="1" applyNumberFormat="1" applyFont="1" applyFill="1" applyAlignment="1">
      <alignment horizontal="right"/>
    </xf>
    <xf numFmtId="164" fontId="0" fillId="0" borderId="0" xfId="0" applyNumberFormat="1"/>
    <xf numFmtId="166" fontId="0" fillId="0" borderId="0" xfId="2" applyNumberFormat="1" applyFont="1" applyAlignment="1">
      <alignment horizontal="right"/>
    </xf>
    <xf numFmtId="14" fontId="0" fillId="0" borderId="0" xfId="0" applyNumberFormat="1"/>
    <xf numFmtId="10" fontId="0" fillId="0" borderId="0" xfId="0" applyNumberFormat="1"/>
    <xf numFmtId="10" fontId="0" fillId="3" borderId="0" xfId="0" applyNumberFormat="1" applyFill="1"/>
    <xf numFmtId="0" fontId="0" fillId="3" borderId="0" xfId="0" applyFill="1"/>
    <xf numFmtId="0" fontId="0" fillId="0" borderId="1" xfId="0" applyBorder="1"/>
    <xf numFmtId="165" fontId="0" fillId="0" borderId="1" xfId="0" applyNumberFormat="1" applyBorder="1"/>
    <xf numFmtId="14" fontId="0" fillId="3" borderId="0" xfId="0" applyNumberFormat="1" applyFill="1"/>
    <xf numFmtId="0" fontId="6" fillId="0" borderId="0" xfId="3"/>
    <xf numFmtId="165" fontId="4" fillId="4" borderId="0" xfId="1" applyNumberFormat="1" applyFont="1" applyFill="1" applyAlignment="1">
      <alignment horizontal="right"/>
    </xf>
    <xf numFmtId="14" fontId="5" fillId="0" borderId="0" xfId="0" applyNumberFormat="1" applyFon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9" fontId="0" fillId="0" borderId="0" xfId="2" applyFont="1"/>
    <xf numFmtId="165" fontId="0" fillId="0" borderId="0" xfId="0" applyNumberFormat="1"/>
    <xf numFmtId="44" fontId="0" fillId="0" borderId="0" xfId="0" applyNumberFormat="1"/>
    <xf numFmtId="165" fontId="0" fillId="0" borderId="0" xfId="1" applyNumberFormat="1" applyFont="1" applyAlignment="1">
      <alignment horizontal="left"/>
    </xf>
    <xf numFmtId="0" fontId="7" fillId="0" borderId="0" xfId="0" applyFont="1"/>
    <xf numFmtId="44" fontId="7" fillId="0" borderId="0" xfId="0" applyNumberFormat="1" applyFont="1"/>
    <xf numFmtId="0" fontId="7" fillId="0" borderId="2" xfId="0" applyFont="1" applyBorder="1"/>
    <xf numFmtId="44" fontId="7" fillId="0" borderId="2" xfId="0" applyNumberFormat="1" applyFont="1" applyBorder="1"/>
    <xf numFmtId="0" fontId="0" fillId="0" borderId="0" xfId="0" applyAlignment="1">
      <alignment vertical="center"/>
    </xf>
    <xf numFmtId="167" fontId="0" fillId="0" borderId="0" xfId="1" applyNumberFormat="1" applyFont="1"/>
    <xf numFmtId="167" fontId="0" fillId="0" borderId="0" xfId="0" applyNumberFormat="1"/>
    <xf numFmtId="2" fontId="0" fillId="0" borderId="0" xfId="0" applyNumberFormat="1"/>
    <xf numFmtId="0" fontId="0" fillId="6" borderId="0" xfId="0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5" borderId="0" xfId="0" applyFont="1" applyFill="1" applyAlignment="1">
      <alignment horizontal="center" vertical="top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9" fontId="4" fillId="8" borderId="0" xfId="2" applyFont="1" applyFill="1" applyAlignment="1">
      <alignment horizontal="center" vertical="center"/>
    </xf>
  </cellXfs>
  <cellStyles count="5">
    <cellStyle name="Currency" xfId="1" builtinId="4"/>
    <cellStyle name="Currency 2" xfId="4" xr:uid="{732D3010-F453-A646-9DE8-78C8B0E04F2B}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276"/>
      <color rgb="FFFF66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6</xdr:row>
      <xdr:rowOff>190501</xdr:rowOff>
    </xdr:from>
    <xdr:to>
      <xdr:col>12</xdr:col>
      <xdr:colOff>9525</xdr:colOff>
      <xdr:row>10</xdr:row>
      <xdr:rowOff>133351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0EA142-4D1F-4061-A885-AACA7E496F83}"/>
            </a:ext>
          </a:extLst>
        </xdr:cNvPr>
        <xdr:cNvSpPr/>
      </xdr:nvSpPr>
      <xdr:spPr>
        <a:xfrm>
          <a:off x="13554075" y="1390651"/>
          <a:ext cx="1476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aseline="0"/>
            <a:t>Apply Weedkiller</a:t>
          </a:r>
        </a:p>
        <a:p>
          <a:pPr algn="l"/>
          <a:endParaRPr lang="en-AU" sz="1100" baseline="0"/>
        </a:p>
        <a:p>
          <a:pPr algn="l"/>
          <a:r>
            <a:rPr lang="en-AU" sz="1100" baseline="0"/>
            <a:t>7-14 days</a:t>
          </a:r>
        </a:p>
      </xdr:txBody>
    </xdr:sp>
    <xdr:clientData/>
  </xdr:twoCellAnchor>
  <xdr:twoCellAnchor>
    <xdr:from>
      <xdr:col>9</xdr:col>
      <xdr:colOff>590550</xdr:colOff>
      <xdr:row>12</xdr:row>
      <xdr:rowOff>47626</xdr:rowOff>
    </xdr:from>
    <xdr:to>
      <xdr:col>12</xdr:col>
      <xdr:colOff>9525</xdr:colOff>
      <xdr:row>15</xdr:row>
      <xdr:rowOff>190501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57A76F-A4E3-4BEF-860E-DD7F6610222C}"/>
            </a:ext>
          </a:extLst>
        </xdr:cNvPr>
        <xdr:cNvSpPr/>
      </xdr:nvSpPr>
      <xdr:spPr>
        <a:xfrm>
          <a:off x="13554075" y="2447926"/>
          <a:ext cx="1476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aseline="0"/>
            <a:t>Rake Out Dead Plants</a:t>
          </a:r>
        </a:p>
        <a:p>
          <a:pPr algn="l"/>
          <a:r>
            <a:rPr lang="en-AU" sz="1100" baseline="0"/>
            <a:t>2 days</a:t>
          </a:r>
        </a:p>
      </xdr:txBody>
    </xdr:sp>
    <xdr:clientData/>
  </xdr:twoCellAnchor>
  <xdr:twoCellAnchor>
    <xdr:from>
      <xdr:col>9</xdr:col>
      <xdr:colOff>590550</xdr:colOff>
      <xdr:row>18</xdr:row>
      <xdr:rowOff>171451</xdr:rowOff>
    </xdr:from>
    <xdr:to>
      <xdr:col>12</xdr:col>
      <xdr:colOff>9525</xdr:colOff>
      <xdr:row>22</xdr:row>
      <xdr:rowOff>114301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9676293-3A76-4110-9E4F-7BD1D76618A4}"/>
            </a:ext>
          </a:extLst>
        </xdr:cNvPr>
        <xdr:cNvSpPr/>
      </xdr:nvSpPr>
      <xdr:spPr>
        <a:xfrm>
          <a:off x="13554075" y="3771901"/>
          <a:ext cx="1476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aseline="0"/>
            <a:t>Apply Top Soil</a:t>
          </a:r>
        </a:p>
        <a:p>
          <a:pPr algn="l"/>
          <a:endParaRPr lang="en-AU" sz="1100" baseline="0"/>
        </a:p>
      </xdr:txBody>
    </xdr:sp>
    <xdr:clientData/>
  </xdr:twoCellAnchor>
  <xdr:twoCellAnchor>
    <xdr:from>
      <xdr:col>9</xdr:col>
      <xdr:colOff>590550</xdr:colOff>
      <xdr:row>26</xdr:row>
      <xdr:rowOff>38101</xdr:rowOff>
    </xdr:from>
    <xdr:to>
      <xdr:col>12</xdr:col>
      <xdr:colOff>9525</xdr:colOff>
      <xdr:row>29</xdr:row>
      <xdr:rowOff>180976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8D229A4-C0E3-4E1E-8ADA-DA5801597950}"/>
            </a:ext>
          </a:extLst>
        </xdr:cNvPr>
        <xdr:cNvSpPr/>
      </xdr:nvSpPr>
      <xdr:spPr>
        <a:xfrm>
          <a:off x="13554075" y="5238751"/>
          <a:ext cx="1476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baseline="0"/>
            <a:t>Apply Fertiliser and Seed</a:t>
          </a:r>
        </a:p>
        <a:p>
          <a:pPr algn="l"/>
          <a:endParaRPr lang="en-AU" sz="1100" baseline="0"/>
        </a:p>
        <a:p>
          <a:pPr algn="l"/>
          <a:endParaRPr lang="en-AU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nnings.com.au/munns-professional-1-1kg-kikuyu-lawn-seed-blend_p0049358" TargetMode="External"/><Relationship Id="rId2" Type="http://schemas.openxmlformats.org/officeDocument/2006/relationships/hyperlink" Target="https://www.bunnings.com.au/yates-1l-zero-weed-killer-super-concentrate-490_p3012676" TargetMode="External"/><Relationship Id="rId1" Type="http://schemas.openxmlformats.org/officeDocument/2006/relationships/hyperlink" Target="https://www.bunnings.com.au/aqua-systems-5l-garden-pressure-sprayer-kit_p2960992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bunnings.com.au/nylex-12mm-universal-adaptor_p3110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870B-3247-9E43-9F6D-E667CD16F317}">
  <dimension ref="A1:J20"/>
  <sheetViews>
    <sheetView workbookViewId="0">
      <selection activeCell="J25" sqref="J25"/>
    </sheetView>
  </sheetViews>
  <sheetFormatPr baseColWidth="10" defaultColWidth="10.83203125" defaultRowHeight="16"/>
  <cols>
    <col min="1" max="1" width="11.6640625" style="1" bestFit="1" customWidth="1"/>
    <col min="2" max="2" width="10.83203125" style="1"/>
    <col min="3" max="3" width="14.83203125" style="3" customWidth="1"/>
    <col min="4" max="4" width="15.1640625" style="1" bestFit="1" customWidth="1"/>
    <col min="5" max="5" width="10.83203125" style="2"/>
    <col min="6" max="6" width="21.1640625" style="3" customWidth="1"/>
    <col min="7" max="7" width="10.83203125" style="1"/>
    <col min="8" max="8" width="28.33203125" style="1" bestFit="1" customWidth="1"/>
    <col min="9" max="9" width="29.1640625" style="1" bestFit="1" customWidth="1"/>
    <col min="10" max="10" width="18.83203125" style="1" bestFit="1" customWidth="1"/>
    <col min="11" max="16384" width="10.83203125" style="1"/>
  </cols>
  <sheetData>
    <row r="1" spans="1:10" ht="17">
      <c r="A1" s="1" t="s">
        <v>1</v>
      </c>
      <c r="B1" s="1" t="s">
        <v>11</v>
      </c>
      <c r="C1" s="3" t="s">
        <v>7</v>
      </c>
      <c r="D1" s="1" t="s">
        <v>4</v>
      </c>
      <c r="E1" s="2" t="s">
        <v>6</v>
      </c>
      <c r="F1" s="3" t="s">
        <v>5</v>
      </c>
      <c r="G1" s="1" t="s">
        <v>17</v>
      </c>
      <c r="H1" s="1" t="s">
        <v>70</v>
      </c>
    </row>
    <row r="2" spans="1:10" ht="51">
      <c r="A2" s="47" t="s">
        <v>8</v>
      </c>
      <c r="B2" s="47">
        <v>1</v>
      </c>
      <c r="C2" s="48" t="s">
        <v>0</v>
      </c>
      <c r="D2" s="24">
        <f ca="1">NETWORKDAYS(TODAY(),E2)</f>
        <v>-79</v>
      </c>
      <c r="E2" s="23">
        <v>44185</v>
      </c>
      <c r="F2" s="27" t="s">
        <v>2</v>
      </c>
      <c r="G2" s="26" t="s">
        <v>28</v>
      </c>
      <c r="H2" s="24" t="s">
        <v>69</v>
      </c>
      <c r="I2" s="1" t="s">
        <v>71</v>
      </c>
      <c r="J2" s="1" t="s">
        <v>72</v>
      </c>
    </row>
    <row r="3" spans="1:10" ht="34">
      <c r="A3" s="47"/>
      <c r="B3" s="47"/>
      <c r="C3" s="48"/>
      <c r="D3" s="24">
        <f ca="1">NETWORKDAYS(TODAY(),E3)</f>
        <v>-93</v>
      </c>
      <c r="E3" s="23">
        <v>44166</v>
      </c>
      <c r="F3" s="25" t="s">
        <v>3</v>
      </c>
      <c r="G3" s="24" t="s">
        <v>28</v>
      </c>
      <c r="H3" s="24"/>
      <c r="I3" s="1" t="s">
        <v>106</v>
      </c>
    </row>
    <row r="4" spans="1:10" ht="34">
      <c r="A4" s="44" t="s">
        <v>8</v>
      </c>
      <c r="B4" s="44"/>
      <c r="C4" s="45" t="s">
        <v>9</v>
      </c>
      <c r="D4" s="44">
        <f ca="1">NETWORKDAYS(TODAY(),E4)</f>
        <v>-102</v>
      </c>
      <c r="E4" s="23">
        <v>44153</v>
      </c>
      <c r="F4" s="45" t="s">
        <v>23</v>
      </c>
      <c r="G4" s="44"/>
      <c r="H4" s="44"/>
    </row>
    <row r="5" spans="1:10" ht="34">
      <c r="A5" s="21" t="s">
        <v>22</v>
      </c>
      <c r="B5" s="21"/>
      <c r="C5" s="22" t="s">
        <v>10</v>
      </c>
      <c r="D5" s="21"/>
      <c r="E5" s="23"/>
      <c r="F5" s="22"/>
      <c r="G5" s="21" t="s">
        <v>28</v>
      </c>
      <c r="H5" s="21" t="s">
        <v>100</v>
      </c>
    </row>
    <row r="6" spans="1:10" ht="34">
      <c r="A6" s="21" t="s">
        <v>8</v>
      </c>
      <c r="B6" s="21"/>
      <c r="C6" s="22" t="s">
        <v>12</v>
      </c>
      <c r="D6" s="21">
        <f t="shared" ref="D6:D13" ca="1" si="0">NETWORKDAYS(TODAY(),E6)</f>
        <v>-104</v>
      </c>
      <c r="E6" s="23">
        <v>44151</v>
      </c>
      <c r="F6" s="22" t="s">
        <v>20</v>
      </c>
      <c r="G6" s="21" t="s">
        <v>28</v>
      </c>
      <c r="H6" s="21" t="s">
        <v>97</v>
      </c>
    </row>
    <row r="7" spans="1:10" ht="51">
      <c r="A7" s="47" t="s">
        <v>8</v>
      </c>
      <c r="B7" s="47">
        <v>2</v>
      </c>
      <c r="C7" s="48" t="s">
        <v>13</v>
      </c>
      <c r="D7" s="21">
        <f t="shared" ca="1" si="0"/>
        <v>-131</v>
      </c>
      <c r="E7" s="23">
        <v>44112</v>
      </c>
      <c r="F7" s="22" t="s">
        <v>16</v>
      </c>
      <c r="G7" s="21" t="s">
        <v>28</v>
      </c>
      <c r="H7" s="21"/>
      <c r="J7" s="1" t="s">
        <v>68</v>
      </c>
    </row>
    <row r="8" spans="1:10" ht="34">
      <c r="A8" s="47"/>
      <c r="B8" s="47"/>
      <c r="C8" s="48"/>
      <c r="D8" s="21">
        <f t="shared" ca="1" si="0"/>
        <v>-89</v>
      </c>
      <c r="E8" s="23">
        <v>44172</v>
      </c>
      <c r="F8" s="22" t="s">
        <v>18</v>
      </c>
      <c r="G8" s="21" t="s">
        <v>28</v>
      </c>
      <c r="H8" s="21"/>
    </row>
    <row r="9" spans="1:10" ht="34">
      <c r="A9" s="44" t="s">
        <v>15</v>
      </c>
      <c r="B9" s="44"/>
      <c r="C9" s="45" t="s">
        <v>14</v>
      </c>
      <c r="D9" s="44">
        <f t="shared" ca="1" si="0"/>
        <v>-39</v>
      </c>
      <c r="E9" s="23">
        <v>44242</v>
      </c>
      <c r="F9" s="45" t="s">
        <v>107</v>
      </c>
      <c r="G9" s="44"/>
      <c r="H9" s="44"/>
    </row>
    <row r="10" spans="1:10" ht="17">
      <c r="A10" s="47" t="s">
        <v>22</v>
      </c>
      <c r="B10" s="47"/>
      <c r="C10" s="48" t="s">
        <v>19</v>
      </c>
      <c r="D10" s="21">
        <f t="shared" ca="1" si="0"/>
        <v>-124</v>
      </c>
      <c r="E10" s="23">
        <v>44123</v>
      </c>
      <c r="F10" s="22" t="s">
        <v>20</v>
      </c>
      <c r="G10" s="21" t="s">
        <v>28</v>
      </c>
      <c r="H10" s="21"/>
    </row>
    <row r="11" spans="1:10" ht="34">
      <c r="A11" s="47"/>
      <c r="B11" s="47"/>
      <c r="C11" s="48"/>
      <c r="D11" s="21">
        <f t="shared" ca="1" si="0"/>
        <v>-119</v>
      </c>
      <c r="E11" s="23">
        <v>44128</v>
      </c>
      <c r="F11" s="22" t="s">
        <v>25</v>
      </c>
      <c r="G11" s="21" t="s">
        <v>28</v>
      </c>
      <c r="H11" s="21"/>
    </row>
    <row r="12" spans="1:10" ht="34">
      <c r="A12" s="21" t="s">
        <v>8</v>
      </c>
      <c r="B12" s="21">
        <v>3</v>
      </c>
      <c r="C12" s="22" t="s">
        <v>21</v>
      </c>
      <c r="D12" s="21">
        <f t="shared" ca="1" si="0"/>
        <v>-114</v>
      </c>
      <c r="E12" s="23">
        <v>44135</v>
      </c>
      <c r="F12" s="22" t="s">
        <v>24</v>
      </c>
      <c r="G12" s="21" t="s">
        <v>28</v>
      </c>
      <c r="H12" s="21"/>
    </row>
    <row r="13" spans="1:10" ht="34">
      <c r="A13" s="21" t="s">
        <v>15</v>
      </c>
      <c r="B13" s="21"/>
      <c r="C13" s="22" t="s">
        <v>26</v>
      </c>
      <c r="D13" s="21">
        <f t="shared" ca="1" si="0"/>
        <v>-114</v>
      </c>
      <c r="E13" s="23">
        <v>44135</v>
      </c>
      <c r="F13" s="22"/>
      <c r="G13" s="21" t="s">
        <v>28</v>
      </c>
      <c r="H13" s="21"/>
    </row>
    <row r="14" spans="1:10">
      <c r="A14" s="21" t="s">
        <v>22</v>
      </c>
      <c r="B14" s="21"/>
      <c r="C14" s="21" t="s">
        <v>27</v>
      </c>
      <c r="D14" s="21">
        <f ca="1">NETWORKDAYS(TODAY(),E14)</f>
        <v>-100</v>
      </c>
      <c r="E14" s="23">
        <v>44155</v>
      </c>
      <c r="F14" s="21" t="s">
        <v>23</v>
      </c>
      <c r="G14" s="21" t="s">
        <v>28</v>
      </c>
      <c r="H14" s="21"/>
    </row>
    <row r="15" spans="1:10" ht="34">
      <c r="A15" s="24" t="s">
        <v>15</v>
      </c>
      <c r="B15" s="24"/>
      <c r="C15" s="25" t="s">
        <v>96</v>
      </c>
      <c r="D15" s="24">
        <f ca="1">NETWORKDAYS(TODAY(),E15)</f>
        <v>-84</v>
      </c>
      <c r="E15" s="23">
        <v>44179</v>
      </c>
      <c r="F15" s="25"/>
      <c r="G15" s="24" t="s">
        <v>28</v>
      </c>
      <c r="H15" s="24"/>
    </row>
    <row r="16" spans="1:10" ht="34">
      <c r="A16" s="24" t="s">
        <v>8</v>
      </c>
      <c r="B16" s="24">
        <v>4</v>
      </c>
      <c r="C16" s="25" t="s">
        <v>98</v>
      </c>
      <c r="D16" s="24">
        <f ca="1">NETWORKDAYS(TODAY(),E16)</f>
        <v>-84</v>
      </c>
      <c r="E16" s="23">
        <v>44177</v>
      </c>
      <c r="F16" s="25" t="s">
        <v>101</v>
      </c>
      <c r="G16" s="24" t="s">
        <v>28</v>
      </c>
      <c r="H16" s="24"/>
    </row>
    <row r="17" spans="1:8" ht="34">
      <c r="C17" s="3" t="s">
        <v>99</v>
      </c>
    </row>
    <row r="18" spans="1:8" ht="34">
      <c r="A18" s="24" t="s">
        <v>8</v>
      </c>
      <c r="B18" s="24"/>
      <c r="C18" s="25" t="s">
        <v>102</v>
      </c>
      <c r="D18" s="24"/>
      <c r="E18" s="23">
        <v>44187</v>
      </c>
      <c r="F18" s="25" t="s">
        <v>105</v>
      </c>
      <c r="G18" s="24" t="s">
        <v>28</v>
      </c>
      <c r="H18" s="24"/>
    </row>
    <row r="19" spans="1:8" ht="17">
      <c r="C19" s="3" t="s">
        <v>103</v>
      </c>
    </row>
    <row r="20" spans="1:8" ht="34">
      <c r="A20" s="24" t="s">
        <v>8</v>
      </c>
      <c r="B20" s="24"/>
      <c r="C20" s="25" t="s">
        <v>104</v>
      </c>
      <c r="D20" s="24"/>
      <c r="E20" s="23">
        <v>44187</v>
      </c>
      <c r="F20" s="25"/>
      <c r="G20" s="24" t="s">
        <v>28</v>
      </c>
      <c r="H20" s="24"/>
    </row>
  </sheetData>
  <mergeCells count="9">
    <mergeCell ref="B10:B11"/>
    <mergeCell ref="C10:C11"/>
    <mergeCell ref="A10:A11"/>
    <mergeCell ref="C2:C3"/>
    <mergeCell ref="B2:B3"/>
    <mergeCell ref="A2:A3"/>
    <mergeCell ref="B7:B8"/>
    <mergeCell ref="C7:C8"/>
    <mergeCell ref="A7:A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5270-1CDD-4FCA-A9CF-09E3147EF802}">
  <dimension ref="A1:AM67"/>
  <sheetViews>
    <sheetView tabSelected="1" topLeftCell="P1" workbookViewId="0">
      <selection activeCell="X12" sqref="X12"/>
    </sheetView>
  </sheetViews>
  <sheetFormatPr baseColWidth="10" defaultColWidth="8.83203125" defaultRowHeight="16"/>
  <cols>
    <col min="1" max="1" width="14.5" bestFit="1" customWidth="1"/>
    <col min="2" max="2" width="13.6640625" bestFit="1" customWidth="1"/>
    <col min="3" max="3" width="16.1640625" bestFit="1" customWidth="1"/>
    <col min="4" max="4" width="11.83203125" bestFit="1" customWidth="1"/>
    <col min="5" max="5" width="19.83203125" bestFit="1" customWidth="1"/>
    <col min="6" max="6" width="14.6640625" bestFit="1" customWidth="1"/>
    <col min="7" max="7" width="15.33203125" bestFit="1" customWidth="1"/>
    <col min="8" max="8" width="23.6640625" bestFit="1" customWidth="1"/>
    <col min="9" max="9" width="11.1640625" bestFit="1" customWidth="1"/>
    <col min="10" max="10" width="9.6640625" bestFit="1" customWidth="1"/>
    <col min="12" max="12" width="18.6640625" bestFit="1" customWidth="1"/>
    <col min="13" max="13" width="13.33203125" bestFit="1" customWidth="1"/>
    <col min="14" max="14" width="9.6640625" bestFit="1" customWidth="1"/>
    <col min="16" max="16" width="18.6640625" bestFit="1" customWidth="1"/>
    <col min="17" max="17" width="11.1640625" customWidth="1"/>
    <col min="18" max="18" width="9.6640625" bestFit="1" customWidth="1"/>
    <col min="19" max="19" width="23.6640625" bestFit="1" customWidth="1"/>
    <col min="20" max="21" width="9.6640625" bestFit="1" customWidth="1"/>
    <col min="22" max="22" width="10" bestFit="1" customWidth="1"/>
    <col min="23" max="23" width="11.5" bestFit="1" customWidth="1"/>
    <col min="26" max="26" width="10" bestFit="1" customWidth="1"/>
    <col min="28" max="28" width="25" bestFit="1" customWidth="1"/>
    <col min="29" max="29" width="11.1640625" bestFit="1" customWidth="1"/>
    <col min="30" max="30" width="9.6640625" bestFit="1" customWidth="1"/>
    <col min="32" max="32" width="12.33203125" bestFit="1" customWidth="1"/>
    <col min="37" max="37" width="25" bestFit="1" customWidth="1"/>
    <col min="38" max="38" width="11.1640625" bestFit="1" customWidth="1"/>
    <col min="39" max="39" width="9.6640625" bestFit="1" customWidth="1"/>
  </cols>
  <sheetData>
    <row r="1" spans="1:39">
      <c r="A1" t="s">
        <v>74</v>
      </c>
      <c r="B1" s="11">
        <v>44168</v>
      </c>
      <c r="C1" s="4" t="s">
        <v>30</v>
      </c>
      <c r="D1" s="7">
        <f>29*12+9</f>
        <v>357</v>
      </c>
      <c r="E1" t="s">
        <v>73</v>
      </c>
      <c r="F1" s="20">
        <v>44247</v>
      </c>
      <c r="H1" s="15" t="s">
        <v>88</v>
      </c>
      <c r="I1" s="15" t="s">
        <v>41</v>
      </c>
      <c r="J1" s="15" t="s">
        <v>42</v>
      </c>
      <c r="L1" s="15" t="s">
        <v>85</v>
      </c>
      <c r="M1" s="15" t="s">
        <v>41</v>
      </c>
      <c r="N1" s="15" t="s">
        <v>42</v>
      </c>
      <c r="P1" s="15" t="s">
        <v>91</v>
      </c>
      <c r="Q1" s="15" t="s">
        <v>41</v>
      </c>
      <c r="R1" s="15" t="s">
        <v>42</v>
      </c>
      <c r="S1" s="15" t="s">
        <v>89</v>
      </c>
      <c r="U1" s="16" t="s">
        <v>90</v>
      </c>
      <c r="V1" s="16">
        <v>90000</v>
      </c>
      <c r="X1" s="11">
        <v>44274</v>
      </c>
      <c r="Y1" s="16" t="s">
        <v>151</v>
      </c>
      <c r="Z1" s="16">
        <v>301656.71000000002</v>
      </c>
      <c r="AA1" s="50" t="s">
        <v>148</v>
      </c>
      <c r="AB1" s="50"/>
      <c r="AC1" s="50"/>
      <c r="AD1" s="50"/>
      <c r="AE1" s="50"/>
      <c r="AF1" s="50"/>
      <c r="AJ1" s="36" t="s">
        <v>109</v>
      </c>
      <c r="AK1" t="s">
        <v>110</v>
      </c>
      <c r="AL1" s="30">
        <v>-80</v>
      </c>
    </row>
    <row r="2" spans="1:39">
      <c r="A2" t="s">
        <v>29</v>
      </c>
      <c r="B2" s="5">
        <v>2.41E-2</v>
      </c>
      <c r="C2" t="s">
        <v>145</v>
      </c>
      <c r="D2" s="6">
        <f>V2+V3</f>
        <v>290143.43400989007</v>
      </c>
      <c r="E2" t="s">
        <v>86</v>
      </c>
      <c r="F2" s="5">
        <v>2.41E-2</v>
      </c>
      <c r="H2" s="15" t="s">
        <v>32</v>
      </c>
      <c r="I2" s="16">
        <f>SUM(B17:B28)+SUM(C17:C28)</f>
        <v>661.80727586347257</v>
      </c>
      <c r="J2" s="16">
        <f>SUM(B17:B40)+SUM(C17:C40)</f>
        <v>661.80727586347348</v>
      </c>
      <c r="L2" s="15" t="s">
        <v>32</v>
      </c>
      <c r="M2" s="16">
        <f>SUM(B44:B55)</f>
        <v>13216.749086895567</v>
      </c>
      <c r="N2" s="16">
        <f>SUM(B44:B67)</f>
        <v>26511.433387937643</v>
      </c>
      <c r="P2" s="15" t="s">
        <v>32</v>
      </c>
      <c r="Q2" s="16">
        <f t="shared" ref="Q2:R6" si="0">M2+I2</f>
        <v>13878.556362759038</v>
      </c>
      <c r="R2" s="16">
        <f t="shared" si="0"/>
        <v>27173.240663801116</v>
      </c>
      <c r="S2" s="16">
        <f>Q2/12</f>
        <v>1156.5463635632532</v>
      </c>
      <c r="U2" s="16" t="s">
        <v>45</v>
      </c>
      <c r="V2" s="16">
        <v>289776.43400989007</v>
      </c>
      <c r="X2" s="11">
        <f ca="1">TODAY()</f>
        <v>44294</v>
      </c>
      <c r="Y2" s="16" t="s">
        <v>152</v>
      </c>
      <c r="Z2" s="16">
        <f ca="1">Z1+SUM(AB27:AF27)</f>
        <v>282776.43400989007</v>
      </c>
      <c r="AA2" t="s">
        <v>31</v>
      </c>
      <c r="AB2" t="s">
        <v>149</v>
      </c>
      <c r="AC2" t="s">
        <v>31</v>
      </c>
      <c r="AD2" t="s">
        <v>153</v>
      </c>
      <c r="AE2" t="s">
        <v>31</v>
      </c>
      <c r="AF2" t="s">
        <v>150</v>
      </c>
      <c r="AJ2" s="36"/>
      <c r="AK2" t="s">
        <v>111</v>
      </c>
      <c r="AL2" s="30">
        <v>-63.75</v>
      </c>
    </row>
    <row r="3" spans="1:39">
      <c r="A3" t="s">
        <v>81</v>
      </c>
      <c r="B3" s="6">
        <f>B5-B4</f>
        <v>293017</v>
      </c>
      <c r="C3" t="s">
        <v>83</v>
      </c>
      <c r="D3" s="8">
        <f>B3*(1+B2/12)^D1*B2/12/((1+B2/12)^D1-1)</f>
        <v>1150.665969306265</v>
      </c>
      <c r="E3" t="s">
        <v>75</v>
      </c>
      <c r="F3" s="12">
        <v>1.84E-2</v>
      </c>
      <c r="H3" s="15" t="s">
        <v>33</v>
      </c>
      <c r="I3" s="16">
        <f>SUM(D17:D28)</f>
        <v>14112.518386505442</v>
      </c>
      <c r="J3" s="16">
        <f>SUM(D17:D40)</f>
        <v>27920.510018180619</v>
      </c>
      <c r="L3" s="15" t="s">
        <v>33</v>
      </c>
      <c r="M3" s="16">
        <f>SUM(D44:D55)</f>
        <v>18572.96114194491</v>
      </c>
      <c r="N3" s="16">
        <f>SUM(D44:D67)</f>
        <v>38033.597090546988</v>
      </c>
      <c r="P3" s="15" t="s">
        <v>33</v>
      </c>
      <c r="Q3" s="16">
        <f t="shared" si="0"/>
        <v>32685.479528450353</v>
      </c>
      <c r="R3" s="16">
        <f t="shared" si="0"/>
        <v>65954.107108727607</v>
      </c>
      <c r="S3" s="16">
        <f>Q3/12</f>
        <v>2723.7899607041959</v>
      </c>
      <c r="U3" s="16" t="s">
        <v>144</v>
      </c>
      <c r="V3" s="16">
        <v>367</v>
      </c>
      <c r="AA3" s="11">
        <v>44289</v>
      </c>
      <c r="AB3" s="6">
        <f>-(D3+D4)</f>
        <v>-3880.2759901099444</v>
      </c>
      <c r="AC3" s="11">
        <v>44305</v>
      </c>
      <c r="AD3">
        <v>-76.8</v>
      </c>
      <c r="AE3" s="11">
        <v>44280</v>
      </c>
      <c r="AF3" s="6">
        <v>-5000</v>
      </c>
      <c r="AJ3" s="36"/>
      <c r="AK3" t="s">
        <v>112</v>
      </c>
      <c r="AL3" s="30">
        <v>-34.1</v>
      </c>
    </row>
    <row r="4" spans="1:39">
      <c r="A4" t="s">
        <v>82</v>
      </c>
      <c r="B4" s="6">
        <v>750000</v>
      </c>
      <c r="C4" t="s">
        <v>84</v>
      </c>
      <c r="D4" s="19">
        <f>B4*(1+F3/12)^D1*F3/12/((1+F3/12)^D1-1)</f>
        <v>2729.6100208036796</v>
      </c>
      <c r="E4" t="s">
        <v>87</v>
      </c>
      <c r="F4" s="12">
        <v>1.84E-2</v>
      </c>
      <c r="H4" s="15" t="s">
        <v>44</v>
      </c>
      <c r="I4" s="16">
        <f>SUM(F17:F28)</f>
        <v>14774.325662368912</v>
      </c>
      <c r="J4" s="16">
        <f>SUM(F17:F40)</f>
        <v>28582.317294044089</v>
      </c>
      <c r="L4" s="15" t="s">
        <v>44</v>
      </c>
      <c r="M4" s="16">
        <f>SUM(F44:F55)</f>
        <v>31789.710228840482</v>
      </c>
      <c r="N4" s="16">
        <f>SUM(F44:F67)</f>
        <v>64545.030478484645</v>
      </c>
      <c r="P4" s="15" t="s">
        <v>44</v>
      </c>
      <c r="Q4" s="16">
        <f t="shared" si="0"/>
        <v>46564.035891209394</v>
      </c>
      <c r="R4" s="16">
        <f t="shared" si="0"/>
        <v>93127.347772528738</v>
      </c>
      <c r="S4" s="16">
        <f>Q4/12</f>
        <v>3880.3363242674495</v>
      </c>
      <c r="U4" s="16" t="s">
        <v>76</v>
      </c>
      <c r="V4" s="16">
        <f>SUM(V1:V3)</f>
        <v>380143.43400989007</v>
      </c>
      <c r="W4" s="30">
        <f>V4*0.05</f>
        <v>19007.171700494506</v>
      </c>
      <c r="AA4" s="11">
        <v>44319</v>
      </c>
      <c r="AB4" s="6">
        <f>-$D$4-$D$3</f>
        <v>-3880.2759901099444</v>
      </c>
      <c r="AC4" s="11">
        <v>44335</v>
      </c>
      <c r="AD4">
        <v>-76.8</v>
      </c>
      <c r="AE4" s="11">
        <v>44281</v>
      </c>
      <c r="AF4" s="6">
        <v>-5000</v>
      </c>
      <c r="AJ4" s="36"/>
      <c r="AK4" t="s">
        <v>113</v>
      </c>
      <c r="AL4" s="30">
        <v>-80</v>
      </c>
    </row>
    <row r="5" spans="1:39">
      <c r="A5" t="s">
        <v>80</v>
      </c>
      <c r="B5" s="6">
        <f>1043017</f>
        <v>1043017</v>
      </c>
      <c r="H5" s="15" t="s">
        <v>43</v>
      </c>
      <c r="I5" s="16">
        <f>E28</f>
        <v>278537.48161349469</v>
      </c>
      <c r="J5" s="16">
        <f>E40</f>
        <v>264729.48998181964</v>
      </c>
      <c r="L5" s="15" t="s">
        <v>43</v>
      </c>
      <c r="M5" s="16">
        <f>E55</f>
        <v>731427.03885805514</v>
      </c>
      <c r="N5" s="16">
        <f>E67</f>
        <v>711966.40290945303</v>
      </c>
      <c r="P5" s="15" t="s">
        <v>43</v>
      </c>
      <c r="Q5" s="16">
        <f t="shared" si="0"/>
        <v>1009964.5204715498</v>
      </c>
      <c r="R5" s="16">
        <f t="shared" si="0"/>
        <v>976695.89289127267</v>
      </c>
      <c r="S5" s="16"/>
      <c r="AA5" s="11">
        <v>44350</v>
      </c>
      <c r="AB5" s="6">
        <f t="shared" ref="AB5:AB26" si="1">-$D$4-$D$3</f>
        <v>-3880.2759901099444</v>
      </c>
      <c r="AC5" s="11">
        <v>44366</v>
      </c>
      <c r="AD5">
        <v>-76.8</v>
      </c>
      <c r="AE5" s="11">
        <v>44286</v>
      </c>
      <c r="AF5" s="6">
        <v>2000</v>
      </c>
      <c r="AJ5" s="36"/>
      <c r="AK5" t="s">
        <v>114</v>
      </c>
      <c r="AL5" s="30">
        <v>-32</v>
      </c>
    </row>
    <row r="6" spans="1:39">
      <c r="C6" s="4"/>
      <c r="D6" s="6"/>
      <c r="E6" s="9"/>
      <c r="H6" s="15" t="s">
        <v>47</v>
      </c>
      <c r="I6" s="16">
        <f>SUM(C17:C28)</f>
        <v>-6303.7664642338341</v>
      </c>
      <c r="J6" s="16">
        <f>SUM(C17:C40)</f>
        <v>-12863.998996887511</v>
      </c>
      <c r="L6" s="15" t="s">
        <v>47</v>
      </c>
      <c r="M6" s="16">
        <f>SUM(C44:C55)</f>
        <v>0</v>
      </c>
      <c r="N6" s="16">
        <f>SUM(C44:C67)</f>
        <v>0</v>
      </c>
      <c r="P6" s="15" t="s">
        <v>47</v>
      </c>
      <c r="Q6" s="16">
        <f t="shared" si="0"/>
        <v>-6303.7664642338341</v>
      </c>
      <c r="R6" s="16">
        <f t="shared" si="0"/>
        <v>-12863.998996887511</v>
      </c>
      <c r="S6" s="16">
        <f>Q6/12</f>
        <v>-525.31387201948621</v>
      </c>
      <c r="AA6" s="11">
        <v>44380</v>
      </c>
      <c r="AB6" s="6">
        <f t="shared" si="1"/>
        <v>-3880.2759901099444</v>
      </c>
      <c r="AC6" s="11">
        <v>44396</v>
      </c>
      <c r="AD6">
        <v>-76.8</v>
      </c>
      <c r="AE6" s="11">
        <v>44293</v>
      </c>
      <c r="AF6" s="6">
        <v>3000</v>
      </c>
      <c r="AJ6" s="36"/>
      <c r="AK6" t="s">
        <v>115</v>
      </c>
      <c r="AL6" s="30">
        <v>-7</v>
      </c>
    </row>
    <row r="7" spans="1:39">
      <c r="A7" t="s">
        <v>78</v>
      </c>
      <c r="B7" s="6">
        <v>105000</v>
      </c>
      <c r="AA7" s="11">
        <v>44411</v>
      </c>
      <c r="AB7" s="6">
        <f t="shared" si="1"/>
        <v>-3880.2759901099444</v>
      </c>
      <c r="AC7" s="11">
        <v>44427</v>
      </c>
      <c r="AD7">
        <v>-76.8</v>
      </c>
      <c r="AE7" s="11">
        <v>44293</v>
      </c>
      <c r="AF7" s="6">
        <v>-5000</v>
      </c>
      <c r="AJ7" s="36"/>
      <c r="AK7" t="s">
        <v>116</v>
      </c>
      <c r="AL7" s="30">
        <v>-120</v>
      </c>
    </row>
    <row r="8" spans="1:39">
      <c r="A8" t="s">
        <v>77</v>
      </c>
      <c r="B8" s="6">
        <v>605000</v>
      </c>
      <c r="AA8" s="11">
        <v>44442</v>
      </c>
      <c r="AB8" s="6">
        <f t="shared" si="1"/>
        <v>-3880.2759901099444</v>
      </c>
      <c r="AC8" s="11">
        <v>44458</v>
      </c>
      <c r="AD8">
        <v>-76.8</v>
      </c>
      <c r="AE8" s="11">
        <v>44294</v>
      </c>
      <c r="AF8" s="6">
        <v>-5000</v>
      </c>
      <c r="AJ8" s="36"/>
      <c r="AK8" t="s">
        <v>117</v>
      </c>
      <c r="AL8" s="30">
        <v>-78</v>
      </c>
    </row>
    <row r="9" spans="1:39">
      <c r="AA9" s="11">
        <v>44472</v>
      </c>
      <c r="AB9" s="6">
        <f t="shared" si="1"/>
        <v>-3880.2759901099444</v>
      </c>
      <c r="AC9" s="11">
        <v>44488</v>
      </c>
      <c r="AD9">
        <v>-76.8</v>
      </c>
      <c r="AE9" s="11"/>
      <c r="AF9" s="6"/>
      <c r="AJ9" s="36"/>
      <c r="AK9" t="s">
        <v>118</v>
      </c>
      <c r="AL9" s="30">
        <f>-2400/12</f>
        <v>-200</v>
      </c>
    </row>
    <row r="10" spans="1:39">
      <c r="A10" t="s">
        <v>146</v>
      </c>
      <c r="B10" s="11">
        <v>44270</v>
      </c>
      <c r="Q10" s="29"/>
      <c r="AA10" s="11">
        <v>44503</v>
      </c>
      <c r="AB10" s="6">
        <f t="shared" si="1"/>
        <v>-3880.2759901099444</v>
      </c>
      <c r="AC10" s="11">
        <v>44519</v>
      </c>
      <c r="AD10">
        <v>-76.8</v>
      </c>
      <c r="AE10" s="11"/>
      <c r="AF10" s="6"/>
      <c r="AJ10" s="36"/>
      <c r="AK10" t="s">
        <v>119</v>
      </c>
      <c r="AL10" s="30">
        <f>-1000</f>
        <v>-1000</v>
      </c>
    </row>
    <row r="11" spans="1:39">
      <c r="A11" t="s">
        <v>147</v>
      </c>
      <c r="B11" s="11">
        <v>45000</v>
      </c>
      <c r="AA11" s="11">
        <v>44533</v>
      </c>
      <c r="AB11" s="6">
        <f t="shared" si="1"/>
        <v>-3880.2759901099444</v>
      </c>
      <c r="AC11" s="11">
        <v>44549</v>
      </c>
      <c r="AD11">
        <v>-76.8</v>
      </c>
      <c r="AE11" s="11"/>
      <c r="AF11" s="6"/>
      <c r="AK11" t="s">
        <v>129</v>
      </c>
      <c r="AL11" s="30">
        <f>-9*5*4</f>
        <v>-180</v>
      </c>
    </row>
    <row r="12" spans="1:39">
      <c r="AA12" s="11">
        <v>44564</v>
      </c>
      <c r="AB12" s="6">
        <f t="shared" si="1"/>
        <v>-3880.2759901099444</v>
      </c>
      <c r="AC12" s="11">
        <v>44580</v>
      </c>
      <c r="AD12">
        <v>-76.8</v>
      </c>
      <c r="AE12" s="11"/>
      <c r="AF12" s="6"/>
      <c r="AJ12" s="36"/>
      <c r="AK12" s="34" t="s">
        <v>120</v>
      </c>
      <c r="AL12" s="35">
        <f>SUM(AL1:AL11)</f>
        <v>-1874.85</v>
      </c>
      <c r="AM12" s="30">
        <f>AL12/30</f>
        <v>-62.494999999999997</v>
      </c>
    </row>
    <row r="13" spans="1:39">
      <c r="AA13" s="11">
        <v>44595</v>
      </c>
      <c r="AB13" s="6">
        <f t="shared" si="1"/>
        <v>-3880.2759901099444</v>
      </c>
      <c r="AC13" s="11">
        <v>44611</v>
      </c>
      <c r="AD13">
        <v>-76.8</v>
      </c>
      <c r="AE13" s="11"/>
      <c r="AF13" s="6"/>
      <c r="AJ13" s="36" t="s">
        <v>121</v>
      </c>
      <c r="AK13" t="s">
        <v>127</v>
      </c>
      <c r="AL13" s="30">
        <f>-S2</f>
        <v>-1156.5463635632532</v>
      </c>
    </row>
    <row r="14" spans="1:39">
      <c r="Q14" s="6"/>
      <c r="AA14" s="11">
        <v>44623</v>
      </c>
      <c r="AB14" s="6">
        <f t="shared" si="1"/>
        <v>-3880.2759901099444</v>
      </c>
      <c r="AC14" s="11">
        <v>44639</v>
      </c>
      <c r="AD14">
        <v>-76.8</v>
      </c>
      <c r="AE14" s="11"/>
      <c r="AF14" s="6"/>
      <c r="AJ14" s="36"/>
      <c r="AK14" t="s">
        <v>126</v>
      </c>
      <c r="AL14" s="30">
        <f>-S3</f>
        <v>-2723.7899607041959</v>
      </c>
    </row>
    <row r="15" spans="1:39">
      <c r="A15" s="49" t="s">
        <v>79</v>
      </c>
      <c r="B15" s="49"/>
      <c r="C15" s="49"/>
      <c r="D15" s="49"/>
      <c r="E15" s="49"/>
      <c r="F15" s="49"/>
      <c r="H15" t="s">
        <v>95</v>
      </c>
      <c r="AA15" s="11">
        <v>44654</v>
      </c>
      <c r="AB15" s="6">
        <f t="shared" si="1"/>
        <v>-3880.2759901099444</v>
      </c>
      <c r="AC15" s="11">
        <v>44670</v>
      </c>
      <c r="AD15">
        <v>-76.8</v>
      </c>
      <c r="AE15" s="11"/>
      <c r="AF15" s="6"/>
      <c r="AJ15" s="36"/>
      <c r="AK15" s="34" t="s">
        <v>120</v>
      </c>
      <c r="AL15" s="35">
        <f>SUM(AL13:AL14)</f>
        <v>-3880.3363242674491</v>
      </c>
      <c r="AM15" s="30">
        <f>AL15/30</f>
        <v>-129.34454414224831</v>
      </c>
    </row>
    <row r="16" spans="1:39">
      <c r="A16" s="4" t="s">
        <v>31</v>
      </c>
      <c r="B16" s="10" t="s">
        <v>32</v>
      </c>
      <c r="C16" t="s">
        <v>46</v>
      </c>
      <c r="D16" s="4" t="s">
        <v>33</v>
      </c>
      <c r="E16" s="6" t="s">
        <v>43</v>
      </c>
      <c r="F16" t="s">
        <v>34</v>
      </c>
      <c r="H16" s="15" t="s">
        <v>92</v>
      </c>
      <c r="I16" s="15" t="s">
        <v>41</v>
      </c>
      <c r="J16" s="15" t="s">
        <v>42</v>
      </c>
      <c r="S16" s="46"/>
      <c r="AA16" s="11">
        <v>44684</v>
      </c>
      <c r="AB16" s="6">
        <f t="shared" si="1"/>
        <v>-3880.2759901099444</v>
      </c>
      <c r="AC16" s="11">
        <v>44700</v>
      </c>
      <c r="AD16">
        <v>-76.8</v>
      </c>
      <c r="AE16" s="11"/>
      <c r="AF16" s="6"/>
      <c r="AJ16" s="36" t="s">
        <v>128</v>
      </c>
      <c r="AK16" t="s">
        <v>123</v>
      </c>
      <c r="AL16" s="30">
        <v>6000</v>
      </c>
    </row>
    <row r="17" spans="1:39">
      <c r="A17" s="11">
        <v>44289</v>
      </c>
      <c r="B17" s="6">
        <v>659.7</v>
      </c>
      <c r="C17" s="6">
        <v>0</v>
      </c>
      <c r="D17" s="6">
        <f>F17-B17-C17</f>
        <v>1457.3</v>
      </c>
      <c r="E17" s="6">
        <f>B3-V3-D17</f>
        <v>291192.7</v>
      </c>
      <c r="F17" s="6">
        <v>2117</v>
      </c>
      <c r="H17" s="15" t="s">
        <v>32</v>
      </c>
      <c r="I17" s="16">
        <v>25930.693612503466</v>
      </c>
      <c r="J17" s="16">
        <v>50985.684765798425</v>
      </c>
      <c r="AA17" s="11">
        <v>44715</v>
      </c>
      <c r="AB17" s="6">
        <f t="shared" si="1"/>
        <v>-3880.2759901099444</v>
      </c>
      <c r="AC17" s="11">
        <v>44731</v>
      </c>
      <c r="AD17">
        <v>-76.8</v>
      </c>
      <c r="AE17" s="11"/>
      <c r="AF17" s="6"/>
      <c r="AJ17" s="36"/>
      <c r="AK17" t="s">
        <v>122</v>
      </c>
      <c r="AL17" s="30">
        <v>750</v>
      </c>
    </row>
    <row r="18" spans="1:39">
      <c r="A18" s="11">
        <v>44319</v>
      </c>
      <c r="B18" s="6">
        <f>E17*(IF(A18&gt;=$F$1,$F$2,$B$2)/12)</f>
        <v>584.81200583333339</v>
      </c>
      <c r="C18" s="6">
        <f t="shared" ref="C18:C40" si="2">-IF($D$2*$B$2/12&gt;B18,B18,$D$2*$B$2/12)</f>
        <v>-582.70472996986257</v>
      </c>
      <c r="D18" s="6">
        <f t="shared" ref="D18:D40" si="3">F18-B18-C18</f>
        <v>1148.5586934427943</v>
      </c>
      <c r="E18" s="6">
        <f>E17-D18</f>
        <v>290044.14130655723</v>
      </c>
      <c r="F18" s="8">
        <f>D3</f>
        <v>1150.665969306265</v>
      </c>
      <c r="H18" s="15" t="s">
        <v>33</v>
      </c>
      <c r="I18" s="16">
        <v>27849.346387496538</v>
      </c>
      <c r="J18" s="16">
        <v>56574.395234201569</v>
      </c>
      <c r="AA18" s="11">
        <v>44745</v>
      </c>
      <c r="AB18" s="6">
        <f t="shared" si="1"/>
        <v>-3880.2759901099444</v>
      </c>
      <c r="AC18" s="11">
        <v>44761</v>
      </c>
      <c r="AD18">
        <v>-76.8</v>
      </c>
      <c r="AE18" s="11"/>
      <c r="AF18" s="6"/>
      <c r="AJ18" s="36"/>
      <c r="AK18" t="s">
        <v>124</v>
      </c>
      <c r="AL18" s="30">
        <v>0</v>
      </c>
    </row>
    <row r="19" spans="1:39">
      <c r="A19" s="11">
        <v>44350</v>
      </c>
      <c r="B19" s="6">
        <f t="shared" ref="B19:B40" si="4">E18*(IF(A19&gt;=$F$1,$F$2,$B$2)/12)</f>
        <v>582.50531712400243</v>
      </c>
      <c r="C19" s="6">
        <f t="shared" si="2"/>
        <v>-582.50531712400243</v>
      </c>
      <c r="D19" s="6">
        <f t="shared" si="3"/>
        <v>1150.665969306265</v>
      </c>
      <c r="E19" s="6">
        <f t="shared" ref="E19:E40" si="5">E18-D19</f>
        <v>288893.47533725097</v>
      </c>
      <c r="F19" s="31">
        <f t="shared" ref="F19:F40" si="6">F18</f>
        <v>1150.665969306265</v>
      </c>
      <c r="H19" s="15" t="s">
        <v>44</v>
      </c>
      <c r="I19" s="16">
        <v>53780.039999999986</v>
      </c>
      <c r="J19" s="16">
        <v>107560.07999999997</v>
      </c>
      <c r="AA19" s="11">
        <v>44776</v>
      </c>
      <c r="AB19" s="6">
        <f t="shared" si="1"/>
        <v>-3880.2759901099444</v>
      </c>
      <c r="AC19" s="11">
        <v>44792</v>
      </c>
      <c r="AD19">
        <v>-76.8</v>
      </c>
      <c r="AE19" s="11"/>
      <c r="AF19" s="6"/>
      <c r="AJ19" s="36"/>
      <c r="AK19" s="34" t="s">
        <v>120</v>
      </c>
      <c r="AL19" s="35">
        <f>SUM(AL16:AL18)</f>
        <v>6750</v>
      </c>
      <c r="AM19" s="30">
        <f>AL19/30</f>
        <v>225</v>
      </c>
    </row>
    <row r="20" spans="1:39">
      <c r="A20" s="11">
        <v>44380</v>
      </c>
      <c r="B20" s="6">
        <f t="shared" si="4"/>
        <v>580.19439630231238</v>
      </c>
      <c r="C20" s="6">
        <f t="shared" si="2"/>
        <v>-580.19439630231238</v>
      </c>
      <c r="D20" s="6">
        <f t="shared" si="3"/>
        <v>1150.665969306265</v>
      </c>
      <c r="E20" s="6">
        <f t="shared" si="5"/>
        <v>287742.80936794472</v>
      </c>
      <c r="F20" s="6">
        <f t="shared" si="6"/>
        <v>1150.665969306265</v>
      </c>
      <c r="H20" s="15" t="s">
        <v>43</v>
      </c>
      <c r="I20" s="16">
        <v>1001317.5736125034</v>
      </c>
      <c r="J20" s="16">
        <v>972592.52476579836</v>
      </c>
      <c r="AA20" s="11">
        <v>44807</v>
      </c>
      <c r="AB20" s="6">
        <f t="shared" si="1"/>
        <v>-3880.2759901099444</v>
      </c>
      <c r="AC20" s="11">
        <v>44823</v>
      </c>
      <c r="AD20">
        <v>-76.8</v>
      </c>
      <c r="AE20" s="11"/>
      <c r="AF20" s="6"/>
      <c r="AK20" s="32" t="s">
        <v>125</v>
      </c>
      <c r="AL20" s="33">
        <f>AL19+AL12+AL15</f>
        <v>994.81367573255056</v>
      </c>
    </row>
    <row r="21" spans="1:39">
      <c r="A21" s="11">
        <v>44411</v>
      </c>
      <c r="B21" s="6">
        <f t="shared" si="4"/>
        <v>577.88347548062234</v>
      </c>
      <c r="C21" s="6">
        <f t="shared" si="2"/>
        <v>-577.88347548062234</v>
      </c>
      <c r="D21" s="6">
        <f t="shared" si="3"/>
        <v>1150.665969306265</v>
      </c>
      <c r="E21" s="6">
        <f t="shared" si="5"/>
        <v>286592.14339863847</v>
      </c>
      <c r="F21" s="6">
        <f t="shared" si="6"/>
        <v>1150.665969306265</v>
      </c>
      <c r="H21" s="15" t="s">
        <v>47</v>
      </c>
      <c r="I21" s="16">
        <v>-5580</v>
      </c>
      <c r="J21" s="16">
        <v>-11160</v>
      </c>
      <c r="AA21" s="11">
        <v>44837</v>
      </c>
      <c r="AB21" s="6">
        <f t="shared" si="1"/>
        <v>-3880.2759901099444</v>
      </c>
      <c r="AC21" s="11">
        <v>44853</v>
      </c>
      <c r="AD21">
        <v>-76.8</v>
      </c>
      <c r="AE21" s="11"/>
      <c r="AF21" s="6"/>
    </row>
    <row r="22" spans="1:39">
      <c r="A22" s="11">
        <v>44442</v>
      </c>
      <c r="B22" s="6">
        <f t="shared" si="4"/>
        <v>575.57255465893229</v>
      </c>
      <c r="C22" s="6">
        <f t="shared" si="2"/>
        <v>-575.57255465893229</v>
      </c>
      <c r="D22" s="6">
        <f t="shared" si="3"/>
        <v>1150.665969306265</v>
      </c>
      <c r="E22" s="6">
        <f t="shared" si="5"/>
        <v>285441.47742933221</v>
      </c>
      <c r="F22" s="6">
        <f t="shared" si="6"/>
        <v>1150.665969306265</v>
      </c>
      <c r="AA22" s="11">
        <v>44868</v>
      </c>
      <c r="AB22" s="6">
        <f t="shared" si="1"/>
        <v>-3880.2759901099444</v>
      </c>
      <c r="AC22" s="11">
        <v>44884</v>
      </c>
      <c r="AD22">
        <v>-76.8</v>
      </c>
      <c r="AE22" s="11"/>
      <c r="AF22" s="6"/>
    </row>
    <row r="23" spans="1:39">
      <c r="A23" s="11">
        <v>44472</v>
      </c>
      <c r="B23" s="6">
        <f t="shared" si="4"/>
        <v>573.26163383724224</v>
      </c>
      <c r="C23" s="6">
        <f t="shared" si="2"/>
        <v>-573.26163383724224</v>
      </c>
      <c r="D23" s="6">
        <f t="shared" si="3"/>
        <v>1150.665969306265</v>
      </c>
      <c r="E23" s="6">
        <f t="shared" si="5"/>
        <v>284290.81146002596</v>
      </c>
      <c r="F23" s="6">
        <f t="shared" si="6"/>
        <v>1150.665969306265</v>
      </c>
      <c r="H23" s="15" t="s">
        <v>93</v>
      </c>
      <c r="I23" s="15" t="s">
        <v>41</v>
      </c>
      <c r="J23" s="15" t="s">
        <v>42</v>
      </c>
      <c r="AA23" s="11">
        <v>44898</v>
      </c>
      <c r="AB23" s="6">
        <f t="shared" si="1"/>
        <v>-3880.2759901099444</v>
      </c>
      <c r="AC23" s="11">
        <v>44914</v>
      </c>
      <c r="AD23">
        <v>-76.8</v>
      </c>
      <c r="AE23" s="11"/>
      <c r="AF23" s="6"/>
    </row>
    <row r="24" spans="1:39">
      <c r="A24" s="11">
        <v>44503</v>
      </c>
      <c r="B24" s="6">
        <f t="shared" si="4"/>
        <v>570.95071301555208</v>
      </c>
      <c r="C24" s="6">
        <f t="shared" si="2"/>
        <v>-570.95071301555208</v>
      </c>
      <c r="D24" s="6">
        <f t="shared" si="3"/>
        <v>1150.665969306265</v>
      </c>
      <c r="E24" s="6">
        <f t="shared" si="5"/>
        <v>283140.1454907197</v>
      </c>
      <c r="F24" s="6">
        <f t="shared" si="6"/>
        <v>1150.665969306265</v>
      </c>
      <c r="H24" s="15" t="s">
        <v>32</v>
      </c>
      <c r="I24" s="16">
        <v>22965.626530425823</v>
      </c>
      <c r="J24" s="16">
        <v>45073.093954241464</v>
      </c>
      <c r="AA24" s="11">
        <v>44929</v>
      </c>
      <c r="AB24" s="6">
        <f t="shared" si="1"/>
        <v>-3880.2759901099444</v>
      </c>
      <c r="AC24" s="11">
        <v>44945</v>
      </c>
      <c r="AD24">
        <v>-76.8</v>
      </c>
      <c r="AE24" s="11"/>
      <c r="AF24" s="6"/>
    </row>
    <row r="25" spans="1:39">
      <c r="A25" s="11">
        <v>44533</v>
      </c>
      <c r="B25" s="6">
        <f t="shared" si="4"/>
        <v>568.63979219386204</v>
      </c>
      <c r="C25" s="6">
        <f t="shared" si="2"/>
        <v>-568.63979219386204</v>
      </c>
      <c r="D25" s="6">
        <f t="shared" si="3"/>
        <v>1150.665969306265</v>
      </c>
      <c r="E25" s="6">
        <f t="shared" si="5"/>
        <v>281989.47952141345</v>
      </c>
      <c r="F25" s="6">
        <f t="shared" si="6"/>
        <v>1150.665969306265</v>
      </c>
      <c r="H25" s="15" t="s">
        <v>33</v>
      </c>
      <c r="I25" s="16">
        <v>30814.413469574174</v>
      </c>
      <c r="J25" s="16">
        <v>62486.986045758531</v>
      </c>
      <c r="AA25" s="11">
        <v>44960</v>
      </c>
      <c r="AB25" s="6">
        <f t="shared" si="1"/>
        <v>-3880.2759901099444</v>
      </c>
      <c r="AC25" s="11">
        <v>44976</v>
      </c>
      <c r="AD25">
        <v>-76.8</v>
      </c>
      <c r="AE25" s="11"/>
      <c r="AF25" s="6"/>
    </row>
    <row r="26" spans="1:39">
      <c r="A26" s="11">
        <v>44564</v>
      </c>
      <c r="B26" s="6">
        <f t="shared" si="4"/>
        <v>566.32887137217199</v>
      </c>
      <c r="C26" s="6">
        <f t="shared" si="2"/>
        <v>-566.32887137217199</v>
      </c>
      <c r="D26" s="6">
        <f t="shared" si="3"/>
        <v>1150.665969306265</v>
      </c>
      <c r="E26" s="6">
        <f t="shared" si="5"/>
        <v>280838.8135521072</v>
      </c>
      <c r="F26" s="6">
        <f t="shared" si="6"/>
        <v>1150.665969306265</v>
      </c>
      <c r="H26" s="15" t="s">
        <v>44</v>
      </c>
      <c r="I26" s="16">
        <v>53780.039999999986</v>
      </c>
      <c r="J26" s="16">
        <v>107560.07999999997</v>
      </c>
      <c r="AA26" s="11">
        <v>44988</v>
      </c>
      <c r="AB26" s="6">
        <f t="shared" si="1"/>
        <v>-3880.2759901099444</v>
      </c>
      <c r="AC26" s="11">
        <v>45004</v>
      </c>
      <c r="AD26">
        <v>-76.8</v>
      </c>
      <c r="AE26" s="11"/>
      <c r="AF26" s="6"/>
    </row>
    <row r="27" spans="1:39">
      <c r="A27" s="11">
        <v>44595</v>
      </c>
      <c r="B27" s="6">
        <f t="shared" si="4"/>
        <v>564.01795055048194</v>
      </c>
      <c r="C27" s="6">
        <f t="shared" si="2"/>
        <v>-564.01795055048194</v>
      </c>
      <c r="D27" s="6">
        <f t="shared" si="3"/>
        <v>1150.665969306265</v>
      </c>
      <c r="E27" s="6">
        <f t="shared" si="5"/>
        <v>279688.14758280094</v>
      </c>
      <c r="F27" s="6">
        <f t="shared" si="6"/>
        <v>1150.665969306265</v>
      </c>
      <c r="H27" s="15" t="s">
        <v>43</v>
      </c>
      <c r="I27" s="16">
        <v>998352.50653042574</v>
      </c>
      <c r="J27" s="16">
        <v>966679.93395424134</v>
      </c>
      <c r="AA27" t="s">
        <v>120</v>
      </c>
      <c r="AB27" s="6">
        <f ca="1">SUMIF(AA3:AA26,"&lt;="&amp;$X$2,AB3:AB26)</f>
        <v>-3880.2759901099444</v>
      </c>
      <c r="AC27" s="6"/>
      <c r="AD27" s="6">
        <f ca="1">SUMIF(AC3:AC26,"&lt;="&amp;$X$2,AD3:AD26)</f>
        <v>0</v>
      </c>
      <c r="AE27" s="6"/>
      <c r="AF27" s="6">
        <f ca="1">SUMIF($AE$3:$AE$26,"&lt;="&amp;$X$2,AF3:AF26)</f>
        <v>-15000</v>
      </c>
    </row>
    <row r="28" spans="1:39">
      <c r="A28" s="11">
        <v>44623</v>
      </c>
      <c r="B28" s="6">
        <f t="shared" si="4"/>
        <v>561.70702972879189</v>
      </c>
      <c r="C28" s="6">
        <f t="shared" si="2"/>
        <v>-561.70702972879189</v>
      </c>
      <c r="D28" s="6">
        <f t="shared" si="3"/>
        <v>1150.665969306265</v>
      </c>
      <c r="E28" s="6">
        <f t="shared" si="5"/>
        <v>278537.48161349469</v>
      </c>
      <c r="F28" s="6">
        <f t="shared" si="6"/>
        <v>1150.665969306265</v>
      </c>
      <c r="H28" s="15" t="s">
        <v>47</v>
      </c>
      <c r="I28" s="16">
        <v>-4950</v>
      </c>
      <c r="J28" s="16">
        <v>-9900</v>
      </c>
    </row>
    <row r="29" spans="1:39">
      <c r="A29" s="11">
        <v>44654</v>
      </c>
      <c r="B29" s="6">
        <f t="shared" si="4"/>
        <v>559.39610890710185</v>
      </c>
      <c r="C29" s="6">
        <f t="shared" si="2"/>
        <v>-559.39610890710185</v>
      </c>
      <c r="D29" s="6">
        <f t="shared" si="3"/>
        <v>1150.665969306265</v>
      </c>
      <c r="E29" s="6">
        <f t="shared" si="5"/>
        <v>277386.81564418843</v>
      </c>
      <c r="F29" s="6">
        <f t="shared" si="6"/>
        <v>1150.665969306265</v>
      </c>
    </row>
    <row r="30" spans="1:39">
      <c r="A30" s="11">
        <v>44684</v>
      </c>
      <c r="B30" s="6">
        <f t="shared" si="4"/>
        <v>557.0851880854118</v>
      </c>
      <c r="C30" s="6">
        <f t="shared" si="2"/>
        <v>-557.0851880854118</v>
      </c>
      <c r="D30" s="6">
        <f t="shared" si="3"/>
        <v>1150.665969306265</v>
      </c>
      <c r="E30" s="6">
        <f t="shared" si="5"/>
        <v>276236.14967488218</v>
      </c>
      <c r="F30" s="6">
        <f t="shared" si="6"/>
        <v>1150.665969306265</v>
      </c>
      <c r="H30" s="15" t="s">
        <v>94</v>
      </c>
      <c r="I30" s="15" t="s">
        <v>41</v>
      </c>
      <c r="J30" s="15" t="s">
        <v>42</v>
      </c>
    </row>
    <row r="31" spans="1:39">
      <c r="A31" s="11">
        <v>44715</v>
      </c>
      <c r="B31" s="6">
        <f t="shared" si="4"/>
        <v>554.77426726372175</v>
      </c>
      <c r="C31" s="6">
        <f t="shared" si="2"/>
        <v>-554.77426726372175</v>
      </c>
      <c r="D31" s="6">
        <f t="shared" si="3"/>
        <v>1150.665969306265</v>
      </c>
      <c r="E31" s="6">
        <f t="shared" si="5"/>
        <v>275085.48370557593</v>
      </c>
      <c r="F31" s="6">
        <f t="shared" si="6"/>
        <v>1150.665969306265</v>
      </c>
      <c r="H31" s="15" t="s">
        <v>32</v>
      </c>
      <c r="I31" s="16">
        <v>19688.491168866349</v>
      </c>
      <c r="J31" s="16">
        <v>38530.816968820589</v>
      </c>
    </row>
    <row r="32" spans="1:39">
      <c r="A32" s="11">
        <v>44745</v>
      </c>
      <c r="B32" s="6">
        <f t="shared" si="4"/>
        <v>552.46334644203171</v>
      </c>
      <c r="C32" s="6">
        <f t="shared" si="2"/>
        <v>-552.46334644203171</v>
      </c>
      <c r="D32" s="6">
        <f t="shared" si="3"/>
        <v>1150.665969306265</v>
      </c>
      <c r="E32" s="6">
        <f t="shared" si="5"/>
        <v>273934.81773626967</v>
      </c>
      <c r="F32" s="6">
        <f t="shared" si="6"/>
        <v>1150.665969306265</v>
      </c>
      <c r="H32" s="15" t="s">
        <v>33</v>
      </c>
      <c r="I32" s="16">
        <v>34091.548831133652</v>
      </c>
      <c r="J32" s="16">
        <v>69029.26303117942</v>
      </c>
    </row>
    <row r="33" spans="1:10">
      <c r="A33" s="11">
        <v>44776</v>
      </c>
      <c r="B33" s="6">
        <f t="shared" si="4"/>
        <v>550.15242562034155</v>
      </c>
      <c r="C33" s="6">
        <f t="shared" si="2"/>
        <v>-550.15242562034155</v>
      </c>
      <c r="D33" s="6">
        <f t="shared" si="3"/>
        <v>1150.665969306265</v>
      </c>
      <c r="E33" s="6">
        <f t="shared" si="5"/>
        <v>272784.15176696342</v>
      </c>
      <c r="F33" s="6">
        <f t="shared" si="6"/>
        <v>1150.665969306265</v>
      </c>
      <c r="H33" s="15" t="s">
        <v>44</v>
      </c>
      <c r="I33" s="16">
        <v>53780.040000000008</v>
      </c>
      <c r="J33" s="16">
        <v>107560.08000000006</v>
      </c>
    </row>
    <row r="34" spans="1:10">
      <c r="A34" s="11">
        <v>44807</v>
      </c>
      <c r="B34" s="6">
        <f t="shared" si="4"/>
        <v>547.8415047986515</v>
      </c>
      <c r="C34" s="6">
        <f t="shared" si="2"/>
        <v>-547.8415047986515</v>
      </c>
      <c r="D34" s="6">
        <f t="shared" si="3"/>
        <v>1150.665969306265</v>
      </c>
      <c r="E34" s="6">
        <f t="shared" si="5"/>
        <v>271633.48579765717</v>
      </c>
      <c r="F34" s="6">
        <f t="shared" si="6"/>
        <v>1150.665969306265</v>
      </c>
      <c r="H34" s="15" t="s">
        <v>43</v>
      </c>
      <c r="I34" s="16">
        <v>995075.37116886629</v>
      </c>
      <c r="J34" s="16">
        <v>960137.65696882061</v>
      </c>
    </row>
    <row r="35" spans="1:10">
      <c r="A35" s="11">
        <v>44837</v>
      </c>
      <c r="B35" s="6">
        <f t="shared" si="4"/>
        <v>545.53058397696145</v>
      </c>
      <c r="C35" s="6">
        <f t="shared" si="2"/>
        <v>-545.53058397696145</v>
      </c>
      <c r="D35" s="6">
        <f t="shared" si="3"/>
        <v>1150.665969306265</v>
      </c>
      <c r="E35" s="6">
        <f t="shared" si="5"/>
        <v>270482.81982835091</v>
      </c>
      <c r="F35" s="6">
        <f t="shared" si="6"/>
        <v>1150.665969306265</v>
      </c>
      <c r="H35" s="15" t="s">
        <v>47</v>
      </c>
      <c r="I35" s="16">
        <v>-4950</v>
      </c>
      <c r="J35" s="16">
        <v>-9900</v>
      </c>
    </row>
    <row r="36" spans="1:10">
      <c r="A36" s="11">
        <v>44868</v>
      </c>
      <c r="B36" s="6">
        <f t="shared" si="4"/>
        <v>543.21966315527141</v>
      </c>
      <c r="C36" s="6">
        <f t="shared" si="2"/>
        <v>-543.21966315527141</v>
      </c>
      <c r="D36" s="6">
        <f t="shared" si="3"/>
        <v>1150.665969306265</v>
      </c>
      <c r="E36" s="6">
        <f t="shared" si="5"/>
        <v>269332.15385904466</v>
      </c>
      <c r="F36" s="6">
        <f t="shared" si="6"/>
        <v>1150.665969306265</v>
      </c>
      <c r="H36" s="11"/>
      <c r="I36" s="6"/>
      <c r="J36" s="6"/>
    </row>
    <row r="37" spans="1:10">
      <c r="A37" s="11">
        <v>44898</v>
      </c>
      <c r="B37" s="6">
        <f t="shared" si="4"/>
        <v>540.90874233358136</v>
      </c>
      <c r="C37" s="6">
        <f t="shared" si="2"/>
        <v>-540.90874233358136</v>
      </c>
      <c r="D37" s="6">
        <f t="shared" si="3"/>
        <v>1150.665969306265</v>
      </c>
      <c r="E37" s="6">
        <f t="shared" si="5"/>
        <v>268181.4878897384</v>
      </c>
      <c r="F37" s="6">
        <f t="shared" si="6"/>
        <v>1150.665969306265</v>
      </c>
      <c r="H37" s="11"/>
      <c r="I37" s="6"/>
      <c r="J37" s="6"/>
    </row>
    <row r="38" spans="1:10">
      <c r="A38" s="11">
        <v>44929</v>
      </c>
      <c r="B38" s="6">
        <f t="shared" si="4"/>
        <v>538.59782151189131</v>
      </c>
      <c r="C38" s="6">
        <f t="shared" si="2"/>
        <v>-538.59782151189131</v>
      </c>
      <c r="D38" s="6">
        <f t="shared" si="3"/>
        <v>1150.665969306265</v>
      </c>
      <c r="E38" s="6">
        <f t="shared" si="5"/>
        <v>267030.82192043215</v>
      </c>
      <c r="F38" s="6">
        <f t="shared" si="6"/>
        <v>1150.665969306265</v>
      </c>
      <c r="H38" s="11"/>
      <c r="I38" s="6"/>
      <c r="J38" s="6"/>
    </row>
    <row r="39" spans="1:10">
      <c r="A39" s="11">
        <v>44960</v>
      </c>
      <c r="B39" s="6">
        <f t="shared" si="4"/>
        <v>536.28690069020126</v>
      </c>
      <c r="C39" s="6">
        <f t="shared" si="2"/>
        <v>-536.28690069020126</v>
      </c>
      <c r="D39" s="6">
        <f t="shared" si="3"/>
        <v>1150.665969306265</v>
      </c>
      <c r="E39" s="6">
        <f t="shared" si="5"/>
        <v>265880.1559511259</v>
      </c>
      <c r="F39" s="6">
        <f t="shared" si="6"/>
        <v>1150.665969306265</v>
      </c>
      <c r="H39" s="11"/>
      <c r="I39" s="6"/>
      <c r="J39" s="6"/>
    </row>
    <row r="40" spans="1:10">
      <c r="A40" s="11">
        <v>44988</v>
      </c>
      <c r="B40" s="6">
        <f t="shared" si="4"/>
        <v>533.97597986851122</v>
      </c>
      <c r="C40" s="6">
        <f t="shared" si="2"/>
        <v>-533.97597986851122</v>
      </c>
      <c r="D40" s="6">
        <f t="shared" si="3"/>
        <v>1150.665969306265</v>
      </c>
      <c r="E40" s="6">
        <f t="shared" si="5"/>
        <v>264729.48998181964</v>
      </c>
      <c r="F40" s="6">
        <f t="shared" si="6"/>
        <v>1150.665969306265</v>
      </c>
      <c r="H40" s="11"/>
      <c r="I40" s="6"/>
      <c r="J40" s="6"/>
    </row>
    <row r="42" spans="1:10">
      <c r="A42" s="49" t="s">
        <v>85</v>
      </c>
      <c r="B42" s="49"/>
      <c r="C42" s="49"/>
      <c r="D42" s="49"/>
      <c r="E42" s="49"/>
      <c r="F42" s="49"/>
    </row>
    <row r="43" spans="1:10">
      <c r="A43" s="4" t="s">
        <v>31</v>
      </c>
      <c r="B43" s="10" t="s">
        <v>32</v>
      </c>
      <c r="C43" t="s">
        <v>46</v>
      </c>
      <c r="D43" s="4" t="s">
        <v>33</v>
      </c>
      <c r="E43" s="6" t="s">
        <v>43</v>
      </c>
      <c r="F43" t="s">
        <v>34</v>
      </c>
    </row>
    <row r="44" spans="1:10">
      <c r="A44" s="11">
        <v>44289</v>
      </c>
      <c r="B44" s="6">
        <f>239.45*3</f>
        <v>718.34999999999991</v>
      </c>
      <c r="C44" s="6">
        <v>0</v>
      </c>
      <c r="D44" s="6">
        <f>F44-B44-C44</f>
        <v>1045.6500000000001</v>
      </c>
      <c r="E44" s="6">
        <f>B4-D44</f>
        <v>748954.35</v>
      </c>
      <c r="F44" s="6">
        <f>588*3</f>
        <v>1764</v>
      </c>
    </row>
    <row r="45" spans="1:10">
      <c r="A45" s="11">
        <v>44319</v>
      </c>
      <c r="B45" s="6">
        <f>E44*(IF(A45&gt;=$F$1,$F$4,$F$3)/12)</f>
        <v>1148.3966700000001</v>
      </c>
      <c r="C45" s="6">
        <v>0</v>
      </c>
      <c r="D45" s="6">
        <f t="shared" ref="D45:D67" si="7">F45-B45-C45</f>
        <v>1581.2133508036795</v>
      </c>
      <c r="E45" s="6">
        <f>E44-D45</f>
        <v>747373.13664919627</v>
      </c>
      <c r="F45" s="19">
        <f>D4</f>
        <v>2729.6100208036796</v>
      </c>
    </row>
    <row r="46" spans="1:10">
      <c r="A46" s="11">
        <v>44350</v>
      </c>
      <c r="B46" s="6">
        <f t="shared" ref="B46:B67" si="8">E45*(IF(A46&gt;=$F$1,$F$4,$F$3)/12)</f>
        <v>1145.972142862101</v>
      </c>
      <c r="C46" s="6">
        <v>0</v>
      </c>
      <c r="D46" s="6">
        <f t="shared" si="7"/>
        <v>1583.6378779415786</v>
      </c>
      <c r="E46" s="6">
        <f t="shared" ref="E46:E67" si="9">E45-D46</f>
        <v>745789.49877125467</v>
      </c>
      <c r="F46" s="6">
        <f t="shared" ref="F46:F67" si="10">F45</f>
        <v>2729.6100208036796</v>
      </c>
    </row>
    <row r="47" spans="1:10">
      <c r="A47" s="11">
        <v>44380</v>
      </c>
      <c r="B47" s="6">
        <f t="shared" si="8"/>
        <v>1143.5438981159239</v>
      </c>
      <c r="C47" s="6">
        <v>0</v>
      </c>
      <c r="D47" s="6">
        <f t="shared" si="7"/>
        <v>1586.0661226877558</v>
      </c>
      <c r="E47" s="6">
        <f t="shared" si="9"/>
        <v>744203.4326485669</v>
      </c>
      <c r="F47" s="6">
        <f t="shared" si="10"/>
        <v>2729.6100208036796</v>
      </c>
    </row>
    <row r="48" spans="1:10">
      <c r="A48" s="11">
        <v>44411</v>
      </c>
      <c r="B48" s="6">
        <f t="shared" si="8"/>
        <v>1141.111930061136</v>
      </c>
      <c r="C48" s="6">
        <v>0</v>
      </c>
      <c r="D48" s="6">
        <f t="shared" si="7"/>
        <v>1588.4980907425436</v>
      </c>
      <c r="E48" s="6">
        <f t="shared" si="9"/>
        <v>742614.9345578244</v>
      </c>
      <c r="F48" s="6">
        <f t="shared" si="10"/>
        <v>2729.6100208036796</v>
      </c>
    </row>
    <row r="49" spans="1:6">
      <c r="A49" s="11">
        <v>44442</v>
      </c>
      <c r="B49" s="6">
        <f t="shared" si="8"/>
        <v>1138.6762329886642</v>
      </c>
      <c r="C49" s="6">
        <v>0</v>
      </c>
      <c r="D49" s="6">
        <f t="shared" si="7"/>
        <v>1590.9337878150154</v>
      </c>
      <c r="E49" s="6">
        <f t="shared" si="9"/>
        <v>741024.00077000936</v>
      </c>
      <c r="F49" s="6">
        <f t="shared" si="10"/>
        <v>2729.6100208036796</v>
      </c>
    </row>
    <row r="50" spans="1:6">
      <c r="A50" s="11">
        <v>44472</v>
      </c>
      <c r="B50" s="6">
        <f t="shared" si="8"/>
        <v>1136.2368011806811</v>
      </c>
      <c r="C50" s="6">
        <v>0</v>
      </c>
      <c r="D50" s="6">
        <f t="shared" si="7"/>
        <v>1593.3732196229985</v>
      </c>
      <c r="E50" s="6">
        <f t="shared" si="9"/>
        <v>739430.62755038636</v>
      </c>
      <c r="F50" s="6">
        <f t="shared" si="10"/>
        <v>2729.6100208036796</v>
      </c>
    </row>
    <row r="51" spans="1:6">
      <c r="A51" s="11">
        <v>44503</v>
      </c>
      <c r="B51" s="6">
        <f t="shared" si="8"/>
        <v>1133.7936289105924</v>
      </c>
      <c r="C51" s="6">
        <v>0</v>
      </c>
      <c r="D51" s="6">
        <f t="shared" si="7"/>
        <v>1595.8163918930873</v>
      </c>
      <c r="E51" s="6">
        <f t="shared" si="9"/>
        <v>737834.81115849328</v>
      </c>
      <c r="F51" s="6">
        <f t="shared" si="10"/>
        <v>2729.6100208036796</v>
      </c>
    </row>
    <row r="52" spans="1:6">
      <c r="A52" s="11">
        <v>44533</v>
      </c>
      <c r="B52" s="6">
        <f t="shared" si="8"/>
        <v>1131.3467104430231</v>
      </c>
      <c r="C52" s="6">
        <v>0</v>
      </c>
      <c r="D52" s="6">
        <f t="shared" si="7"/>
        <v>1598.2633103606565</v>
      </c>
      <c r="E52" s="6">
        <f t="shared" si="9"/>
        <v>736236.54784813267</v>
      </c>
      <c r="F52" s="6">
        <f t="shared" si="10"/>
        <v>2729.6100208036796</v>
      </c>
    </row>
    <row r="53" spans="1:6">
      <c r="A53" s="11">
        <v>44564</v>
      </c>
      <c r="B53" s="6">
        <f t="shared" si="8"/>
        <v>1128.8960400338035</v>
      </c>
      <c r="C53" s="6">
        <v>0</v>
      </c>
      <c r="D53" s="6">
        <f t="shared" si="7"/>
        <v>1600.7139807698761</v>
      </c>
      <c r="E53" s="6">
        <f t="shared" si="9"/>
        <v>734635.83386736282</v>
      </c>
      <c r="F53" s="6">
        <f t="shared" si="10"/>
        <v>2729.6100208036796</v>
      </c>
    </row>
    <row r="54" spans="1:6">
      <c r="A54" s="11">
        <v>44595</v>
      </c>
      <c r="B54" s="6">
        <f t="shared" si="8"/>
        <v>1126.4416119299563</v>
      </c>
      <c r="C54" s="6">
        <v>0</v>
      </c>
      <c r="D54" s="6">
        <f t="shared" si="7"/>
        <v>1603.1684088737234</v>
      </c>
      <c r="E54" s="6">
        <f t="shared" si="9"/>
        <v>733032.66545848909</v>
      </c>
      <c r="F54" s="6">
        <f t="shared" si="10"/>
        <v>2729.6100208036796</v>
      </c>
    </row>
    <row r="55" spans="1:6">
      <c r="A55" s="11">
        <v>44623</v>
      </c>
      <c r="B55" s="6">
        <f t="shared" si="8"/>
        <v>1123.9834203696832</v>
      </c>
      <c r="C55" s="6">
        <v>0</v>
      </c>
      <c r="D55" s="6">
        <f t="shared" si="7"/>
        <v>1605.6266004339964</v>
      </c>
      <c r="E55" s="6">
        <f t="shared" si="9"/>
        <v>731427.03885805514</v>
      </c>
      <c r="F55" s="6">
        <f t="shared" si="10"/>
        <v>2729.6100208036796</v>
      </c>
    </row>
    <row r="56" spans="1:6">
      <c r="A56" s="11">
        <v>44654</v>
      </c>
      <c r="B56" s="6">
        <f t="shared" si="8"/>
        <v>1121.5214595823513</v>
      </c>
      <c r="C56" s="6">
        <v>0</v>
      </c>
      <c r="D56" s="6">
        <f t="shared" si="7"/>
        <v>1608.0885612213283</v>
      </c>
      <c r="E56" s="6">
        <f t="shared" si="9"/>
        <v>729818.95029683376</v>
      </c>
      <c r="F56" s="6">
        <f t="shared" si="10"/>
        <v>2729.6100208036796</v>
      </c>
    </row>
    <row r="57" spans="1:6">
      <c r="A57" s="11">
        <v>44684</v>
      </c>
      <c r="B57" s="6">
        <f t="shared" si="8"/>
        <v>1119.0557237884784</v>
      </c>
      <c r="C57" s="6">
        <v>0</v>
      </c>
      <c r="D57" s="6">
        <f t="shared" si="7"/>
        <v>1610.5542970152012</v>
      </c>
      <c r="E57" s="6">
        <f t="shared" si="9"/>
        <v>728208.39599981857</v>
      </c>
      <c r="F57" s="6">
        <f t="shared" si="10"/>
        <v>2729.6100208036796</v>
      </c>
    </row>
    <row r="58" spans="1:6">
      <c r="A58" s="11">
        <v>44715</v>
      </c>
      <c r="B58" s="6">
        <f t="shared" si="8"/>
        <v>1116.5862071997219</v>
      </c>
      <c r="C58" s="6">
        <v>0</v>
      </c>
      <c r="D58" s="6">
        <f t="shared" si="7"/>
        <v>1613.0238136039577</v>
      </c>
      <c r="E58" s="6">
        <f t="shared" si="9"/>
        <v>726595.37218621466</v>
      </c>
      <c r="F58" s="6">
        <f t="shared" si="10"/>
        <v>2729.6100208036796</v>
      </c>
    </row>
    <row r="59" spans="1:6">
      <c r="A59" s="11">
        <v>44745</v>
      </c>
      <c r="B59" s="6">
        <f t="shared" si="8"/>
        <v>1114.1129040188625</v>
      </c>
      <c r="C59" s="6">
        <v>0</v>
      </c>
      <c r="D59" s="6">
        <f t="shared" si="7"/>
        <v>1615.4971167848171</v>
      </c>
      <c r="E59" s="6">
        <f t="shared" si="9"/>
        <v>724979.87506942987</v>
      </c>
      <c r="F59" s="6">
        <f t="shared" si="10"/>
        <v>2729.6100208036796</v>
      </c>
    </row>
    <row r="60" spans="1:6">
      <c r="A60" s="11">
        <v>44776</v>
      </c>
      <c r="B60" s="6">
        <f t="shared" si="8"/>
        <v>1111.6358084397925</v>
      </c>
      <c r="C60" s="6">
        <v>0</v>
      </c>
      <c r="D60" s="6">
        <f t="shared" si="7"/>
        <v>1617.9742123638871</v>
      </c>
      <c r="E60" s="6">
        <f t="shared" si="9"/>
        <v>723361.90085706592</v>
      </c>
      <c r="F60" s="6">
        <f t="shared" si="10"/>
        <v>2729.6100208036796</v>
      </c>
    </row>
    <row r="61" spans="1:6">
      <c r="A61" s="11">
        <v>44807</v>
      </c>
      <c r="B61" s="6">
        <f t="shared" si="8"/>
        <v>1109.1549146475011</v>
      </c>
      <c r="C61" s="6">
        <v>0</v>
      </c>
      <c r="D61" s="6">
        <f t="shared" si="7"/>
        <v>1620.4551061561785</v>
      </c>
      <c r="E61" s="6">
        <f t="shared" si="9"/>
        <v>721741.44575090974</v>
      </c>
      <c r="F61" s="6">
        <f t="shared" si="10"/>
        <v>2729.6100208036796</v>
      </c>
    </row>
    <row r="62" spans="1:6">
      <c r="A62" s="11">
        <v>44837</v>
      </c>
      <c r="B62" s="6">
        <f t="shared" si="8"/>
        <v>1106.6702168180616</v>
      </c>
      <c r="C62" s="6">
        <v>0</v>
      </c>
      <c r="D62" s="6">
        <f t="shared" si="7"/>
        <v>1622.939803985618</v>
      </c>
      <c r="E62" s="6">
        <f t="shared" si="9"/>
        <v>720118.5059469241</v>
      </c>
      <c r="F62" s="6">
        <f t="shared" si="10"/>
        <v>2729.6100208036796</v>
      </c>
    </row>
    <row r="63" spans="1:6">
      <c r="A63" s="11">
        <v>44868</v>
      </c>
      <c r="B63" s="6">
        <f t="shared" si="8"/>
        <v>1104.1817091186169</v>
      </c>
      <c r="C63" s="6">
        <v>0</v>
      </c>
      <c r="D63" s="6">
        <f t="shared" si="7"/>
        <v>1625.4283116850627</v>
      </c>
      <c r="E63" s="6">
        <f t="shared" si="9"/>
        <v>718493.07763523899</v>
      </c>
      <c r="F63" s="6">
        <f t="shared" si="10"/>
        <v>2729.6100208036796</v>
      </c>
    </row>
    <row r="64" spans="1:6">
      <c r="A64" s="11">
        <v>44898</v>
      </c>
      <c r="B64" s="6">
        <f t="shared" si="8"/>
        <v>1101.6893857073665</v>
      </c>
      <c r="C64" s="6">
        <v>0</v>
      </c>
      <c r="D64" s="6">
        <f t="shared" si="7"/>
        <v>1627.9206350963132</v>
      </c>
      <c r="E64" s="6">
        <f t="shared" si="9"/>
        <v>716865.15700014273</v>
      </c>
      <c r="F64" s="6">
        <f t="shared" si="10"/>
        <v>2729.6100208036796</v>
      </c>
    </row>
    <row r="65" spans="1:6">
      <c r="A65" s="11">
        <v>44929</v>
      </c>
      <c r="B65" s="6">
        <f t="shared" si="8"/>
        <v>1099.1932407335523</v>
      </c>
      <c r="C65" s="6">
        <v>0</v>
      </c>
      <c r="D65" s="6">
        <f t="shared" si="7"/>
        <v>1630.4167800701273</v>
      </c>
      <c r="E65" s="6">
        <f t="shared" si="9"/>
        <v>715234.74022007256</v>
      </c>
      <c r="F65" s="6">
        <f t="shared" si="10"/>
        <v>2729.6100208036796</v>
      </c>
    </row>
    <row r="66" spans="1:6">
      <c r="A66" s="11">
        <v>44960</v>
      </c>
      <c r="B66" s="6">
        <f t="shared" si="8"/>
        <v>1096.6932683374446</v>
      </c>
      <c r="C66" s="6">
        <v>0</v>
      </c>
      <c r="D66" s="6">
        <f t="shared" si="7"/>
        <v>1632.916752466235</v>
      </c>
      <c r="E66" s="6">
        <f t="shared" si="9"/>
        <v>713601.82346760633</v>
      </c>
      <c r="F66" s="6">
        <f t="shared" si="10"/>
        <v>2729.6100208036796</v>
      </c>
    </row>
    <row r="67" spans="1:6">
      <c r="A67" s="11">
        <v>44988</v>
      </c>
      <c r="B67" s="6">
        <f t="shared" si="8"/>
        <v>1094.1894626503297</v>
      </c>
      <c r="C67" s="6">
        <v>0</v>
      </c>
      <c r="D67" s="6">
        <f t="shared" si="7"/>
        <v>1635.4205581533499</v>
      </c>
      <c r="E67" s="6">
        <f t="shared" si="9"/>
        <v>711966.40290945303</v>
      </c>
      <c r="F67" s="6">
        <f t="shared" si="10"/>
        <v>2729.6100208036796</v>
      </c>
    </row>
  </sheetData>
  <mergeCells count="3">
    <mergeCell ref="A15:F15"/>
    <mergeCell ref="A42:F42"/>
    <mergeCell ref="AA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BDD0-CAFA-104B-B88F-A6A80B213E84}">
  <dimension ref="A1:AB67"/>
  <sheetViews>
    <sheetView workbookViewId="0">
      <selection activeCell="H45" sqref="H45"/>
    </sheetView>
  </sheetViews>
  <sheetFormatPr baseColWidth="10" defaultColWidth="8.83203125" defaultRowHeight="16"/>
  <cols>
    <col min="1" max="1" width="14.5" bestFit="1" customWidth="1"/>
    <col min="2" max="2" width="13.6640625" bestFit="1" customWidth="1"/>
    <col min="3" max="3" width="16.1640625" bestFit="1" customWidth="1"/>
    <col min="4" max="4" width="11.83203125" bestFit="1" customWidth="1"/>
    <col min="5" max="5" width="19.83203125" bestFit="1" customWidth="1"/>
    <col min="6" max="6" width="14.6640625" bestFit="1" customWidth="1"/>
    <col min="7" max="7" width="15.33203125" bestFit="1" customWidth="1"/>
    <col min="8" max="8" width="23.6640625" bestFit="1" customWidth="1"/>
    <col min="9" max="9" width="11.1640625" bestFit="1" customWidth="1"/>
    <col min="10" max="10" width="9.6640625" bestFit="1" customWidth="1"/>
    <col min="12" max="12" width="18.6640625" bestFit="1" customWidth="1"/>
    <col min="13" max="14" width="10" bestFit="1" customWidth="1"/>
    <col min="16" max="16" width="18.6640625" bestFit="1" customWidth="1"/>
    <col min="17" max="17" width="11.1640625" bestFit="1" customWidth="1"/>
    <col min="18" max="18" width="11.5" bestFit="1" customWidth="1"/>
    <col min="19" max="19" width="23.6640625" bestFit="1" customWidth="1"/>
    <col min="20" max="20" width="10.5" bestFit="1" customWidth="1"/>
    <col min="21" max="21" width="11.5" bestFit="1" customWidth="1"/>
    <col min="22" max="22" width="10" bestFit="1" customWidth="1"/>
    <col min="23" max="23" width="9.6640625" bestFit="1" customWidth="1"/>
    <col min="26" max="26" width="9.1640625" bestFit="1" customWidth="1"/>
    <col min="27" max="27" width="25" bestFit="1" customWidth="1"/>
    <col min="28" max="28" width="11.1640625" bestFit="1" customWidth="1"/>
  </cols>
  <sheetData>
    <row r="1" spans="1:28">
      <c r="A1" t="s">
        <v>74</v>
      </c>
      <c r="B1" s="11">
        <v>44155</v>
      </c>
      <c r="C1" s="4" t="s">
        <v>30</v>
      </c>
      <c r="D1" s="7">
        <f>360</f>
        <v>360</v>
      </c>
      <c r="E1" t="s">
        <v>73</v>
      </c>
      <c r="F1" s="20">
        <v>44247</v>
      </c>
      <c r="H1" s="15" t="s">
        <v>88</v>
      </c>
      <c r="I1" s="15" t="s">
        <v>41</v>
      </c>
      <c r="J1" s="15" t="s">
        <v>42</v>
      </c>
      <c r="L1" s="15" t="s">
        <v>85</v>
      </c>
      <c r="M1" s="15" t="s">
        <v>41</v>
      </c>
      <c r="N1" s="15" t="s">
        <v>42</v>
      </c>
      <c r="P1" s="15" t="s">
        <v>91</v>
      </c>
      <c r="Q1" s="15" t="s">
        <v>41</v>
      </c>
      <c r="R1" s="15" t="s">
        <v>42</v>
      </c>
      <c r="S1" s="15" t="s">
        <v>89</v>
      </c>
      <c r="U1" s="16" t="s">
        <v>90</v>
      </c>
      <c r="V1" s="16">
        <v>50000</v>
      </c>
      <c r="Z1" s="36" t="s">
        <v>109</v>
      </c>
      <c r="AA1" t="s">
        <v>110</v>
      </c>
      <c r="AB1" s="30">
        <v>-80</v>
      </c>
    </row>
    <row r="2" spans="1:28">
      <c r="A2" t="s">
        <v>29</v>
      </c>
      <c r="B2" s="5">
        <v>3.1699999999999999E-2</v>
      </c>
      <c r="C2" t="s">
        <v>45</v>
      </c>
      <c r="D2" s="6">
        <f>V2</f>
        <v>330000</v>
      </c>
      <c r="E2" t="s">
        <v>86</v>
      </c>
      <c r="F2" s="5">
        <v>3.1699999999999999E-2</v>
      </c>
      <c r="H2" s="15" t="s">
        <v>32</v>
      </c>
      <c r="I2" s="16">
        <f>SUM(B17:B28)+SUM(C17:C28)</f>
        <v>-1100.4227050000009</v>
      </c>
      <c r="J2" s="16">
        <f>SUM(B17:B40)+SUM(C17:C40)</f>
        <v>-2200.8454099999908</v>
      </c>
      <c r="L2" s="15" t="s">
        <v>32</v>
      </c>
      <c r="M2" s="16">
        <f>SUM(B44:B55)</f>
        <v>14757.201496257498</v>
      </c>
      <c r="N2" s="16">
        <f>SUM(B44:B67)</f>
        <v>29143.608274865554</v>
      </c>
      <c r="P2" s="15" t="s">
        <v>32</v>
      </c>
      <c r="Q2" s="16">
        <f t="shared" ref="Q2:R6" si="0">M2+I2</f>
        <v>13656.778791257497</v>
      </c>
      <c r="R2" s="16">
        <f t="shared" si="0"/>
        <v>26942.762864865563</v>
      </c>
      <c r="S2" s="16">
        <f>Q2/12</f>
        <v>1138.064899271458</v>
      </c>
      <c r="T2" s="28">
        <f>S2/S4</f>
        <v>0.41109164790305852</v>
      </c>
      <c r="U2" s="16" t="s">
        <v>45</v>
      </c>
      <c r="V2" s="16">
        <f>V3-V1</f>
        <v>330000</v>
      </c>
      <c r="Z2" s="36"/>
      <c r="AA2" t="s">
        <v>111</v>
      </c>
      <c r="AB2" s="30">
        <v>-70</v>
      </c>
    </row>
    <row r="3" spans="1:28">
      <c r="A3" t="s">
        <v>81</v>
      </c>
      <c r="B3" s="6">
        <f>B5-B4</f>
        <v>295286.34999999998</v>
      </c>
      <c r="C3" t="s">
        <v>83</v>
      </c>
      <c r="D3" s="8">
        <f>IF(B3&gt;D2,(B3-D2)*B2/12,0)</f>
        <v>0</v>
      </c>
      <c r="E3" t="s">
        <v>75</v>
      </c>
      <c r="F3" s="12">
        <v>1.9900000000000001E-2</v>
      </c>
      <c r="H3" s="15" t="s">
        <v>33</v>
      </c>
      <c r="I3" s="16">
        <f>SUM(D17:D28)</f>
        <v>0</v>
      </c>
      <c r="J3" s="16">
        <f>SUM(D17:D40)</f>
        <v>0</v>
      </c>
      <c r="L3" s="15" t="s">
        <v>33</v>
      </c>
      <c r="M3" s="16">
        <f>SUM(D44:D55)</f>
        <v>18463.562926759849</v>
      </c>
      <c r="N3" s="16">
        <f>SUM(D44:D67)</f>
        <v>37297.920571169132</v>
      </c>
      <c r="P3" s="15" t="s">
        <v>33</v>
      </c>
      <c r="Q3" s="16">
        <f t="shared" si="0"/>
        <v>18463.562926759849</v>
      </c>
      <c r="R3" s="16">
        <f t="shared" si="0"/>
        <v>37297.920571169132</v>
      </c>
      <c r="S3" s="16">
        <f>Q3/12</f>
        <v>1538.6302438966541</v>
      </c>
      <c r="T3" s="30"/>
      <c r="U3" s="16" t="s">
        <v>76</v>
      </c>
      <c r="V3" s="16">
        <v>380000</v>
      </c>
      <c r="Z3" s="36"/>
      <c r="AA3" t="s">
        <v>112</v>
      </c>
      <c r="AB3" s="30">
        <v>-34.1</v>
      </c>
    </row>
    <row r="4" spans="1:28">
      <c r="A4" t="s">
        <v>82</v>
      </c>
      <c r="B4" s="31">
        <v>750000</v>
      </c>
      <c r="C4" t="s">
        <v>84</v>
      </c>
      <c r="D4" s="19">
        <f>B4*(1+F3/12)^D1*F3/12/((1+F3/12)^D1-1)</f>
        <v>2768.3970352514457</v>
      </c>
      <c r="E4" t="s">
        <v>87</v>
      </c>
      <c r="F4" s="12">
        <v>1.9900000000000001E-2</v>
      </c>
      <c r="H4" s="15" t="s">
        <v>44</v>
      </c>
      <c r="I4" s="16">
        <f>SUM(F17:F28)</f>
        <v>0</v>
      </c>
      <c r="J4" s="16">
        <f>SUM(F17:F40)</f>
        <v>0</v>
      </c>
      <c r="L4" s="15" t="s">
        <v>44</v>
      </c>
      <c r="M4" s="16">
        <f>SUM(F44:F55)</f>
        <v>33220.764423017339</v>
      </c>
      <c r="N4" s="16">
        <f>SUM(F44:F67)</f>
        <v>66441.528846034678</v>
      </c>
      <c r="P4" s="15" t="s">
        <v>44</v>
      </c>
      <c r="Q4" s="16">
        <f t="shared" si="0"/>
        <v>33220.764423017339</v>
      </c>
      <c r="R4" s="16">
        <f t="shared" si="0"/>
        <v>66441.528846034678</v>
      </c>
      <c r="S4" s="16">
        <f>Q4/12</f>
        <v>2768.3970352514448</v>
      </c>
      <c r="Z4" s="36"/>
      <c r="AA4" t="s">
        <v>113</v>
      </c>
      <c r="AB4" s="30">
        <v>-80</v>
      </c>
    </row>
    <row r="5" spans="1:28">
      <c r="A5" t="s">
        <v>80</v>
      </c>
      <c r="B5" s="6">
        <f>1045286.35</f>
        <v>1045286.35</v>
      </c>
      <c r="H5" s="15" t="s">
        <v>43</v>
      </c>
      <c r="I5" s="16">
        <f>E28</f>
        <v>295286.34999999998</v>
      </c>
      <c r="J5" s="16">
        <f>E40</f>
        <v>295286.34999999998</v>
      </c>
      <c r="L5" s="15" t="s">
        <v>43</v>
      </c>
      <c r="M5" s="16">
        <f>E55</f>
        <v>731536.43707324017</v>
      </c>
      <c r="N5" s="16">
        <f>E67</f>
        <v>712702.07942883112</v>
      </c>
      <c r="P5" s="15" t="s">
        <v>43</v>
      </c>
      <c r="Q5" s="16">
        <f t="shared" si="0"/>
        <v>1026822.7870732401</v>
      </c>
      <c r="R5" s="16">
        <f t="shared" si="0"/>
        <v>1007988.4294288311</v>
      </c>
      <c r="S5" s="16"/>
      <c r="U5" t="s">
        <v>35</v>
      </c>
      <c r="V5" s="12">
        <v>2.0899999999999998E-2</v>
      </c>
      <c r="W5" t="s">
        <v>36</v>
      </c>
      <c r="Z5" s="36"/>
      <c r="AA5" t="s">
        <v>114</v>
      </c>
      <c r="AB5" s="30">
        <v>-32</v>
      </c>
    </row>
    <row r="6" spans="1:28">
      <c r="C6" s="4"/>
      <c r="D6" s="6"/>
      <c r="E6" s="9"/>
      <c r="H6" s="15" t="s">
        <v>47</v>
      </c>
      <c r="I6" s="16">
        <f>SUM(C17:C28)</f>
        <v>-10461</v>
      </c>
      <c r="J6" s="16">
        <f>SUM(C17:C40)</f>
        <v>-20922</v>
      </c>
      <c r="L6" s="15" t="s">
        <v>47</v>
      </c>
      <c r="M6" s="16">
        <f>SUM(C44:C55)</f>
        <v>0</v>
      </c>
      <c r="N6" s="16">
        <f>SUM(C44:C67)</f>
        <v>0</v>
      </c>
      <c r="P6" s="15" t="s">
        <v>47</v>
      </c>
      <c r="Q6" s="16">
        <f t="shared" si="0"/>
        <v>-10461</v>
      </c>
      <c r="R6" s="16">
        <f t="shared" si="0"/>
        <v>-20922</v>
      </c>
      <c r="S6" s="16">
        <f>Q6/12</f>
        <v>-871.75</v>
      </c>
      <c r="U6" t="s">
        <v>37</v>
      </c>
      <c r="V6" s="13">
        <v>2.41E-2</v>
      </c>
      <c r="W6" t="s">
        <v>38</v>
      </c>
      <c r="X6" s="14" t="s">
        <v>39</v>
      </c>
      <c r="Y6" t="s">
        <v>40</v>
      </c>
      <c r="Z6" s="36"/>
      <c r="AA6" t="s">
        <v>115</v>
      </c>
      <c r="AB6" s="30">
        <v>-7</v>
      </c>
    </row>
    <row r="7" spans="1:28">
      <c r="A7" t="s">
        <v>78</v>
      </c>
      <c r="B7" s="6">
        <v>105000</v>
      </c>
      <c r="Z7" s="36"/>
      <c r="AA7" t="s">
        <v>116</v>
      </c>
      <c r="AB7" s="30">
        <v>-120</v>
      </c>
    </row>
    <row r="8" spans="1:28">
      <c r="A8" t="s">
        <v>77</v>
      </c>
      <c r="B8" s="6">
        <v>605000</v>
      </c>
      <c r="P8" s="15" t="s">
        <v>91</v>
      </c>
      <c r="Q8" s="15" t="s">
        <v>41</v>
      </c>
      <c r="R8" s="15" t="s">
        <v>42</v>
      </c>
      <c r="S8" s="15" t="s">
        <v>89</v>
      </c>
      <c r="Z8" s="36"/>
      <c r="AA8" t="s">
        <v>117</v>
      </c>
      <c r="AB8" s="30">
        <v>-78</v>
      </c>
    </row>
    <row r="9" spans="1:28">
      <c r="P9" s="15" t="s">
        <v>32</v>
      </c>
      <c r="Q9" s="16">
        <v>13970.500723196035</v>
      </c>
      <c r="R9" s="16">
        <v>27188.09619093049</v>
      </c>
      <c r="S9" s="16">
        <v>1164.2083935996695</v>
      </c>
      <c r="T9" s="28">
        <f>S9/S11</f>
        <v>0.2950095611579775</v>
      </c>
      <c r="Z9" s="36"/>
      <c r="AA9" t="s">
        <v>118</v>
      </c>
      <c r="AB9" s="30">
        <f>-2400/12</f>
        <v>-200</v>
      </c>
    </row>
    <row r="10" spans="1:28">
      <c r="H10" s="12">
        <v>2.4400000000000002E-2</v>
      </c>
      <c r="I10" s="12">
        <v>0.02</v>
      </c>
      <c r="P10" s="15" t="s">
        <v>33</v>
      </c>
      <c r="Q10" s="16">
        <v>33385.594002543512</v>
      </c>
      <c r="R10" s="16">
        <v>67524.093260548601</v>
      </c>
      <c r="S10" s="16">
        <v>2782.1328335452927</v>
      </c>
      <c r="Z10" s="36"/>
      <c r="AA10" t="s">
        <v>119</v>
      </c>
      <c r="AB10" s="30">
        <f>-200*4</f>
        <v>-800</v>
      </c>
    </row>
    <row r="11" spans="1:28">
      <c r="H11" s="12">
        <v>3.3500000000000002E-2</v>
      </c>
      <c r="I11" s="12">
        <v>2.5499999999999998E-2</v>
      </c>
      <c r="P11" s="15" t="s">
        <v>44</v>
      </c>
      <c r="Q11" s="16">
        <v>47356.094725739546</v>
      </c>
      <c r="R11" s="16">
        <v>94712.189451479106</v>
      </c>
      <c r="S11" s="16">
        <v>3946.341227144962</v>
      </c>
      <c r="T11" s="29">
        <f>S11-S4</f>
        <v>1177.9441918935172</v>
      </c>
      <c r="U11" s="30"/>
      <c r="AA11" t="s">
        <v>129</v>
      </c>
      <c r="AB11" s="30">
        <f>-9*5*4</f>
        <v>-180</v>
      </c>
    </row>
    <row r="12" spans="1:28">
      <c r="P12" s="15" t="s">
        <v>43</v>
      </c>
      <c r="Q12" s="16">
        <v>1011900.7559974564</v>
      </c>
      <c r="R12" s="16">
        <v>977762.2567394512</v>
      </c>
      <c r="S12" s="16"/>
      <c r="Z12" s="36"/>
      <c r="AA12" s="34" t="s">
        <v>120</v>
      </c>
      <c r="AB12" s="35">
        <f>SUM(AB1:AB11)</f>
        <v>-1681.1</v>
      </c>
    </row>
    <row r="13" spans="1:28">
      <c r="P13" s="15" t="s">
        <v>47</v>
      </c>
      <c r="Q13" s="16">
        <v>-8217</v>
      </c>
      <c r="R13" s="16">
        <v>-16434</v>
      </c>
      <c r="S13" s="16">
        <v>-684.75</v>
      </c>
      <c r="Z13" s="36" t="s">
        <v>121</v>
      </c>
      <c r="AA13" t="s">
        <v>127</v>
      </c>
      <c r="AB13" s="30">
        <v>-1129</v>
      </c>
    </row>
    <row r="14" spans="1:28">
      <c r="H14" t="s">
        <v>95</v>
      </c>
      <c r="Z14" s="36"/>
      <c r="AA14" t="s">
        <v>126</v>
      </c>
      <c r="AB14" s="30">
        <v>-2809</v>
      </c>
    </row>
    <row r="15" spans="1:28">
      <c r="A15" s="49" t="s">
        <v>79</v>
      </c>
      <c r="B15" s="49"/>
      <c r="C15" s="49"/>
      <c r="D15" s="49"/>
      <c r="E15" s="49"/>
      <c r="F15" s="49"/>
      <c r="H15" s="15" t="s">
        <v>92</v>
      </c>
      <c r="I15" s="15" t="s">
        <v>41</v>
      </c>
      <c r="J15" s="15" t="s">
        <v>42</v>
      </c>
      <c r="Z15" s="36"/>
      <c r="AA15" s="34" t="s">
        <v>120</v>
      </c>
      <c r="AB15" s="35">
        <f>SUM(AB13:AB14)</f>
        <v>-3938</v>
      </c>
    </row>
    <row r="16" spans="1:28">
      <c r="A16" s="4" t="s">
        <v>31</v>
      </c>
      <c r="B16" s="10" t="s">
        <v>32</v>
      </c>
      <c r="C16" t="s">
        <v>46</v>
      </c>
      <c r="D16" s="4" t="s">
        <v>33</v>
      </c>
      <c r="E16" s="6" t="s">
        <v>43</v>
      </c>
      <c r="F16" t="s">
        <v>34</v>
      </c>
      <c r="H16" s="15" t="s">
        <v>32</v>
      </c>
      <c r="I16" s="16">
        <v>25930.693612503466</v>
      </c>
      <c r="J16" s="16">
        <v>50985.684765798425</v>
      </c>
      <c r="P16" t="s">
        <v>108</v>
      </c>
      <c r="Q16">
        <f>1312000/730000</f>
        <v>1.7972602739726027</v>
      </c>
      <c r="Z16" s="36" t="s">
        <v>128</v>
      </c>
      <c r="AA16" t="s">
        <v>123</v>
      </c>
      <c r="AB16" s="30">
        <v>6000</v>
      </c>
    </row>
    <row r="17" spans="1:28">
      <c r="A17" s="11">
        <v>44155</v>
      </c>
      <c r="B17" s="6">
        <f>B3*$B$2/12</f>
        <v>780.04810791666659</v>
      </c>
      <c r="C17" s="6">
        <f>-$D$2*$B$2/12</f>
        <v>-871.75</v>
      </c>
      <c r="D17" s="6">
        <v>0</v>
      </c>
      <c r="E17" s="6">
        <f>B3-D17</f>
        <v>295286.34999999998</v>
      </c>
      <c r="F17" s="8">
        <f>D3</f>
        <v>0</v>
      </c>
      <c r="H17" s="15" t="s">
        <v>33</v>
      </c>
      <c r="I17" s="16">
        <v>27849.346387496538</v>
      </c>
      <c r="J17" s="16">
        <v>56574.395234201569</v>
      </c>
      <c r="Z17" s="36"/>
      <c r="AA17" t="s">
        <v>122</v>
      </c>
      <c r="AB17" s="30">
        <v>0</v>
      </c>
    </row>
    <row r="18" spans="1:28">
      <c r="A18" s="11">
        <v>44185</v>
      </c>
      <c r="B18" s="6">
        <f>E17*(IF(A18&gt;=$F$1,$F$2,$B$2)/12)</f>
        <v>780.04810791666659</v>
      </c>
      <c r="C18" s="6">
        <f t="shared" ref="C18:C40" si="1">-$D$2*$B$2/12</f>
        <v>-871.75</v>
      </c>
      <c r="D18" s="6">
        <v>0</v>
      </c>
      <c r="E18" s="6">
        <f>E17-D18</f>
        <v>295286.34999999998</v>
      </c>
      <c r="F18" s="6">
        <f>F17</f>
        <v>0</v>
      </c>
      <c r="H18" s="15" t="s">
        <v>44</v>
      </c>
      <c r="I18" s="16">
        <v>53780.039999999986</v>
      </c>
      <c r="J18" s="16">
        <v>107560.07999999997</v>
      </c>
      <c r="Z18" s="36"/>
      <c r="AA18" t="s">
        <v>124</v>
      </c>
      <c r="AB18" s="30">
        <v>0</v>
      </c>
    </row>
    <row r="19" spans="1:28">
      <c r="A19" s="11">
        <v>44216</v>
      </c>
      <c r="B19" s="6">
        <f t="shared" ref="B19:B40" si="2">E18*(IF(A19&gt;=$F$1,$F$2,$B$2)/12)</f>
        <v>780.04810791666659</v>
      </c>
      <c r="C19" s="6">
        <f t="shared" si="1"/>
        <v>-871.75</v>
      </c>
      <c r="D19" s="6">
        <v>0</v>
      </c>
      <c r="E19" s="6">
        <f t="shared" ref="E19:E40" si="3">E18-D19</f>
        <v>295286.34999999998</v>
      </c>
      <c r="F19" s="6">
        <f t="shared" ref="F19:F40" si="4">F18</f>
        <v>0</v>
      </c>
      <c r="H19" s="15" t="s">
        <v>43</v>
      </c>
      <c r="I19" s="16">
        <v>1001317.5736125034</v>
      </c>
      <c r="J19" s="16">
        <v>972592.52476579836</v>
      </c>
      <c r="Z19" s="36"/>
      <c r="AA19" s="34" t="s">
        <v>120</v>
      </c>
      <c r="AB19" s="35">
        <f>SUM(AB16:AB18)</f>
        <v>6000</v>
      </c>
    </row>
    <row r="20" spans="1:28">
      <c r="A20" s="11">
        <v>44247</v>
      </c>
      <c r="B20" s="6">
        <f t="shared" si="2"/>
        <v>780.04810791666659</v>
      </c>
      <c r="C20" s="6">
        <f t="shared" si="1"/>
        <v>-871.75</v>
      </c>
      <c r="D20" s="6">
        <v>0</v>
      </c>
      <c r="E20" s="6">
        <f t="shared" si="3"/>
        <v>295286.34999999998</v>
      </c>
      <c r="F20" s="6">
        <f t="shared" si="4"/>
        <v>0</v>
      </c>
      <c r="H20" s="15" t="s">
        <v>47</v>
      </c>
      <c r="I20" s="16">
        <v>-5580</v>
      </c>
      <c r="J20" s="16">
        <v>-11160</v>
      </c>
      <c r="AA20" s="32" t="s">
        <v>125</v>
      </c>
      <c r="AB20" s="33">
        <f>AB19+AB12+AB15</f>
        <v>380.89999999999964</v>
      </c>
    </row>
    <row r="21" spans="1:28">
      <c r="A21" s="11">
        <v>44275</v>
      </c>
      <c r="B21" s="6">
        <f t="shared" si="2"/>
        <v>780.04810791666659</v>
      </c>
      <c r="C21" s="6">
        <f t="shared" si="1"/>
        <v>-871.75</v>
      </c>
      <c r="D21" s="6">
        <v>0</v>
      </c>
      <c r="E21" s="6">
        <f t="shared" si="3"/>
        <v>295286.34999999998</v>
      </c>
      <c r="F21" s="6">
        <f t="shared" si="4"/>
        <v>0</v>
      </c>
    </row>
    <row r="22" spans="1:28">
      <c r="A22" s="11">
        <v>44306</v>
      </c>
      <c r="B22" s="6">
        <f t="shared" si="2"/>
        <v>780.04810791666659</v>
      </c>
      <c r="C22" s="6">
        <f t="shared" si="1"/>
        <v>-871.75</v>
      </c>
      <c r="D22" s="6">
        <v>0</v>
      </c>
      <c r="E22" s="6">
        <f t="shared" si="3"/>
        <v>295286.34999999998</v>
      </c>
      <c r="F22" s="6">
        <f t="shared" si="4"/>
        <v>0</v>
      </c>
      <c r="H22" s="15" t="s">
        <v>93</v>
      </c>
      <c r="I22" s="15" t="s">
        <v>41</v>
      </c>
      <c r="J22" s="15" t="s">
        <v>42</v>
      </c>
    </row>
    <row r="23" spans="1:28">
      <c r="A23" s="11">
        <v>44336</v>
      </c>
      <c r="B23" s="6">
        <f t="shared" si="2"/>
        <v>780.04810791666659</v>
      </c>
      <c r="C23" s="6">
        <f t="shared" si="1"/>
        <v>-871.75</v>
      </c>
      <c r="D23" s="6">
        <v>0</v>
      </c>
      <c r="E23" s="6">
        <f t="shared" si="3"/>
        <v>295286.34999999998</v>
      </c>
      <c r="F23" s="6">
        <f t="shared" si="4"/>
        <v>0</v>
      </c>
      <c r="H23" s="15" t="s">
        <v>32</v>
      </c>
      <c r="I23" s="16">
        <v>22965.626530425823</v>
      </c>
      <c r="J23" s="16">
        <v>45073.093954241464</v>
      </c>
    </row>
    <row r="24" spans="1:28">
      <c r="A24" s="11">
        <v>44367</v>
      </c>
      <c r="B24" s="6">
        <f t="shared" si="2"/>
        <v>780.04810791666659</v>
      </c>
      <c r="C24" s="6">
        <f t="shared" si="1"/>
        <v>-871.75</v>
      </c>
      <c r="D24" s="6">
        <v>0</v>
      </c>
      <c r="E24" s="6">
        <f t="shared" si="3"/>
        <v>295286.34999999998</v>
      </c>
      <c r="F24" s="6">
        <f t="shared" si="4"/>
        <v>0</v>
      </c>
      <c r="H24" s="15" t="s">
        <v>33</v>
      </c>
      <c r="I24" s="16">
        <v>30814.413469574174</v>
      </c>
      <c r="J24" s="16">
        <v>62486.986045758531</v>
      </c>
    </row>
    <row r="25" spans="1:28">
      <c r="A25" s="11">
        <v>44397</v>
      </c>
      <c r="B25" s="6">
        <f t="shared" si="2"/>
        <v>780.04810791666659</v>
      </c>
      <c r="C25" s="6">
        <f t="shared" si="1"/>
        <v>-871.75</v>
      </c>
      <c r="D25" s="6">
        <v>0</v>
      </c>
      <c r="E25" s="6">
        <f t="shared" si="3"/>
        <v>295286.34999999998</v>
      </c>
      <c r="F25" s="6">
        <f t="shared" si="4"/>
        <v>0</v>
      </c>
      <c r="H25" s="15" t="s">
        <v>44</v>
      </c>
      <c r="I25" s="16">
        <v>53780.039999999986</v>
      </c>
      <c r="J25" s="16">
        <v>107560.07999999997</v>
      </c>
    </row>
    <row r="26" spans="1:28">
      <c r="A26" s="11">
        <v>44428</v>
      </c>
      <c r="B26" s="6">
        <f t="shared" si="2"/>
        <v>780.04810791666659</v>
      </c>
      <c r="C26" s="6">
        <f t="shared" si="1"/>
        <v>-871.75</v>
      </c>
      <c r="D26" s="6">
        <v>0</v>
      </c>
      <c r="E26" s="6">
        <f t="shared" si="3"/>
        <v>295286.34999999998</v>
      </c>
      <c r="F26" s="6">
        <f t="shared" si="4"/>
        <v>0</v>
      </c>
      <c r="H26" s="15" t="s">
        <v>43</v>
      </c>
      <c r="I26" s="16">
        <v>998352.50653042574</v>
      </c>
      <c r="J26" s="16">
        <v>966679.93395424134</v>
      </c>
    </row>
    <row r="27" spans="1:28">
      <c r="A27" s="11">
        <v>44459</v>
      </c>
      <c r="B27" s="6">
        <f t="shared" si="2"/>
        <v>780.04810791666659</v>
      </c>
      <c r="C27" s="6">
        <f t="shared" si="1"/>
        <v>-871.75</v>
      </c>
      <c r="D27" s="6">
        <v>0</v>
      </c>
      <c r="E27" s="6">
        <f t="shared" si="3"/>
        <v>295286.34999999998</v>
      </c>
      <c r="F27" s="6">
        <f t="shared" si="4"/>
        <v>0</v>
      </c>
      <c r="H27" s="15" t="s">
        <v>47</v>
      </c>
      <c r="I27" s="16">
        <v>-4950</v>
      </c>
      <c r="J27" s="16">
        <v>-9900</v>
      </c>
    </row>
    <row r="28" spans="1:28">
      <c r="A28" s="17">
        <v>44489</v>
      </c>
      <c r="B28" s="6">
        <f t="shared" si="2"/>
        <v>780.04810791666659</v>
      </c>
      <c r="C28" s="6">
        <f t="shared" si="1"/>
        <v>-871.75</v>
      </c>
      <c r="D28" s="6">
        <v>0</v>
      </c>
      <c r="E28" s="6">
        <f t="shared" si="3"/>
        <v>295286.34999999998</v>
      </c>
      <c r="F28" s="6">
        <f t="shared" si="4"/>
        <v>0</v>
      </c>
    </row>
    <row r="29" spans="1:28">
      <c r="A29" s="11">
        <v>44520</v>
      </c>
      <c r="B29" s="6">
        <f t="shared" si="2"/>
        <v>780.04810791666659</v>
      </c>
      <c r="C29" s="6">
        <f t="shared" si="1"/>
        <v>-871.75</v>
      </c>
      <c r="D29" s="6">
        <v>0</v>
      </c>
      <c r="E29" s="6">
        <f t="shared" si="3"/>
        <v>295286.34999999998</v>
      </c>
      <c r="F29" s="6">
        <f t="shared" si="4"/>
        <v>0</v>
      </c>
      <c r="H29" s="15" t="s">
        <v>94</v>
      </c>
      <c r="I29" s="15" t="s">
        <v>41</v>
      </c>
      <c r="J29" s="15" t="s">
        <v>42</v>
      </c>
    </row>
    <row r="30" spans="1:28">
      <c r="A30" s="11">
        <v>44550</v>
      </c>
      <c r="B30" s="6">
        <f t="shared" si="2"/>
        <v>780.04810791666659</v>
      </c>
      <c r="C30" s="6">
        <f t="shared" si="1"/>
        <v>-871.75</v>
      </c>
      <c r="D30" s="6">
        <v>0</v>
      </c>
      <c r="E30" s="6">
        <f t="shared" si="3"/>
        <v>295286.34999999998</v>
      </c>
      <c r="F30" s="6">
        <f t="shared" si="4"/>
        <v>0</v>
      </c>
      <c r="H30" s="15" t="s">
        <v>32</v>
      </c>
      <c r="I30" s="16">
        <v>19688.491168866349</v>
      </c>
      <c r="J30" s="16">
        <v>38530.816968820589</v>
      </c>
    </row>
    <row r="31" spans="1:28">
      <c r="A31" s="11">
        <v>44581</v>
      </c>
      <c r="B31" s="6">
        <f t="shared" si="2"/>
        <v>780.04810791666659</v>
      </c>
      <c r="C31" s="6">
        <f t="shared" si="1"/>
        <v>-871.75</v>
      </c>
      <c r="D31" s="6">
        <v>0</v>
      </c>
      <c r="E31" s="6">
        <f t="shared" si="3"/>
        <v>295286.34999999998</v>
      </c>
      <c r="F31" s="6">
        <f t="shared" si="4"/>
        <v>0</v>
      </c>
      <c r="H31" s="15" t="s">
        <v>33</v>
      </c>
      <c r="I31" s="16">
        <v>34091.548831133652</v>
      </c>
      <c r="J31" s="16">
        <v>69029.26303117942</v>
      </c>
    </row>
    <row r="32" spans="1:28">
      <c r="A32" s="11">
        <v>44612</v>
      </c>
      <c r="B32" s="6">
        <f t="shared" si="2"/>
        <v>780.04810791666659</v>
      </c>
      <c r="C32" s="6">
        <f t="shared" si="1"/>
        <v>-871.75</v>
      </c>
      <c r="D32" s="6">
        <v>0</v>
      </c>
      <c r="E32" s="6">
        <f t="shared" si="3"/>
        <v>295286.34999999998</v>
      </c>
      <c r="F32" s="6">
        <f t="shared" si="4"/>
        <v>0</v>
      </c>
      <c r="H32" s="15" t="s">
        <v>44</v>
      </c>
      <c r="I32" s="16">
        <v>53780.040000000008</v>
      </c>
      <c r="J32" s="16">
        <v>107560.08000000006</v>
      </c>
    </row>
    <row r="33" spans="1:10">
      <c r="A33" s="11">
        <v>44640</v>
      </c>
      <c r="B33" s="6">
        <f t="shared" si="2"/>
        <v>780.04810791666659</v>
      </c>
      <c r="C33" s="6">
        <f t="shared" si="1"/>
        <v>-871.75</v>
      </c>
      <c r="D33" s="6">
        <v>0</v>
      </c>
      <c r="E33" s="6">
        <f t="shared" si="3"/>
        <v>295286.34999999998</v>
      </c>
      <c r="F33" s="6">
        <f t="shared" si="4"/>
        <v>0</v>
      </c>
      <c r="H33" s="15" t="s">
        <v>43</v>
      </c>
      <c r="I33" s="16">
        <v>995075.37116886629</v>
      </c>
      <c r="J33" s="16">
        <v>960137.65696882061</v>
      </c>
    </row>
    <row r="34" spans="1:10">
      <c r="A34" s="11">
        <v>44671</v>
      </c>
      <c r="B34" s="6">
        <f t="shared" si="2"/>
        <v>780.04810791666659</v>
      </c>
      <c r="C34" s="6">
        <f t="shared" si="1"/>
        <v>-871.75</v>
      </c>
      <c r="D34" s="6">
        <v>0</v>
      </c>
      <c r="E34" s="6">
        <f t="shared" si="3"/>
        <v>295286.34999999998</v>
      </c>
      <c r="F34" s="6">
        <f t="shared" si="4"/>
        <v>0</v>
      </c>
      <c r="H34" s="15" t="s">
        <v>47</v>
      </c>
      <c r="I34" s="16">
        <v>-4950</v>
      </c>
      <c r="J34" s="16">
        <v>-9900</v>
      </c>
    </row>
    <row r="35" spans="1:10">
      <c r="A35" s="11">
        <v>44701</v>
      </c>
      <c r="B35" s="6">
        <f t="shared" si="2"/>
        <v>780.04810791666659</v>
      </c>
      <c r="C35" s="6">
        <f t="shared" si="1"/>
        <v>-871.75</v>
      </c>
      <c r="D35" s="6">
        <v>0</v>
      </c>
      <c r="E35" s="6">
        <f t="shared" si="3"/>
        <v>295286.34999999998</v>
      </c>
      <c r="F35" s="6">
        <f t="shared" si="4"/>
        <v>0</v>
      </c>
    </row>
    <row r="36" spans="1:10">
      <c r="A36" s="11">
        <v>44732</v>
      </c>
      <c r="B36" s="6">
        <f t="shared" si="2"/>
        <v>780.04810791666659</v>
      </c>
      <c r="C36" s="6">
        <f t="shared" si="1"/>
        <v>-871.75</v>
      </c>
      <c r="D36" s="6">
        <v>0</v>
      </c>
      <c r="E36" s="6">
        <f t="shared" si="3"/>
        <v>295286.34999999998</v>
      </c>
      <c r="F36" s="6">
        <f t="shared" si="4"/>
        <v>0</v>
      </c>
    </row>
    <row r="37" spans="1:10">
      <c r="A37" s="11">
        <v>44762</v>
      </c>
      <c r="B37" s="6">
        <f t="shared" si="2"/>
        <v>780.04810791666659</v>
      </c>
      <c r="C37" s="6">
        <f t="shared" si="1"/>
        <v>-871.75</v>
      </c>
      <c r="D37" s="6">
        <v>0</v>
      </c>
      <c r="E37" s="6">
        <f t="shared" si="3"/>
        <v>295286.34999999998</v>
      </c>
      <c r="F37" s="6">
        <f t="shared" si="4"/>
        <v>0</v>
      </c>
    </row>
    <row r="38" spans="1:10">
      <c r="A38" s="11">
        <v>44793</v>
      </c>
      <c r="B38" s="6">
        <f t="shared" si="2"/>
        <v>780.04810791666659</v>
      </c>
      <c r="C38" s="6">
        <f t="shared" si="1"/>
        <v>-871.75</v>
      </c>
      <c r="D38" s="6">
        <v>0</v>
      </c>
      <c r="E38" s="6">
        <f t="shared" si="3"/>
        <v>295286.34999999998</v>
      </c>
      <c r="F38" s="6">
        <f t="shared" si="4"/>
        <v>0</v>
      </c>
    </row>
    <row r="39" spans="1:10">
      <c r="A39" s="11">
        <v>44824</v>
      </c>
      <c r="B39" s="6">
        <f t="shared" si="2"/>
        <v>780.04810791666659</v>
      </c>
      <c r="C39" s="6">
        <f t="shared" si="1"/>
        <v>-871.75</v>
      </c>
      <c r="D39" s="6">
        <v>0</v>
      </c>
      <c r="E39" s="6">
        <f t="shared" si="3"/>
        <v>295286.34999999998</v>
      </c>
      <c r="F39" s="6">
        <f t="shared" si="4"/>
        <v>0</v>
      </c>
    </row>
    <row r="40" spans="1:10">
      <c r="A40" s="11">
        <v>44854</v>
      </c>
      <c r="B40" s="6">
        <f t="shared" si="2"/>
        <v>780.04810791666659</v>
      </c>
      <c r="C40" s="6">
        <f t="shared" si="1"/>
        <v>-871.75</v>
      </c>
      <c r="D40" s="6">
        <v>0</v>
      </c>
      <c r="E40" s="6">
        <f t="shared" si="3"/>
        <v>295286.34999999998</v>
      </c>
      <c r="F40" s="6">
        <f t="shared" si="4"/>
        <v>0</v>
      </c>
    </row>
    <row r="42" spans="1:10">
      <c r="A42" s="49" t="s">
        <v>85</v>
      </c>
      <c r="B42" s="49"/>
      <c r="C42" s="49"/>
      <c r="D42" s="49"/>
      <c r="E42" s="49"/>
      <c r="F42" s="49"/>
    </row>
    <row r="43" spans="1:10">
      <c r="A43" s="4" t="s">
        <v>31</v>
      </c>
      <c r="B43" s="10" t="s">
        <v>32</v>
      </c>
      <c r="C43" t="s">
        <v>46</v>
      </c>
      <c r="D43" s="4" t="s">
        <v>33</v>
      </c>
      <c r="E43" s="6" t="s">
        <v>43</v>
      </c>
      <c r="F43" t="s">
        <v>34</v>
      </c>
    </row>
    <row r="44" spans="1:10">
      <c r="A44" s="11">
        <v>44155</v>
      </c>
      <c r="B44" s="6">
        <f>B4*$F$3/12</f>
        <v>1243.75</v>
      </c>
      <c r="C44" s="6">
        <v>0</v>
      </c>
      <c r="D44" s="6">
        <f>F44-B44-C44</f>
        <v>1524.6470352514457</v>
      </c>
      <c r="E44" s="6">
        <f>B4-D44</f>
        <v>748475.35296474851</v>
      </c>
      <c r="F44" s="19">
        <f>D4</f>
        <v>2768.3970352514457</v>
      </c>
    </row>
    <row r="45" spans="1:10">
      <c r="A45" s="11">
        <v>44185</v>
      </c>
      <c r="B45" s="6">
        <f>E44*(IF(A45&gt;=$F$1,$F$4,$F$3)/12)</f>
        <v>1241.2216269998748</v>
      </c>
      <c r="C45" s="6">
        <v>0</v>
      </c>
      <c r="D45" s="6">
        <f t="shared" ref="D45:D67" si="5">F45-B45-C45</f>
        <v>1527.1754082515708</v>
      </c>
      <c r="E45" s="6">
        <f>E44-D45</f>
        <v>746948.17755649693</v>
      </c>
      <c r="F45" s="6">
        <f>F44</f>
        <v>2768.3970352514457</v>
      </c>
    </row>
    <row r="46" spans="1:10">
      <c r="A46" s="11">
        <v>44216</v>
      </c>
      <c r="B46" s="6">
        <f t="shared" ref="B46:B67" si="6">E45*(IF(A46&gt;=$F$1,$F$4,$F$3)/12)</f>
        <v>1238.6890611145243</v>
      </c>
      <c r="C46" s="6">
        <v>0</v>
      </c>
      <c r="D46" s="6">
        <f t="shared" si="5"/>
        <v>1529.7079741369214</v>
      </c>
      <c r="E46" s="6">
        <f t="shared" ref="E46:E67" si="7">E45-D46</f>
        <v>745418.46958236001</v>
      </c>
      <c r="F46" s="6">
        <f t="shared" ref="F46:F67" si="8">F45</f>
        <v>2768.3970352514457</v>
      </c>
    </row>
    <row r="47" spans="1:10">
      <c r="A47" s="11">
        <v>44247</v>
      </c>
      <c r="B47" s="6">
        <f t="shared" si="6"/>
        <v>1236.1522953907472</v>
      </c>
      <c r="C47" s="6">
        <v>0</v>
      </c>
      <c r="D47" s="6">
        <f t="shared" si="5"/>
        <v>1532.2447398606985</v>
      </c>
      <c r="E47" s="6">
        <f t="shared" si="7"/>
        <v>743886.22484249936</v>
      </c>
      <c r="F47" s="6">
        <f t="shared" si="8"/>
        <v>2768.3970352514457</v>
      </c>
    </row>
    <row r="48" spans="1:10">
      <c r="A48" s="11">
        <v>44275</v>
      </c>
      <c r="B48" s="6">
        <f t="shared" si="6"/>
        <v>1233.6113228638117</v>
      </c>
      <c r="C48" s="6">
        <v>0</v>
      </c>
      <c r="D48" s="6">
        <f t="shared" si="5"/>
        <v>1534.785712387634</v>
      </c>
      <c r="E48" s="6">
        <f t="shared" si="7"/>
        <v>742351.43913011171</v>
      </c>
      <c r="F48" s="6">
        <f t="shared" si="8"/>
        <v>2768.3970352514457</v>
      </c>
    </row>
    <row r="49" spans="1:6">
      <c r="A49" s="11">
        <v>44306</v>
      </c>
      <c r="B49" s="6">
        <f t="shared" si="6"/>
        <v>1231.0661365574354</v>
      </c>
      <c r="C49" s="6">
        <v>0</v>
      </c>
      <c r="D49" s="6">
        <f t="shared" si="5"/>
        <v>1537.3308986940103</v>
      </c>
      <c r="E49" s="6">
        <f t="shared" si="7"/>
        <v>740814.10823141772</v>
      </c>
      <c r="F49" s="6">
        <f t="shared" si="8"/>
        <v>2768.3970352514457</v>
      </c>
    </row>
    <row r="50" spans="1:6">
      <c r="A50" s="11">
        <v>44336</v>
      </c>
      <c r="B50" s="6">
        <f t="shared" si="6"/>
        <v>1228.5167294837679</v>
      </c>
      <c r="C50" s="6">
        <v>0</v>
      </c>
      <c r="D50" s="6">
        <f t="shared" si="5"/>
        <v>1539.8803057676778</v>
      </c>
      <c r="E50" s="6">
        <f t="shared" si="7"/>
        <v>739274.22792565008</v>
      </c>
      <c r="F50" s="6">
        <f t="shared" si="8"/>
        <v>2768.3970352514457</v>
      </c>
    </row>
    <row r="51" spans="1:6">
      <c r="A51" s="11">
        <v>44367</v>
      </c>
      <c r="B51" s="6">
        <f t="shared" si="6"/>
        <v>1225.9630946433699</v>
      </c>
      <c r="C51" s="6">
        <v>0</v>
      </c>
      <c r="D51" s="6">
        <f t="shared" si="5"/>
        <v>1542.4339406080758</v>
      </c>
      <c r="E51" s="6">
        <f t="shared" si="7"/>
        <v>737731.79398504202</v>
      </c>
      <c r="F51" s="6">
        <f t="shared" si="8"/>
        <v>2768.3970352514457</v>
      </c>
    </row>
    <row r="52" spans="1:6">
      <c r="A52" s="11">
        <v>44397</v>
      </c>
      <c r="B52" s="6">
        <f t="shared" si="6"/>
        <v>1223.4052250251948</v>
      </c>
      <c r="C52" s="6">
        <v>0</v>
      </c>
      <c r="D52" s="6">
        <f t="shared" si="5"/>
        <v>1544.9918102262509</v>
      </c>
      <c r="E52" s="6">
        <f t="shared" si="7"/>
        <v>736186.80217481579</v>
      </c>
      <c r="F52" s="6">
        <f t="shared" si="8"/>
        <v>2768.3970352514457</v>
      </c>
    </row>
    <row r="53" spans="1:6">
      <c r="A53" s="11">
        <v>44428</v>
      </c>
      <c r="B53" s="6">
        <f t="shared" si="6"/>
        <v>1220.8431136065697</v>
      </c>
      <c r="C53" s="6">
        <v>0</v>
      </c>
      <c r="D53" s="6">
        <f t="shared" si="5"/>
        <v>1547.553921644876</v>
      </c>
      <c r="E53" s="6">
        <f t="shared" si="7"/>
        <v>734639.24825317087</v>
      </c>
      <c r="F53" s="6">
        <f t="shared" si="8"/>
        <v>2768.3970352514457</v>
      </c>
    </row>
    <row r="54" spans="1:6">
      <c r="A54" s="11">
        <v>44459</v>
      </c>
      <c r="B54" s="6">
        <f t="shared" si="6"/>
        <v>1218.2767533531751</v>
      </c>
      <c r="C54" s="6">
        <v>0</v>
      </c>
      <c r="D54" s="6">
        <f t="shared" si="5"/>
        <v>1550.1202818982706</v>
      </c>
      <c r="E54" s="6">
        <f t="shared" si="7"/>
        <v>733089.12797127257</v>
      </c>
      <c r="F54" s="6">
        <f t="shared" si="8"/>
        <v>2768.3970352514457</v>
      </c>
    </row>
    <row r="55" spans="1:6">
      <c r="A55" s="17">
        <v>44489</v>
      </c>
      <c r="B55" s="6">
        <f t="shared" si="6"/>
        <v>1215.7061372190271</v>
      </c>
      <c r="C55" s="6">
        <v>0</v>
      </c>
      <c r="D55" s="6">
        <f t="shared" si="5"/>
        <v>1552.6908980324185</v>
      </c>
      <c r="E55" s="6">
        <f t="shared" si="7"/>
        <v>731536.43707324017</v>
      </c>
      <c r="F55" s="6">
        <f t="shared" si="8"/>
        <v>2768.3970352514457</v>
      </c>
    </row>
    <row r="56" spans="1:6">
      <c r="A56" s="11">
        <v>44520</v>
      </c>
      <c r="B56" s="6">
        <f t="shared" si="6"/>
        <v>1213.1312581464567</v>
      </c>
      <c r="C56" s="6">
        <v>0</v>
      </c>
      <c r="D56" s="6">
        <f t="shared" si="5"/>
        <v>1555.265777104989</v>
      </c>
      <c r="E56" s="6">
        <f t="shared" si="7"/>
        <v>729981.17129613517</v>
      </c>
      <c r="F56" s="6">
        <f t="shared" si="8"/>
        <v>2768.3970352514457</v>
      </c>
    </row>
    <row r="57" spans="1:6">
      <c r="A57" s="11">
        <v>44550</v>
      </c>
      <c r="B57" s="6">
        <f t="shared" si="6"/>
        <v>1210.5521090660909</v>
      </c>
      <c r="C57" s="6">
        <v>0</v>
      </c>
      <c r="D57" s="6">
        <f t="shared" si="5"/>
        <v>1557.8449261853548</v>
      </c>
      <c r="E57" s="6">
        <f t="shared" si="7"/>
        <v>728423.32636994985</v>
      </c>
      <c r="F57" s="6">
        <f t="shared" si="8"/>
        <v>2768.3970352514457</v>
      </c>
    </row>
    <row r="58" spans="1:6">
      <c r="A58" s="11">
        <v>44581</v>
      </c>
      <c r="B58" s="6">
        <f t="shared" si="6"/>
        <v>1207.9686828968336</v>
      </c>
      <c r="C58" s="6">
        <v>0</v>
      </c>
      <c r="D58" s="6">
        <f t="shared" si="5"/>
        <v>1560.4283523546121</v>
      </c>
      <c r="E58" s="6">
        <f t="shared" si="7"/>
        <v>726862.89801759529</v>
      </c>
      <c r="F58" s="6">
        <f t="shared" si="8"/>
        <v>2768.3970352514457</v>
      </c>
    </row>
    <row r="59" spans="1:6">
      <c r="A59" s="11">
        <v>44612</v>
      </c>
      <c r="B59" s="6">
        <f t="shared" si="6"/>
        <v>1205.3809725458457</v>
      </c>
      <c r="C59" s="6">
        <v>0</v>
      </c>
      <c r="D59" s="6">
        <f t="shared" si="5"/>
        <v>1563.0160627056</v>
      </c>
      <c r="E59" s="6">
        <f t="shared" si="7"/>
        <v>725299.88195488974</v>
      </c>
      <c r="F59" s="6">
        <f t="shared" si="8"/>
        <v>2768.3970352514457</v>
      </c>
    </row>
    <row r="60" spans="1:6">
      <c r="A60" s="11">
        <v>44640</v>
      </c>
      <c r="B60" s="6">
        <f t="shared" si="6"/>
        <v>1202.7889709085257</v>
      </c>
      <c r="C60" s="6">
        <v>0</v>
      </c>
      <c r="D60" s="6">
        <f t="shared" si="5"/>
        <v>1565.60806434292</v>
      </c>
      <c r="E60" s="6">
        <f t="shared" si="7"/>
        <v>723734.27389054687</v>
      </c>
      <c r="F60" s="6">
        <f t="shared" si="8"/>
        <v>2768.3970352514457</v>
      </c>
    </row>
    <row r="61" spans="1:6">
      <c r="A61" s="11">
        <v>44671</v>
      </c>
      <c r="B61" s="6">
        <f t="shared" si="6"/>
        <v>1200.1926708684903</v>
      </c>
      <c r="C61" s="6">
        <v>0</v>
      </c>
      <c r="D61" s="6">
        <f t="shared" si="5"/>
        <v>1568.2043643829554</v>
      </c>
      <c r="E61" s="6">
        <f t="shared" si="7"/>
        <v>722166.06952616386</v>
      </c>
      <c r="F61" s="6">
        <f t="shared" si="8"/>
        <v>2768.3970352514457</v>
      </c>
    </row>
    <row r="62" spans="1:6">
      <c r="A62" s="11">
        <v>44701</v>
      </c>
      <c r="B62" s="6">
        <f t="shared" si="6"/>
        <v>1197.5920652975551</v>
      </c>
      <c r="C62" s="6">
        <v>0</v>
      </c>
      <c r="D62" s="6">
        <f t="shared" si="5"/>
        <v>1570.8049699538906</v>
      </c>
      <c r="E62" s="6">
        <f t="shared" si="7"/>
        <v>720595.26455621002</v>
      </c>
      <c r="F62" s="6">
        <f t="shared" si="8"/>
        <v>2768.3970352514457</v>
      </c>
    </row>
    <row r="63" spans="1:6">
      <c r="A63" s="11">
        <v>44732</v>
      </c>
      <c r="B63" s="6">
        <f t="shared" si="6"/>
        <v>1194.987147055715</v>
      </c>
      <c r="C63" s="6">
        <v>0</v>
      </c>
      <c r="D63" s="6">
        <f t="shared" si="5"/>
        <v>1573.4098881957307</v>
      </c>
      <c r="E63" s="6">
        <f t="shared" si="7"/>
        <v>719021.85466801433</v>
      </c>
      <c r="F63" s="6">
        <f t="shared" si="8"/>
        <v>2768.3970352514457</v>
      </c>
    </row>
    <row r="64" spans="1:6">
      <c r="A64" s="11">
        <v>44762</v>
      </c>
      <c r="B64" s="6">
        <f t="shared" si="6"/>
        <v>1192.3779089911238</v>
      </c>
      <c r="C64" s="6">
        <v>0</v>
      </c>
      <c r="D64" s="6">
        <f t="shared" si="5"/>
        <v>1576.0191262603219</v>
      </c>
      <c r="E64" s="6">
        <f t="shared" si="7"/>
        <v>717445.83554175403</v>
      </c>
      <c r="F64" s="6">
        <f t="shared" si="8"/>
        <v>2768.3970352514457</v>
      </c>
    </row>
    <row r="65" spans="1:6">
      <c r="A65" s="11">
        <v>44793</v>
      </c>
      <c r="B65" s="6">
        <f t="shared" si="6"/>
        <v>1189.7643439400756</v>
      </c>
      <c r="C65" s="6">
        <v>0</v>
      </c>
      <c r="D65" s="6">
        <f t="shared" si="5"/>
        <v>1578.6326913113701</v>
      </c>
      <c r="E65" s="6">
        <f t="shared" si="7"/>
        <v>715867.20285044261</v>
      </c>
      <c r="F65" s="6">
        <f t="shared" si="8"/>
        <v>2768.3970352514457</v>
      </c>
    </row>
    <row r="66" spans="1:6">
      <c r="A66" s="11">
        <v>44824</v>
      </c>
      <c r="B66" s="6">
        <f t="shared" si="6"/>
        <v>1187.1464447269841</v>
      </c>
      <c r="C66" s="6">
        <v>0</v>
      </c>
      <c r="D66" s="6">
        <f t="shared" si="5"/>
        <v>1581.2505905244616</v>
      </c>
      <c r="E66" s="6">
        <f t="shared" si="7"/>
        <v>714285.95225991821</v>
      </c>
      <c r="F66" s="6">
        <f t="shared" si="8"/>
        <v>2768.3970352514457</v>
      </c>
    </row>
    <row r="67" spans="1:6">
      <c r="A67" s="11">
        <v>44854</v>
      </c>
      <c r="B67" s="6">
        <f t="shared" si="6"/>
        <v>1184.5242041643644</v>
      </c>
      <c r="C67" s="6">
        <v>0</v>
      </c>
      <c r="D67" s="6">
        <f t="shared" si="5"/>
        <v>1583.8728310870813</v>
      </c>
      <c r="E67" s="6">
        <f t="shared" si="7"/>
        <v>712702.07942883112</v>
      </c>
      <c r="F67" s="6">
        <f t="shared" si="8"/>
        <v>2768.3970352514457</v>
      </c>
    </row>
  </sheetData>
  <mergeCells count="2">
    <mergeCell ref="A15:F15"/>
    <mergeCell ref="A42:F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9534-7C07-4D78-9719-4CAFDC482D06}">
  <dimension ref="A1:N5"/>
  <sheetViews>
    <sheetView workbookViewId="0">
      <selection activeCell="B63" sqref="B63"/>
    </sheetView>
  </sheetViews>
  <sheetFormatPr baseColWidth="10" defaultColWidth="8.83203125" defaultRowHeight="16"/>
  <cols>
    <col min="1" max="1" width="23.6640625" bestFit="1" customWidth="1"/>
    <col min="2" max="2" width="76.1640625" bestFit="1" customWidth="1"/>
    <col min="4" max="4" width="23.6640625" bestFit="1" customWidth="1"/>
    <col min="5" max="5" width="73.5" bestFit="1" customWidth="1"/>
  </cols>
  <sheetData>
    <row r="1" spans="1:14">
      <c r="A1" t="s">
        <v>48</v>
      </c>
      <c r="C1" t="s">
        <v>62</v>
      </c>
      <c r="D1" t="s">
        <v>49</v>
      </c>
      <c r="E1" t="s">
        <v>51</v>
      </c>
      <c r="F1" t="s">
        <v>62</v>
      </c>
      <c r="N1" t="s">
        <v>63</v>
      </c>
    </row>
    <row r="2" spans="1:14">
      <c r="A2" t="s">
        <v>53</v>
      </c>
      <c r="B2" s="18" t="s">
        <v>56</v>
      </c>
      <c r="C2">
        <v>29.88</v>
      </c>
      <c r="D2" t="s">
        <v>50</v>
      </c>
      <c r="E2" t="s">
        <v>52</v>
      </c>
      <c r="M2">
        <v>1</v>
      </c>
      <c r="N2" t="s">
        <v>64</v>
      </c>
    </row>
    <row r="3" spans="1:14">
      <c r="D3" t="s">
        <v>59</v>
      </c>
      <c r="M3">
        <v>2</v>
      </c>
      <c r="N3" t="s">
        <v>65</v>
      </c>
    </row>
    <row r="4" spans="1:14">
      <c r="A4" t="s">
        <v>57</v>
      </c>
      <c r="B4" s="18" t="s">
        <v>58</v>
      </c>
      <c r="D4" t="s">
        <v>54</v>
      </c>
      <c r="E4" s="18" t="s">
        <v>55</v>
      </c>
      <c r="F4">
        <v>9.5</v>
      </c>
      <c r="M4">
        <v>3</v>
      </c>
      <c r="N4" t="s">
        <v>66</v>
      </c>
    </row>
    <row r="5" spans="1:14">
      <c r="D5" t="s">
        <v>60</v>
      </c>
      <c r="E5" s="18" t="s">
        <v>61</v>
      </c>
      <c r="F5">
        <v>5.45</v>
      </c>
      <c r="M5">
        <v>4</v>
      </c>
      <c r="N5" t="s">
        <v>67</v>
      </c>
    </row>
  </sheetData>
  <hyperlinks>
    <hyperlink ref="E4" r:id="rId1" xr:uid="{463DB3C0-D822-4E9D-831E-B92BF12D5358}"/>
    <hyperlink ref="B2" r:id="rId2" xr:uid="{9C4131D7-229D-4479-A4BA-EFAAA0565335}"/>
    <hyperlink ref="B4" r:id="rId3" xr:uid="{F4FFF0F3-38B0-459A-A5B2-30DCB20C3E67}"/>
    <hyperlink ref="E5" r:id="rId4" xr:uid="{C34B0E0D-6668-4382-9333-5299DDD33F0B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FEE-588A-BE47-A4BC-FFFB0C0E929A}">
  <dimension ref="A1:N7"/>
  <sheetViews>
    <sheetView workbookViewId="0">
      <selection activeCell="D39" sqref="D39"/>
    </sheetView>
  </sheetViews>
  <sheetFormatPr baseColWidth="10" defaultRowHeight="16"/>
  <cols>
    <col min="1" max="1" width="8.83203125" bestFit="1" customWidth="1"/>
    <col min="2" max="2" width="14.5" bestFit="1" customWidth="1"/>
    <col min="3" max="3" width="11.5" bestFit="1" customWidth="1"/>
    <col min="4" max="4" width="9" bestFit="1" customWidth="1"/>
    <col min="5" max="5" width="11.5" bestFit="1" customWidth="1"/>
    <col min="6" max="7" width="11.5" customWidth="1"/>
    <col min="8" max="8" width="13.33203125" style="39" bestFit="1" customWidth="1"/>
    <col min="9" max="9" width="10.83203125" style="28"/>
    <col min="13" max="13" width="16.6640625" style="37" bestFit="1" customWidth="1"/>
  </cols>
  <sheetData>
    <row r="1" spans="1:14">
      <c r="A1" s="52" t="s">
        <v>130</v>
      </c>
      <c r="B1" s="41" t="s">
        <v>131</v>
      </c>
      <c r="C1" s="51" t="s">
        <v>132</v>
      </c>
      <c r="D1" s="51"/>
      <c r="E1" s="42" t="s">
        <v>133</v>
      </c>
      <c r="F1" s="42" t="s">
        <v>137</v>
      </c>
      <c r="G1" s="53" t="s">
        <v>139</v>
      </c>
      <c r="H1" s="54" t="s">
        <v>108</v>
      </c>
      <c r="I1" s="55" t="s">
        <v>136</v>
      </c>
      <c r="M1" s="37" t="s">
        <v>140</v>
      </c>
      <c r="N1" s="38">
        <f>SUM(M:M)</f>
        <v>220000</v>
      </c>
    </row>
    <row r="2" spans="1:14">
      <c r="A2" s="52"/>
      <c r="B2" s="40" t="s">
        <v>45</v>
      </c>
      <c r="C2" s="40" t="s">
        <v>134</v>
      </c>
      <c r="D2" s="40" t="s">
        <v>135</v>
      </c>
      <c r="E2" s="43" t="s">
        <v>121</v>
      </c>
      <c r="F2" s="43" t="s">
        <v>138</v>
      </c>
      <c r="G2" s="53"/>
      <c r="H2" s="54"/>
      <c r="I2" s="55"/>
      <c r="L2" t="s">
        <v>141</v>
      </c>
      <c r="M2" s="37">
        <v>60000</v>
      </c>
    </row>
    <row r="3" spans="1:14">
      <c r="A3" s="11">
        <v>43800</v>
      </c>
      <c r="B3" s="37">
        <v>680000</v>
      </c>
      <c r="C3" s="37">
        <v>0</v>
      </c>
      <c r="D3" s="37">
        <v>0</v>
      </c>
      <c r="E3" s="37">
        <v>0</v>
      </c>
      <c r="F3" s="37">
        <f>SUM(B3:D3)-E3</f>
        <v>680000</v>
      </c>
      <c r="G3" s="37">
        <f>E3+F3</f>
        <v>680000</v>
      </c>
      <c r="H3" s="39">
        <f>E3/F3</f>
        <v>0</v>
      </c>
      <c r="I3" s="28">
        <f>E3/SUM(E3:F3)</f>
        <v>0</v>
      </c>
      <c r="L3" t="s">
        <v>142</v>
      </c>
      <c r="M3" s="37">
        <v>81000</v>
      </c>
    </row>
    <row r="4" spans="1:14">
      <c r="A4" s="11">
        <v>43830</v>
      </c>
      <c r="B4" s="37">
        <v>350000</v>
      </c>
      <c r="C4" s="37">
        <v>1312000</v>
      </c>
      <c r="D4" s="37">
        <v>0</v>
      </c>
      <c r="E4" s="37">
        <v>1050000</v>
      </c>
      <c r="F4" s="37">
        <f t="shared" ref="F4:F6" si="0">SUM(B4:D4)-E4</f>
        <v>612000</v>
      </c>
      <c r="G4" s="37">
        <f t="shared" ref="G4:G6" si="1">E4+F4</f>
        <v>1662000</v>
      </c>
      <c r="H4" s="39">
        <f>E4/F4</f>
        <v>1.7156862745098038</v>
      </c>
      <c r="I4" s="28">
        <f>E4/SUM(E4:F4)</f>
        <v>0.63176895306859204</v>
      </c>
      <c r="L4" t="s">
        <v>143</v>
      </c>
      <c r="M4" s="37">
        <v>79000</v>
      </c>
    </row>
    <row r="5" spans="1:14">
      <c r="A5" s="11">
        <v>43913</v>
      </c>
      <c r="B5" s="37">
        <f>350000+74990</f>
        <v>424990</v>
      </c>
      <c r="C5" s="37">
        <v>1312000</v>
      </c>
      <c r="D5" s="37">
        <v>0</v>
      </c>
      <c r="E5" s="37">
        <v>1050000</v>
      </c>
      <c r="F5" s="37">
        <f t="shared" ref="F5" si="2">SUM(B5:D5)-E5</f>
        <v>686990</v>
      </c>
      <c r="G5" s="37">
        <f t="shared" ref="G5" si="3">E5+F5</f>
        <v>1736990</v>
      </c>
      <c r="H5" s="39">
        <f>E5/F5</f>
        <v>1.5284065270236831</v>
      </c>
      <c r="I5" s="28">
        <f>E5/SUM(E5:F5)</f>
        <v>0.60449398096707518</v>
      </c>
    </row>
    <row r="6" spans="1:14">
      <c r="A6" s="11">
        <v>44289</v>
      </c>
      <c r="B6" s="37">
        <f>293656.71-3880*(1+DATEDIF(A6,'Refinance Calculator'!$A$17,"m"))</f>
        <v>289776.71000000002</v>
      </c>
      <c r="C6" s="37">
        <v>1400000</v>
      </c>
      <c r="D6" s="37">
        <v>90000</v>
      </c>
      <c r="E6" s="37">
        <f>VLOOKUP(A6,'Refinance Calculator'!A17:E40,5,0)+VLOOKUP(A6,'Refinance Calculator'!A43:E67,5,0)</f>
        <v>1040147.05</v>
      </c>
      <c r="F6" s="37">
        <f t="shared" si="0"/>
        <v>739629.65999999992</v>
      </c>
      <c r="G6" s="37">
        <f t="shared" si="1"/>
        <v>1779776.71</v>
      </c>
      <c r="H6" s="39">
        <f>E6/F6</f>
        <v>1.4063079217239614</v>
      </c>
      <c r="I6" s="28">
        <f>E6/SUM(E6:F6)</f>
        <v>0.58442558785927701</v>
      </c>
    </row>
    <row r="7" spans="1:14">
      <c r="J7" s="38"/>
    </row>
  </sheetData>
  <mergeCells count="5">
    <mergeCell ref="C1:D1"/>
    <mergeCell ref="A1:A2"/>
    <mergeCell ref="G1:G2"/>
    <mergeCell ref="H1:H2"/>
    <mergeCell ref="I1:I2"/>
  </mergeCells>
  <pageMargins left="0.7" right="0.7" top="0.75" bottom="0.75" header="0.3" footer="0.3"/>
  <ignoredErrors>
    <ignoredError sqref="I3 F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To-do</vt:lpstr>
      <vt:lpstr>Refinance Calculator</vt:lpstr>
      <vt:lpstr>VarIO</vt:lpstr>
      <vt:lpstr>Lawn Fix</vt:lpstr>
      <vt:lpstr>Wealth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2020-10-03T12:11:24Z</dcterms:created>
  <dcterms:modified xsi:type="dcterms:W3CDTF">2021-04-08T01:56:41Z</dcterms:modified>
</cp:coreProperties>
</file>