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dxdesktop\desktops\Y1068579\Desktop\"/>
    </mc:Choice>
  </mc:AlternateContent>
  <bookViews>
    <workbookView xWindow="0" yWindow="0" windowWidth="25200" windowHeight="11385" firstSheet="1" activeTab="1"/>
  </bookViews>
  <sheets>
    <sheet name="INTRO" sheetId="10" r:id="rId1"/>
    <sheet name="SAFETY FAN DATA" sheetId="2" r:id="rId2"/>
    <sheet name="Sheet1" sheetId="22" r:id="rId3"/>
    <sheet name="STAPD INPUT" sheetId="21" r:id="rId4"/>
    <sheet name="1 HE" sheetId="1" r:id="rId5"/>
    <sheet name="2 HE" sheetId="5" r:id="rId6"/>
    <sheet name="3 HE" sheetId="7" r:id="rId7"/>
    <sheet name="4 HE" sheetId="9" r:id="rId8"/>
    <sheet name="5 HE" sheetId="13" r:id="rId9"/>
    <sheet name="6 HE" sheetId="15" r:id="rId10"/>
    <sheet name="7 HE" sheetId="17" r:id="rId11"/>
    <sheet name="1 IM" sheetId="3" r:id="rId12"/>
    <sheet name="2 IM" sheetId="6" r:id="rId13"/>
    <sheet name="3 IM" sheetId="8" r:id="rId14"/>
    <sheet name="4 IM" sheetId="11" r:id="rId15"/>
    <sheet name="5 IM" sheetId="14" r:id="rId16"/>
    <sheet name="6 IM" sheetId="16" r:id="rId17"/>
    <sheet name="7 IM" sheetId="18" r:id="rId18"/>
    <sheet name="STAMET" sheetId="12" r:id="rId19"/>
    <sheet name="GR CALC" sheetId="19" r:id="rId20"/>
    <sheet name="INPUT" sheetId="20" r:id="rId2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0" l="1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C6" i="20"/>
  <c r="B6" i="20"/>
  <c r="D5" i="20"/>
  <c r="C5" i="20"/>
  <c r="H16" i="16" s="1"/>
  <c r="B5" i="20"/>
  <c r="E4" i="19"/>
  <c r="L2" i="19" s="1"/>
  <c r="D4" i="19"/>
  <c r="C4" i="19"/>
  <c r="B4" i="19"/>
  <c r="J2" i="19"/>
  <c r="K2" i="19" s="1"/>
  <c r="H2" i="19"/>
  <c r="I2" i="19" s="1"/>
  <c r="G2" i="19"/>
  <c r="D6" i="12"/>
  <c r="D7" i="12" s="1"/>
  <c r="D8" i="12" s="1"/>
  <c r="D9" i="12" s="1"/>
  <c r="D10" i="12" s="1"/>
  <c r="D11" i="12" s="1"/>
  <c r="D12" i="12" s="1"/>
  <c r="D13" i="12" s="1"/>
  <c r="D14" i="12" s="1"/>
  <c r="D5" i="12"/>
  <c r="H25" i="18"/>
  <c r="H24" i="18"/>
  <c r="H23" i="18"/>
  <c r="H22" i="18"/>
  <c r="H21" i="18"/>
  <c r="H20" i="18"/>
  <c r="H19" i="18"/>
  <c r="H18" i="18"/>
  <c r="H17" i="18"/>
  <c r="I16" i="18"/>
  <c r="H25" i="16"/>
  <c r="H24" i="16"/>
  <c r="H23" i="16"/>
  <c r="H22" i="16"/>
  <c r="H21" i="16"/>
  <c r="H20" i="16"/>
  <c r="H19" i="16"/>
  <c r="H18" i="16"/>
  <c r="H17" i="16"/>
  <c r="I16" i="16"/>
  <c r="H25" i="14"/>
  <c r="H24" i="14"/>
  <c r="H23" i="14"/>
  <c r="H22" i="14"/>
  <c r="H21" i="14"/>
  <c r="H20" i="14"/>
  <c r="H19" i="14"/>
  <c r="H18" i="14"/>
  <c r="H17" i="14"/>
  <c r="I16" i="14"/>
  <c r="H16" i="14"/>
  <c r="H25" i="11"/>
  <c r="H24" i="11"/>
  <c r="H23" i="11"/>
  <c r="H22" i="11"/>
  <c r="H21" i="11"/>
  <c r="H20" i="11"/>
  <c r="H19" i="11"/>
  <c r="H18" i="11"/>
  <c r="H17" i="11"/>
  <c r="I16" i="11"/>
  <c r="H16" i="11"/>
  <c r="H25" i="8"/>
  <c r="H24" i="8"/>
  <c r="H23" i="8"/>
  <c r="H22" i="8"/>
  <c r="H21" i="8"/>
  <c r="H20" i="8"/>
  <c r="H19" i="8"/>
  <c r="H18" i="8"/>
  <c r="H17" i="8"/>
  <c r="I16" i="8"/>
  <c r="H16" i="8"/>
  <c r="I17" i="6"/>
  <c r="H26" i="3"/>
  <c r="H25" i="3"/>
  <c r="H24" i="3"/>
  <c r="H23" i="3"/>
  <c r="H22" i="3"/>
  <c r="H21" i="3"/>
  <c r="H20" i="3"/>
  <c r="H19" i="3"/>
  <c r="H18" i="3"/>
  <c r="I17" i="3"/>
  <c r="I18" i="3" s="1"/>
  <c r="I19" i="3" s="1"/>
  <c r="I20" i="3" s="1"/>
  <c r="I21" i="3" s="1"/>
  <c r="I22" i="3" s="1"/>
  <c r="I23" i="3" s="1"/>
  <c r="I24" i="3" s="1"/>
  <c r="I25" i="3" s="1"/>
  <c r="I26" i="3" s="1"/>
  <c r="H17" i="3"/>
  <c r="L28" i="17"/>
  <c r="L27" i="17"/>
  <c r="L26" i="17"/>
  <c r="L25" i="17"/>
  <c r="L24" i="17"/>
  <c r="L23" i="17"/>
  <c r="K23" i="17"/>
  <c r="L22" i="17"/>
  <c r="L21" i="17"/>
  <c r="L20" i="17"/>
  <c r="M19" i="17"/>
  <c r="M20" i="17" s="1"/>
  <c r="M21" i="17" s="1"/>
  <c r="M22" i="17" s="1"/>
  <c r="M23" i="17" s="1"/>
  <c r="M24" i="17" s="1"/>
  <c r="M25" i="17" s="1"/>
  <c r="M26" i="17" s="1"/>
  <c r="M27" i="17" s="1"/>
  <c r="M28" i="17" s="1"/>
  <c r="L19" i="17"/>
  <c r="L28" i="15"/>
  <c r="L27" i="15"/>
  <c r="L26" i="15"/>
  <c r="L25" i="15"/>
  <c r="L24" i="15"/>
  <c r="L23" i="15"/>
  <c r="L22" i="15"/>
  <c r="M21" i="15"/>
  <c r="M22" i="15" s="1"/>
  <c r="M23" i="15" s="1"/>
  <c r="M24" i="15" s="1"/>
  <c r="M25" i="15" s="1"/>
  <c r="M26" i="15" s="1"/>
  <c r="M27" i="15" s="1"/>
  <c r="M28" i="15" s="1"/>
  <c r="L21" i="15"/>
  <c r="L20" i="15"/>
  <c r="M19" i="15"/>
  <c r="M20" i="15" s="1"/>
  <c r="L19" i="15"/>
  <c r="L28" i="13"/>
  <c r="L27" i="13"/>
  <c r="L26" i="13"/>
  <c r="L25" i="13"/>
  <c r="K25" i="13"/>
  <c r="L24" i="13"/>
  <c r="L23" i="13"/>
  <c r="L22" i="13"/>
  <c r="L21" i="13"/>
  <c r="L20" i="13"/>
  <c r="M19" i="13"/>
  <c r="M20" i="13" s="1"/>
  <c r="L19" i="13"/>
  <c r="J10" i="13"/>
  <c r="G66" i="9"/>
  <c r="F66" i="9"/>
  <c r="G65" i="9"/>
  <c r="F65" i="9"/>
  <c r="G64" i="9"/>
  <c r="F64" i="9"/>
  <c r="G63" i="9"/>
  <c r="F63" i="9"/>
  <c r="G36" i="9"/>
  <c r="F36" i="9"/>
  <c r="G35" i="9"/>
  <c r="F35" i="9"/>
  <c r="G34" i="9"/>
  <c r="F34" i="9"/>
  <c r="G33" i="9"/>
  <c r="F33" i="9"/>
  <c r="L28" i="9"/>
  <c r="L27" i="9"/>
  <c r="L26" i="9"/>
  <c r="L25" i="9"/>
  <c r="L24" i="9"/>
  <c r="L23" i="9"/>
  <c r="L22" i="9"/>
  <c r="L21" i="9"/>
  <c r="L20" i="9"/>
  <c r="M19" i="9"/>
  <c r="M20" i="9" s="1"/>
  <c r="M21" i="9" s="1"/>
  <c r="M22" i="9" s="1"/>
  <c r="M23" i="9" s="1"/>
  <c r="M24" i="9" s="1"/>
  <c r="M25" i="9" s="1"/>
  <c r="M26" i="9" s="1"/>
  <c r="M27" i="9" s="1"/>
  <c r="M28" i="9" s="1"/>
  <c r="L19" i="9"/>
  <c r="G55" i="7"/>
  <c r="G54" i="7"/>
  <c r="L28" i="7"/>
  <c r="L27" i="7"/>
  <c r="L26" i="7"/>
  <c r="L25" i="7"/>
  <c r="L24" i="7"/>
  <c r="L23" i="7"/>
  <c r="L22" i="7"/>
  <c r="L21" i="7"/>
  <c r="L20" i="7"/>
  <c r="M19" i="7"/>
  <c r="L19" i="7"/>
  <c r="L46" i="5"/>
  <c r="K46" i="5"/>
  <c r="G45" i="5"/>
  <c r="F45" i="5"/>
  <c r="G44" i="5"/>
  <c r="F44" i="5"/>
  <c r="G43" i="5"/>
  <c r="M33" i="5"/>
  <c r="L27" i="5"/>
  <c r="H26" i="6" s="1"/>
  <c r="K27" i="5"/>
  <c r="L26" i="5"/>
  <c r="H25" i="6" s="1"/>
  <c r="K26" i="5"/>
  <c r="G26" i="5"/>
  <c r="F26" i="5"/>
  <c r="L25" i="5"/>
  <c r="H24" i="6" s="1"/>
  <c r="K25" i="5"/>
  <c r="G25" i="5"/>
  <c r="F25" i="5"/>
  <c r="L24" i="5"/>
  <c r="H23" i="6" s="1"/>
  <c r="K24" i="5"/>
  <c r="L23" i="5"/>
  <c r="H22" i="6" s="1"/>
  <c r="K23" i="5"/>
  <c r="L22" i="5"/>
  <c r="H21" i="6" s="1"/>
  <c r="K22" i="5"/>
  <c r="K47" i="5" s="1"/>
  <c r="M21" i="5"/>
  <c r="Q46" i="5" s="1"/>
  <c r="L21" i="5"/>
  <c r="H20" i="6" s="1"/>
  <c r="K21" i="5"/>
  <c r="G20" i="6" s="1"/>
  <c r="L20" i="5"/>
  <c r="H19" i="6" s="1"/>
  <c r="K20" i="5"/>
  <c r="G19" i="6" s="1"/>
  <c r="L19" i="5"/>
  <c r="H18" i="6" s="1"/>
  <c r="K19" i="5"/>
  <c r="M18" i="5"/>
  <c r="L18" i="5"/>
  <c r="H17" i="6" s="1"/>
  <c r="K18" i="5"/>
  <c r="G17" i="6" s="1"/>
  <c r="K13" i="5"/>
  <c r="J12" i="5"/>
  <c r="K11" i="5"/>
  <c r="F27" i="2" s="1"/>
  <c r="K9" i="5"/>
  <c r="J8" i="5"/>
  <c r="K7" i="5"/>
  <c r="J7" i="5"/>
  <c r="J4" i="5"/>
  <c r="K54" i="1"/>
  <c r="K50" i="1"/>
  <c r="K48" i="1"/>
  <c r="K46" i="1"/>
  <c r="G40" i="1"/>
  <c r="F40" i="1"/>
  <c r="G39" i="1"/>
  <c r="F39" i="1"/>
  <c r="L28" i="1"/>
  <c r="K28" i="1"/>
  <c r="L27" i="1"/>
  <c r="K27" i="1"/>
  <c r="L26" i="1"/>
  <c r="K26" i="1"/>
  <c r="L25" i="1"/>
  <c r="K25" i="1"/>
  <c r="K25" i="7" s="1"/>
  <c r="L24" i="1"/>
  <c r="K24" i="1"/>
  <c r="L23" i="1"/>
  <c r="K23" i="1"/>
  <c r="L22" i="1"/>
  <c r="K22" i="1"/>
  <c r="L21" i="1"/>
  <c r="K21" i="1"/>
  <c r="M20" i="1"/>
  <c r="L20" i="1"/>
  <c r="K20" i="1"/>
  <c r="M19" i="1"/>
  <c r="L19" i="1"/>
  <c r="K19" i="1"/>
  <c r="K13" i="1"/>
  <c r="J13" i="1"/>
  <c r="K12" i="1"/>
  <c r="F14" i="2" s="1"/>
  <c r="J12" i="1"/>
  <c r="J10" i="1"/>
  <c r="K9" i="1"/>
  <c r="J9" i="1"/>
  <c r="K8" i="1"/>
  <c r="J8" i="1"/>
  <c r="J7" i="1"/>
  <c r="J6" i="1"/>
  <c r="N5" i="1"/>
  <c r="K5" i="1"/>
  <c r="J5" i="1"/>
  <c r="N4" i="1"/>
  <c r="K4" i="1"/>
  <c r="J4" i="1"/>
  <c r="N3" i="1"/>
  <c r="A53" i="21"/>
  <c r="A52" i="21"/>
  <c r="A51" i="21"/>
  <c r="A50" i="21"/>
  <c r="A49" i="21"/>
  <c r="A48" i="21"/>
  <c r="A47" i="21"/>
  <c r="A46" i="21"/>
  <c r="A45" i="21"/>
  <c r="A44" i="21"/>
  <c r="A43" i="21"/>
  <c r="A42" i="21"/>
  <c r="K10" i="22"/>
  <c r="K12" i="22" s="1"/>
  <c r="D68" i="2"/>
  <c r="C68" i="2"/>
  <c r="K53" i="2"/>
  <c r="J53" i="2"/>
  <c r="G40" i="2"/>
  <c r="G54" i="2" s="1"/>
  <c r="G68" i="2" s="1"/>
  <c r="G82" i="2" s="1"/>
  <c r="G96" i="2" s="1"/>
  <c r="G29" i="2"/>
  <c r="F29" i="2"/>
  <c r="E29" i="2"/>
  <c r="G28" i="2"/>
  <c r="D28" i="2"/>
  <c r="C28" i="2"/>
  <c r="G27" i="2"/>
  <c r="E27" i="2"/>
  <c r="G26" i="2"/>
  <c r="G25" i="2"/>
  <c r="F25" i="2"/>
  <c r="E25" i="2"/>
  <c r="G24" i="2"/>
  <c r="D24" i="2"/>
  <c r="C24" i="2"/>
  <c r="T23" i="2"/>
  <c r="G23" i="2"/>
  <c r="F23" i="2"/>
  <c r="E23" i="2"/>
  <c r="D23" i="2"/>
  <c r="C23" i="2"/>
  <c r="T22" i="2"/>
  <c r="G22" i="2"/>
  <c r="G21" i="2"/>
  <c r="T20" i="2"/>
  <c r="M20" i="2"/>
  <c r="E14" i="19" s="1"/>
  <c r="L12" i="19" s="1"/>
  <c r="P12" i="19" s="1"/>
  <c r="L20" i="2"/>
  <c r="D14" i="19" s="1"/>
  <c r="J12" i="19" s="1"/>
  <c r="K12" i="19" s="1"/>
  <c r="N12" i="19" s="1"/>
  <c r="K20" i="2"/>
  <c r="J20" i="2"/>
  <c r="G20" i="2"/>
  <c r="D20" i="2"/>
  <c r="C20" i="2"/>
  <c r="M19" i="2"/>
  <c r="E13" i="19" s="1"/>
  <c r="L11" i="19" s="1"/>
  <c r="P11" i="19" s="1"/>
  <c r="L19" i="2"/>
  <c r="D13" i="19" s="1"/>
  <c r="J11" i="19" s="1"/>
  <c r="K11" i="19" s="1"/>
  <c r="N11" i="19" s="1"/>
  <c r="K19" i="2"/>
  <c r="J19" i="2"/>
  <c r="M18" i="2"/>
  <c r="E12" i="19" s="1"/>
  <c r="L10" i="19" s="1"/>
  <c r="P10" i="19" s="1"/>
  <c r="L18" i="2"/>
  <c r="D12" i="19" s="1"/>
  <c r="J10" i="19" s="1"/>
  <c r="K10" i="19" s="1"/>
  <c r="N10" i="19" s="1"/>
  <c r="K18" i="2"/>
  <c r="J18" i="2"/>
  <c r="M17" i="2"/>
  <c r="E11" i="19" s="1"/>
  <c r="L9" i="19" s="1"/>
  <c r="P9" i="19" s="1"/>
  <c r="L17" i="2"/>
  <c r="D11" i="19" s="1"/>
  <c r="J9" i="19" s="1"/>
  <c r="K9" i="19" s="1"/>
  <c r="N9" i="19" s="1"/>
  <c r="K17" i="2"/>
  <c r="J17" i="2"/>
  <c r="M16" i="2"/>
  <c r="E10" i="19" s="1"/>
  <c r="L8" i="19" s="1"/>
  <c r="P8" i="19" s="1"/>
  <c r="L16" i="2"/>
  <c r="D10" i="19" s="1"/>
  <c r="J8" i="19" s="1"/>
  <c r="K8" i="19" s="1"/>
  <c r="N8" i="19" s="1"/>
  <c r="K16" i="2"/>
  <c r="J16" i="2"/>
  <c r="M15" i="2"/>
  <c r="E9" i="19" s="1"/>
  <c r="L7" i="19" s="1"/>
  <c r="P7" i="19" s="1"/>
  <c r="L15" i="2"/>
  <c r="D9" i="19" s="1"/>
  <c r="J7" i="19" s="1"/>
  <c r="K7" i="19" s="1"/>
  <c r="N7" i="19" s="1"/>
  <c r="K15" i="2"/>
  <c r="J15" i="2"/>
  <c r="G15" i="2"/>
  <c r="F15" i="2"/>
  <c r="E15" i="2"/>
  <c r="D15" i="2"/>
  <c r="C15" i="2"/>
  <c r="M14" i="2"/>
  <c r="E8" i="19" s="1"/>
  <c r="L6" i="19" s="1"/>
  <c r="P6" i="19" s="1"/>
  <c r="L14" i="2"/>
  <c r="D8" i="19" s="1"/>
  <c r="J6" i="19" s="1"/>
  <c r="K6" i="19" s="1"/>
  <c r="N6" i="19" s="1"/>
  <c r="K14" i="2"/>
  <c r="J14" i="2"/>
  <c r="G14" i="2"/>
  <c r="E14" i="2"/>
  <c r="D14" i="2"/>
  <c r="C14" i="2"/>
  <c r="M13" i="2"/>
  <c r="E7" i="19" s="1"/>
  <c r="L5" i="19" s="1"/>
  <c r="P5" i="19" s="1"/>
  <c r="L13" i="2"/>
  <c r="D7" i="19" s="1"/>
  <c r="J5" i="19" s="1"/>
  <c r="K5" i="19" s="1"/>
  <c r="N5" i="19" s="1"/>
  <c r="K13" i="2"/>
  <c r="J13" i="2"/>
  <c r="G13" i="2"/>
  <c r="M12" i="2"/>
  <c r="E6" i="19" s="1"/>
  <c r="L4" i="19" s="1"/>
  <c r="P4" i="19" s="1"/>
  <c r="L12" i="2"/>
  <c r="D6" i="19" s="1"/>
  <c r="J4" i="19" s="1"/>
  <c r="K4" i="19" s="1"/>
  <c r="N4" i="19" s="1"/>
  <c r="K12" i="2"/>
  <c r="J12" i="2"/>
  <c r="G12" i="2"/>
  <c r="D12" i="2"/>
  <c r="C12" i="2"/>
  <c r="M11" i="2"/>
  <c r="E5" i="19" s="1"/>
  <c r="L3" i="19" s="1"/>
  <c r="P3" i="19" s="1"/>
  <c r="L11" i="2"/>
  <c r="D5" i="19" s="1"/>
  <c r="J3" i="19" s="1"/>
  <c r="K3" i="19" s="1"/>
  <c r="N3" i="19" s="1"/>
  <c r="K11" i="2"/>
  <c r="J11" i="2"/>
  <c r="G11" i="2"/>
  <c r="F11" i="2"/>
  <c r="E11" i="2"/>
  <c r="D11" i="2"/>
  <c r="C11" i="2"/>
  <c r="G10" i="2"/>
  <c r="F10" i="2"/>
  <c r="E10" i="2"/>
  <c r="D10" i="2"/>
  <c r="C10" i="2"/>
  <c r="G9" i="2"/>
  <c r="D9" i="2"/>
  <c r="C9" i="2"/>
  <c r="G8" i="2"/>
  <c r="D8" i="2"/>
  <c r="C8" i="2"/>
  <c r="G7" i="2"/>
  <c r="F7" i="2"/>
  <c r="E7" i="2"/>
  <c r="D7" i="2"/>
  <c r="C7" i="2"/>
  <c r="G6" i="2"/>
  <c r="F6" i="2"/>
  <c r="E6" i="2"/>
  <c r="D6" i="2"/>
  <c r="C6" i="2"/>
  <c r="B11" i="19" l="1"/>
  <c r="G9" i="19"/>
  <c r="J33" i="1"/>
  <c r="M21" i="1"/>
  <c r="G24" i="3"/>
  <c r="K26" i="17"/>
  <c r="K26" i="15"/>
  <c r="K26" i="13"/>
  <c r="K26" i="9"/>
  <c r="K26" i="7"/>
  <c r="K11" i="1"/>
  <c r="M35" i="1"/>
  <c r="L48" i="1"/>
  <c r="N48" i="1"/>
  <c r="J48" i="1"/>
  <c r="M36" i="17"/>
  <c r="K8" i="17"/>
  <c r="J49" i="17"/>
  <c r="N36" i="17"/>
  <c r="O36" i="17" s="1"/>
  <c r="J8" i="17"/>
  <c r="L49" i="17"/>
  <c r="B6" i="19"/>
  <c r="G4" i="19"/>
  <c r="B8" i="19"/>
  <c r="G6" i="19"/>
  <c r="C10" i="19"/>
  <c r="H8" i="19"/>
  <c r="C11" i="19"/>
  <c r="H9" i="19"/>
  <c r="C12" i="19"/>
  <c r="H10" i="19"/>
  <c r="H11" i="19"/>
  <c r="C13" i="19"/>
  <c r="B14" i="19"/>
  <c r="G12" i="19"/>
  <c r="I19" i="16"/>
  <c r="I19" i="14"/>
  <c r="I19" i="11"/>
  <c r="I19" i="8"/>
  <c r="I20" i="6"/>
  <c r="I19" i="18"/>
  <c r="N6" i="1"/>
  <c r="M37" i="1"/>
  <c r="L50" i="1"/>
  <c r="J50" i="1"/>
  <c r="M34" i="5"/>
  <c r="G24" i="6"/>
  <c r="K50" i="5"/>
  <c r="M50" i="5"/>
  <c r="J11" i="5"/>
  <c r="L47" i="5"/>
  <c r="C5" i="19"/>
  <c r="H3" i="19"/>
  <c r="H5" i="19"/>
  <c r="C7" i="19"/>
  <c r="C9" i="19"/>
  <c r="H7" i="19"/>
  <c r="B12" i="19"/>
  <c r="G10" i="19"/>
  <c r="C6" i="19"/>
  <c r="H4" i="19"/>
  <c r="C8" i="19"/>
  <c r="H6" i="19"/>
  <c r="H12" i="19"/>
  <c r="C14" i="19"/>
  <c r="J11" i="1"/>
  <c r="G22" i="18"/>
  <c r="G22" i="14"/>
  <c r="G22" i="16"/>
  <c r="G22" i="11"/>
  <c r="G22" i="8"/>
  <c r="J51" i="7"/>
  <c r="J10" i="7"/>
  <c r="K10" i="7"/>
  <c r="K52" i="1"/>
  <c r="G18" i="6"/>
  <c r="K44" i="5"/>
  <c r="M44" i="5"/>
  <c r="J5" i="5"/>
  <c r="B10" i="19"/>
  <c r="G8" i="19"/>
  <c r="B13" i="19"/>
  <c r="G11" i="19"/>
  <c r="C14" i="12"/>
  <c r="C10" i="12"/>
  <c r="C6" i="12"/>
  <c r="C12" i="12"/>
  <c r="C8" i="12"/>
  <c r="C11" i="12"/>
  <c r="C13" i="12"/>
  <c r="C7" i="12"/>
  <c r="C5" i="12"/>
  <c r="C9" i="12"/>
  <c r="B5" i="19"/>
  <c r="G3" i="19"/>
  <c r="B7" i="19"/>
  <c r="G5" i="19"/>
  <c r="B9" i="19"/>
  <c r="G7" i="19"/>
  <c r="B13" i="12"/>
  <c r="B9" i="12"/>
  <c r="B5" i="12"/>
  <c r="B11" i="12"/>
  <c r="B7" i="12"/>
  <c r="B14" i="12"/>
  <c r="B6" i="12"/>
  <c r="B8" i="12"/>
  <c r="B10" i="12"/>
  <c r="B12" i="12"/>
  <c r="G20" i="3"/>
  <c r="K22" i="17"/>
  <c r="K22" i="15"/>
  <c r="K22" i="13"/>
  <c r="K22" i="9"/>
  <c r="K22" i="7"/>
  <c r="Q48" i="1"/>
  <c r="M48" i="1"/>
  <c r="K7" i="1"/>
  <c r="M33" i="1"/>
  <c r="L46" i="1"/>
  <c r="N46" i="1"/>
  <c r="J46" i="1"/>
  <c r="M41" i="1"/>
  <c r="L54" i="1"/>
  <c r="J54" i="1"/>
  <c r="K5" i="5"/>
  <c r="G22" i="6"/>
  <c r="K48" i="5"/>
  <c r="M48" i="5" s="1"/>
  <c r="J9" i="5"/>
  <c r="G26" i="6"/>
  <c r="K52" i="5"/>
  <c r="M52" i="5" s="1"/>
  <c r="J13" i="5"/>
  <c r="K33" i="5"/>
  <c r="R46" i="5"/>
  <c r="N33" i="5"/>
  <c r="O46" i="5"/>
  <c r="M38" i="13"/>
  <c r="L51" i="13"/>
  <c r="J51" i="13"/>
  <c r="K10" i="13"/>
  <c r="N38" i="13"/>
  <c r="O38" i="13" s="1"/>
  <c r="G17" i="3"/>
  <c r="K19" i="7"/>
  <c r="K19" i="17"/>
  <c r="K19" i="15"/>
  <c r="G21" i="3"/>
  <c r="K23" i="15"/>
  <c r="K23" i="7"/>
  <c r="G25" i="3"/>
  <c r="K27" i="17"/>
  <c r="K27" i="7"/>
  <c r="H6" i="6"/>
  <c r="G6" i="6"/>
  <c r="J6" i="6"/>
  <c r="F6" i="6"/>
  <c r="G23" i="6"/>
  <c r="P46" i="5"/>
  <c r="M20" i="7"/>
  <c r="K27" i="9"/>
  <c r="K27" i="13"/>
  <c r="I18" i="18"/>
  <c r="I18" i="16"/>
  <c r="I18" i="14"/>
  <c r="I19" i="6"/>
  <c r="I18" i="8"/>
  <c r="I18" i="11"/>
  <c r="G19" i="3"/>
  <c r="K21" i="17"/>
  <c r="K21" i="15"/>
  <c r="K21" i="9"/>
  <c r="G23" i="3"/>
  <c r="K25" i="17"/>
  <c r="K25" i="15"/>
  <c r="K25" i="9"/>
  <c r="J6" i="5"/>
  <c r="J10" i="5"/>
  <c r="F4" i="6"/>
  <c r="H4" i="6"/>
  <c r="J4" i="6" s="1"/>
  <c r="G4" i="6"/>
  <c r="M20" i="5"/>
  <c r="G21" i="6"/>
  <c r="M47" i="5"/>
  <c r="G25" i="6"/>
  <c r="M51" i="5"/>
  <c r="K51" i="5"/>
  <c r="J33" i="5"/>
  <c r="K43" i="5"/>
  <c r="K45" i="5"/>
  <c r="M46" i="5"/>
  <c r="K49" i="5"/>
  <c r="M49" i="5" s="1"/>
  <c r="K21" i="7"/>
  <c r="K23" i="9"/>
  <c r="K23" i="13"/>
  <c r="K27" i="15"/>
  <c r="I17" i="16"/>
  <c r="I17" i="18"/>
  <c r="I17" i="11"/>
  <c r="I17" i="8"/>
  <c r="I17" i="14"/>
  <c r="I18" i="6"/>
  <c r="K6" i="1"/>
  <c r="K10" i="1"/>
  <c r="G18" i="3"/>
  <c r="K20" i="17"/>
  <c r="K20" i="15"/>
  <c r="K20" i="13"/>
  <c r="K20" i="7"/>
  <c r="K20" i="9"/>
  <c r="G22" i="3"/>
  <c r="K24" i="17"/>
  <c r="K24" i="15"/>
  <c r="K24" i="13"/>
  <c r="K24" i="7"/>
  <c r="K24" i="9"/>
  <c r="G26" i="3"/>
  <c r="K28" i="17"/>
  <c r="K28" i="15"/>
  <c r="K28" i="13"/>
  <c r="K28" i="7"/>
  <c r="K28" i="9"/>
  <c r="K45" i="1"/>
  <c r="J32" i="1" s="1"/>
  <c r="M46" i="1"/>
  <c r="Q46" i="1"/>
  <c r="K47" i="1"/>
  <c r="K49" i="1"/>
  <c r="M50" i="1"/>
  <c r="K51" i="1"/>
  <c r="K53" i="1"/>
  <c r="M54" i="1"/>
  <c r="K4" i="5"/>
  <c r="K6" i="5"/>
  <c r="K8" i="5"/>
  <c r="K10" i="5"/>
  <c r="K12" i="5"/>
  <c r="M19" i="5"/>
  <c r="H7" i="6"/>
  <c r="G7" i="6"/>
  <c r="F7" i="6"/>
  <c r="O33" i="5"/>
  <c r="J46" i="5"/>
  <c r="N46" i="5"/>
  <c r="S46" i="5"/>
  <c r="K19" i="9"/>
  <c r="K19" i="13"/>
  <c r="K21" i="13"/>
  <c r="M21" i="13"/>
  <c r="H16" i="18"/>
  <c r="F24" i="2" l="1"/>
  <c r="E24" i="2"/>
  <c r="J50" i="17"/>
  <c r="M37" i="17"/>
  <c r="K9" i="17"/>
  <c r="J9" i="17"/>
  <c r="N37" i="17"/>
  <c r="O37" i="17" s="1"/>
  <c r="M40" i="15"/>
  <c r="K12" i="15"/>
  <c r="O40" i="15"/>
  <c r="J53" i="15"/>
  <c r="N40" i="15"/>
  <c r="J12" i="15"/>
  <c r="L53" i="15"/>
  <c r="C22" i="2"/>
  <c r="D22" i="2"/>
  <c r="E68" i="2"/>
  <c r="F68" i="2"/>
  <c r="M34" i="13"/>
  <c r="K6" i="13"/>
  <c r="J47" i="13"/>
  <c r="J6" i="13"/>
  <c r="L47" i="13"/>
  <c r="N34" i="13"/>
  <c r="O34" i="13" s="1"/>
  <c r="P23" i="2"/>
  <c r="Q23" i="2"/>
  <c r="J51" i="1"/>
  <c r="L51" i="1"/>
  <c r="M51" i="1"/>
  <c r="M38" i="1"/>
  <c r="J54" i="17"/>
  <c r="M41" i="17"/>
  <c r="K13" i="17"/>
  <c r="J13" i="17"/>
  <c r="N41" i="17"/>
  <c r="O41" i="17" s="1"/>
  <c r="J49" i="9"/>
  <c r="K8" i="9"/>
  <c r="J8" i="9"/>
  <c r="M34" i="15"/>
  <c r="K6" i="15"/>
  <c r="N34" i="15"/>
  <c r="O34" i="15" s="1"/>
  <c r="J47" i="15"/>
  <c r="J6" i="15"/>
  <c r="R22" i="2"/>
  <c r="S22" i="2"/>
  <c r="G12" i="3"/>
  <c r="F12" i="3"/>
  <c r="I12" i="3"/>
  <c r="T14" i="2"/>
  <c r="M32" i="15"/>
  <c r="K4" i="15"/>
  <c r="O32" i="15"/>
  <c r="J45" i="15"/>
  <c r="N32" i="15"/>
  <c r="L45" i="15"/>
  <c r="J4" i="15"/>
  <c r="D25" i="2"/>
  <c r="C25" i="2"/>
  <c r="G9" i="6"/>
  <c r="F9" i="6"/>
  <c r="H9" i="6"/>
  <c r="T25" i="2"/>
  <c r="N41" i="1"/>
  <c r="O41" i="1" s="1"/>
  <c r="R46" i="1"/>
  <c r="S46" i="1" s="1"/>
  <c r="N33" i="1"/>
  <c r="O33" i="1" s="1"/>
  <c r="O46" i="1"/>
  <c r="P46" i="1" s="1"/>
  <c r="K33" i="1"/>
  <c r="L33" i="1" s="1"/>
  <c r="J48" i="15"/>
  <c r="L48" i="15"/>
  <c r="M35" i="15"/>
  <c r="K7" i="15"/>
  <c r="J7" i="15"/>
  <c r="N35" i="15"/>
  <c r="O35" i="15" s="1"/>
  <c r="F40" i="2"/>
  <c r="E40" i="2"/>
  <c r="H10" i="11"/>
  <c r="G10" i="11"/>
  <c r="F10" i="11"/>
  <c r="D13" i="2"/>
  <c r="C13" i="2"/>
  <c r="O5" i="19"/>
  <c r="I5" i="19"/>
  <c r="M5" i="19" s="1"/>
  <c r="D27" i="2"/>
  <c r="C27" i="2"/>
  <c r="H11" i="6"/>
  <c r="G11" i="6"/>
  <c r="J11" i="6"/>
  <c r="F11" i="6"/>
  <c r="T27" i="2"/>
  <c r="I11" i="19"/>
  <c r="M11" i="19" s="1"/>
  <c r="O11" i="19" s="1"/>
  <c r="M52" i="1"/>
  <c r="J52" i="13"/>
  <c r="O39" i="13"/>
  <c r="L52" i="13"/>
  <c r="M39" i="13"/>
  <c r="J11" i="13"/>
  <c r="N39" i="13"/>
  <c r="K11" i="13"/>
  <c r="M22" i="1"/>
  <c r="J34" i="1"/>
  <c r="J45" i="9"/>
  <c r="K4" i="9"/>
  <c r="J4" i="9"/>
  <c r="L45" i="9"/>
  <c r="I7" i="6"/>
  <c r="K7" i="6"/>
  <c r="N7" i="6"/>
  <c r="J9" i="9"/>
  <c r="L50" i="9"/>
  <c r="J50" i="9"/>
  <c r="K9" i="9"/>
  <c r="L46" i="13"/>
  <c r="J46" i="13"/>
  <c r="M33" i="13"/>
  <c r="J5" i="13"/>
  <c r="N33" i="13"/>
  <c r="O33" i="13" s="1"/>
  <c r="K5" i="13"/>
  <c r="N4" i="6"/>
  <c r="I4" i="6"/>
  <c r="K4" i="6"/>
  <c r="G10" i="3"/>
  <c r="F10" i="3"/>
  <c r="I10" i="3"/>
  <c r="T12" i="2"/>
  <c r="G6" i="3"/>
  <c r="I6" i="3"/>
  <c r="F6" i="3"/>
  <c r="T8" i="2"/>
  <c r="J53" i="9"/>
  <c r="K12" i="9"/>
  <c r="L53" i="9"/>
  <c r="J12" i="9"/>
  <c r="Q22" i="2"/>
  <c r="P22" i="2"/>
  <c r="G24" i="18"/>
  <c r="G24" i="16"/>
  <c r="G24" i="14"/>
  <c r="G24" i="8"/>
  <c r="G24" i="11"/>
  <c r="L53" i="7"/>
  <c r="J12" i="7"/>
  <c r="K12" i="7"/>
  <c r="J53" i="7"/>
  <c r="G42" i="2"/>
  <c r="G56" i="2" s="1"/>
  <c r="G70" i="2" s="1"/>
  <c r="G84" i="2" s="1"/>
  <c r="G98" i="2" s="1"/>
  <c r="M36" i="15"/>
  <c r="K8" i="15"/>
  <c r="J49" i="15"/>
  <c r="N36" i="15"/>
  <c r="O36" i="15" s="1"/>
  <c r="J8" i="15"/>
  <c r="G16" i="18"/>
  <c r="G16" i="16"/>
  <c r="G16" i="14"/>
  <c r="G16" i="11"/>
  <c r="J4" i="7"/>
  <c r="K4" i="7"/>
  <c r="G16" i="8"/>
  <c r="J45" i="7"/>
  <c r="G34" i="2"/>
  <c r="G48" i="2" s="1"/>
  <c r="G62" i="2" s="1"/>
  <c r="G76" i="2" s="1"/>
  <c r="G90" i="2" s="1"/>
  <c r="L33" i="5"/>
  <c r="J7" i="9"/>
  <c r="J48" i="9"/>
  <c r="L48" i="9"/>
  <c r="K7" i="9"/>
  <c r="F28" i="2"/>
  <c r="E28" i="2"/>
  <c r="F20" i="2"/>
  <c r="E20" i="2"/>
  <c r="N47" i="1"/>
  <c r="J47" i="1"/>
  <c r="L47" i="1"/>
  <c r="Q47" i="1"/>
  <c r="M47" i="1"/>
  <c r="M34" i="1"/>
  <c r="J13" i="9"/>
  <c r="L54" i="9"/>
  <c r="J54" i="9"/>
  <c r="K13" i="9"/>
  <c r="L50" i="13"/>
  <c r="J50" i="13"/>
  <c r="M37" i="13"/>
  <c r="J9" i="13"/>
  <c r="N37" i="13"/>
  <c r="O37" i="13" s="1"/>
  <c r="K9" i="13"/>
  <c r="J5" i="9"/>
  <c r="J46" i="9"/>
  <c r="K5" i="9"/>
  <c r="O33" i="17"/>
  <c r="J46" i="17"/>
  <c r="M33" i="17"/>
  <c r="K5" i="17"/>
  <c r="J5" i="17"/>
  <c r="N33" i="17"/>
  <c r="L45" i="5"/>
  <c r="M32" i="5"/>
  <c r="Q45" i="5"/>
  <c r="J32" i="5"/>
  <c r="J45" i="5"/>
  <c r="N45" i="5"/>
  <c r="M38" i="15"/>
  <c r="K10" i="15"/>
  <c r="L51" i="15"/>
  <c r="N38" i="15"/>
  <c r="O38" i="15" s="1"/>
  <c r="J10" i="15"/>
  <c r="J51" i="15"/>
  <c r="M22" i="13"/>
  <c r="P47" i="13"/>
  <c r="M32" i="13"/>
  <c r="J45" i="13"/>
  <c r="N32" i="13"/>
  <c r="O32" i="13" s="1"/>
  <c r="K4" i="13"/>
  <c r="L45" i="13"/>
  <c r="J4" i="13"/>
  <c r="S23" i="2"/>
  <c r="R23" i="2"/>
  <c r="F26" i="2"/>
  <c r="E26" i="2"/>
  <c r="G25" i="18"/>
  <c r="G25" i="16"/>
  <c r="G25" i="14"/>
  <c r="G25" i="11"/>
  <c r="G25" i="8"/>
  <c r="J54" i="7"/>
  <c r="K13" i="7"/>
  <c r="L54" i="7"/>
  <c r="J13" i="7"/>
  <c r="G43" i="2"/>
  <c r="G57" i="2" s="1"/>
  <c r="G71" i="2" s="1"/>
  <c r="G85" i="2" s="1"/>
  <c r="G99" i="2" s="1"/>
  <c r="G13" i="3"/>
  <c r="F13" i="3"/>
  <c r="I13" i="3"/>
  <c r="T15" i="2"/>
  <c r="L50" i="15"/>
  <c r="J50" i="15"/>
  <c r="M37" i="15"/>
  <c r="K9" i="15"/>
  <c r="J9" i="15"/>
  <c r="N37" i="15"/>
  <c r="O37" i="15" s="1"/>
  <c r="G17" i="16"/>
  <c r="G17" i="18"/>
  <c r="G17" i="14"/>
  <c r="G17" i="11"/>
  <c r="G17" i="8"/>
  <c r="J46" i="7"/>
  <c r="K5" i="7"/>
  <c r="L46" i="7"/>
  <c r="J5" i="7"/>
  <c r="G35" i="2"/>
  <c r="G49" i="2" s="1"/>
  <c r="G63" i="2" s="1"/>
  <c r="G77" i="2" s="1"/>
  <c r="G91" i="2" s="1"/>
  <c r="G5" i="3"/>
  <c r="I5" i="3"/>
  <c r="F5" i="3"/>
  <c r="T7" i="2"/>
  <c r="G18" i="18"/>
  <c r="G18" i="16"/>
  <c r="G18" i="14"/>
  <c r="G18" i="11"/>
  <c r="G18" i="8"/>
  <c r="J47" i="7"/>
  <c r="J6" i="7"/>
  <c r="K6" i="7"/>
  <c r="G36" i="2"/>
  <c r="G50" i="2" s="1"/>
  <c r="G64" i="2" s="1"/>
  <c r="G78" i="2" s="1"/>
  <c r="G92" i="2" s="1"/>
  <c r="L43" i="5"/>
  <c r="M30" i="5"/>
  <c r="Q43" i="5"/>
  <c r="M43" i="5"/>
  <c r="J30" i="5"/>
  <c r="N43" i="5"/>
  <c r="J43" i="5"/>
  <c r="J12" i="6"/>
  <c r="F12" i="6"/>
  <c r="H12" i="6"/>
  <c r="G12" i="6"/>
  <c r="T28" i="2"/>
  <c r="R20" i="2"/>
  <c r="S20" i="2"/>
  <c r="C26" i="2"/>
  <c r="D26" i="2"/>
  <c r="M38" i="17"/>
  <c r="K10" i="17"/>
  <c r="N38" i="17"/>
  <c r="O38" i="17" s="1"/>
  <c r="J51" i="17"/>
  <c r="J10" i="17"/>
  <c r="M34" i="17"/>
  <c r="K6" i="17"/>
  <c r="N34" i="17"/>
  <c r="O34" i="17" s="1"/>
  <c r="J6" i="17"/>
  <c r="J47" i="17"/>
  <c r="M40" i="13"/>
  <c r="J53" i="13"/>
  <c r="N40" i="13"/>
  <c r="O40" i="13" s="1"/>
  <c r="K12" i="13"/>
  <c r="J12" i="13"/>
  <c r="H10" i="6"/>
  <c r="G10" i="6"/>
  <c r="F10" i="6"/>
  <c r="T26" i="2"/>
  <c r="K6" i="6"/>
  <c r="N6" i="6"/>
  <c r="I6" i="6"/>
  <c r="G20" i="18"/>
  <c r="G20" i="16"/>
  <c r="G20" i="14"/>
  <c r="G20" i="8"/>
  <c r="G20" i="11"/>
  <c r="J8" i="7"/>
  <c r="K8" i="7"/>
  <c r="J49" i="7"/>
  <c r="G38" i="2"/>
  <c r="G52" i="2" s="1"/>
  <c r="G66" i="2" s="1"/>
  <c r="G80" i="2" s="1"/>
  <c r="G94" i="2" s="1"/>
  <c r="M32" i="17"/>
  <c r="K4" i="17"/>
  <c r="O32" i="17"/>
  <c r="J45" i="17"/>
  <c r="N32" i="17"/>
  <c r="J4" i="17"/>
  <c r="L45" i="17"/>
  <c r="E21" i="2"/>
  <c r="F21" i="2"/>
  <c r="G19" i="18"/>
  <c r="G19" i="16"/>
  <c r="G19" i="14"/>
  <c r="G19" i="11"/>
  <c r="G19" i="8"/>
  <c r="K7" i="7"/>
  <c r="J48" i="7"/>
  <c r="L48" i="7" s="1"/>
  <c r="J7" i="7"/>
  <c r="G37" i="2"/>
  <c r="G51" i="2" s="1"/>
  <c r="G65" i="2" s="1"/>
  <c r="G79" i="2" s="1"/>
  <c r="G93" i="2" s="1"/>
  <c r="J48" i="17"/>
  <c r="O35" i="17"/>
  <c r="L48" i="17"/>
  <c r="M35" i="17"/>
  <c r="K7" i="17"/>
  <c r="J7" i="17"/>
  <c r="N35" i="17"/>
  <c r="D21" i="2"/>
  <c r="C21" i="2"/>
  <c r="G5" i="6"/>
  <c r="F5" i="6"/>
  <c r="H5" i="6"/>
  <c r="J5" i="6" s="1"/>
  <c r="T21" i="2"/>
  <c r="C40" i="2"/>
  <c r="D40" i="2"/>
  <c r="J10" i="16"/>
  <c r="F10" i="16"/>
  <c r="H10" i="16"/>
  <c r="G10" i="16"/>
  <c r="I4" i="19"/>
  <c r="M4" i="19" s="1"/>
  <c r="O4" i="19"/>
  <c r="I7" i="19"/>
  <c r="M7" i="19" s="1"/>
  <c r="O7" i="19" s="1"/>
  <c r="I3" i="19"/>
  <c r="M3" i="19" s="1"/>
  <c r="O3" i="19" s="1"/>
  <c r="I10" i="19"/>
  <c r="M10" i="19" s="1"/>
  <c r="O10" i="19"/>
  <c r="I8" i="19"/>
  <c r="M8" i="19" s="1"/>
  <c r="O8" i="19"/>
  <c r="D94" i="2"/>
  <c r="C94" i="2"/>
  <c r="E94" i="2"/>
  <c r="F94" i="2"/>
  <c r="R48" i="1"/>
  <c r="S48" i="1" s="1"/>
  <c r="N35" i="1"/>
  <c r="O35" i="1" s="1"/>
  <c r="K35" i="1"/>
  <c r="O48" i="1"/>
  <c r="P48" i="1" s="1"/>
  <c r="J52" i="15"/>
  <c r="L52" i="15"/>
  <c r="M39" i="15"/>
  <c r="K11" i="15"/>
  <c r="J11" i="15"/>
  <c r="N39" i="15"/>
  <c r="O39" i="15" s="1"/>
  <c r="G23" i="18"/>
  <c r="G23" i="16"/>
  <c r="G23" i="11"/>
  <c r="G23" i="8"/>
  <c r="G23" i="14"/>
  <c r="K11" i="7"/>
  <c r="J52" i="7"/>
  <c r="J11" i="7"/>
  <c r="G41" i="2"/>
  <c r="G55" i="2" s="1"/>
  <c r="G69" i="2" s="1"/>
  <c r="G83" i="2" s="1"/>
  <c r="G97" i="2" s="1"/>
  <c r="J52" i="17"/>
  <c r="L52" i="17" s="1"/>
  <c r="O39" i="17"/>
  <c r="M39" i="17"/>
  <c r="K11" i="17"/>
  <c r="J11" i="17"/>
  <c r="N39" i="17"/>
  <c r="L54" i="13"/>
  <c r="J54" i="13"/>
  <c r="M41" i="13"/>
  <c r="J13" i="13"/>
  <c r="N41" i="13"/>
  <c r="O41" i="13" s="1"/>
  <c r="K13" i="13"/>
  <c r="F12" i="2"/>
  <c r="E12" i="2"/>
  <c r="J49" i="5"/>
  <c r="L49" i="5"/>
  <c r="M36" i="5"/>
  <c r="L52" i="5"/>
  <c r="J52" i="5"/>
  <c r="M39" i="5"/>
  <c r="E9" i="2"/>
  <c r="F9" i="2"/>
  <c r="F7" i="3"/>
  <c r="I7" i="3"/>
  <c r="G7" i="3"/>
  <c r="T9" i="2"/>
  <c r="L52" i="1"/>
  <c r="J52" i="1"/>
  <c r="M39" i="1"/>
  <c r="K51" i="7"/>
  <c r="M38" i="7"/>
  <c r="F10" i="14"/>
  <c r="H10" i="14"/>
  <c r="G10" i="14"/>
  <c r="I12" i="19"/>
  <c r="M12" i="19" s="1"/>
  <c r="O12" i="19"/>
  <c r="I20" i="18"/>
  <c r="I20" i="14"/>
  <c r="I20" i="11"/>
  <c r="I20" i="8"/>
  <c r="I20" i="16"/>
  <c r="I21" i="6"/>
  <c r="N7" i="1"/>
  <c r="M22" i="5"/>
  <c r="J7" i="6"/>
  <c r="F22" i="2"/>
  <c r="E22" i="2"/>
  <c r="J53" i="1"/>
  <c r="L53" i="1"/>
  <c r="M40" i="1"/>
  <c r="M53" i="1"/>
  <c r="N49" i="1"/>
  <c r="J49" i="1"/>
  <c r="L49" i="1"/>
  <c r="M49" i="1"/>
  <c r="M36" i="1"/>
  <c r="Q49" i="1"/>
  <c r="N45" i="1"/>
  <c r="J45" i="1"/>
  <c r="L45" i="1"/>
  <c r="M32" i="1"/>
  <c r="Q45" i="1"/>
  <c r="M45" i="1"/>
  <c r="J54" i="15"/>
  <c r="M41" i="15"/>
  <c r="K13" i="15"/>
  <c r="J13" i="15"/>
  <c r="N41" i="15"/>
  <c r="O41" i="15" s="1"/>
  <c r="G21" i="18"/>
  <c r="G21" i="14"/>
  <c r="G21" i="16"/>
  <c r="G21" i="11"/>
  <c r="G21" i="8"/>
  <c r="J50" i="7"/>
  <c r="K9" i="7"/>
  <c r="L50" i="7"/>
  <c r="J9" i="7"/>
  <c r="G39" i="2"/>
  <c r="G53" i="2" s="1"/>
  <c r="G67" i="2" s="1"/>
  <c r="G81" i="2" s="1"/>
  <c r="G95" i="2" s="1"/>
  <c r="G9" i="3"/>
  <c r="F9" i="3"/>
  <c r="I9" i="3"/>
  <c r="T11" i="2"/>
  <c r="L46" i="15"/>
  <c r="J46" i="15"/>
  <c r="M33" i="15"/>
  <c r="K5" i="15"/>
  <c r="J5" i="15"/>
  <c r="N33" i="15"/>
  <c r="O33" i="15" s="1"/>
  <c r="F8" i="2"/>
  <c r="E8" i="2"/>
  <c r="M36" i="13"/>
  <c r="N36" i="13"/>
  <c r="O36" i="13" s="1"/>
  <c r="K8" i="13"/>
  <c r="J49" i="13"/>
  <c r="J8" i="13"/>
  <c r="J51" i="5"/>
  <c r="M38" i="5"/>
  <c r="L51" i="5"/>
  <c r="J8" i="6"/>
  <c r="F8" i="6"/>
  <c r="H8" i="6"/>
  <c r="G8" i="6"/>
  <c r="T24" i="2"/>
  <c r="Q20" i="2"/>
  <c r="P20" i="2"/>
  <c r="K10" i="9"/>
  <c r="J10" i="9"/>
  <c r="J51" i="9"/>
  <c r="K6" i="9"/>
  <c r="J6" i="9"/>
  <c r="J47" i="9"/>
  <c r="M21" i="7"/>
  <c r="P46" i="7"/>
  <c r="M45" i="5"/>
  <c r="M40" i="17"/>
  <c r="K12" i="17"/>
  <c r="O40" i="17"/>
  <c r="J53" i="17"/>
  <c r="N40" i="17"/>
  <c r="L53" i="17"/>
  <c r="J12" i="17"/>
  <c r="G8" i="3"/>
  <c r="F8" i="3"/>
  <c r="I8" i="3"/>
  <c r="T10" i="2"/>
  <c r="G4" i="3"/>
  <c r="I4" i="3"/>
  <c r="F4" i="3"/>
  <c r="T6" i="2"/>
  <c r="K51" i="13"/>
  <c r="D29" i="2"/>
  <c r="C29" i="2"/>
  <c r="G13" i="6"/>
  <c r="J13" i="6"/>
  <c r="F13" i="6"/>
  <c r="H13" i="6"/>
  <c r="T29" i="2"/>
  <c r="L48" i="5"/>
  <c r="J48" i="5"/>
  <c r="M35" i="5"/>
  <c r="J48" i="13"/>
  <c r="L48" i="13"/>
  <c r="M35" i="13"/>
  <c r="J7" i="13"/>
  <c r="N35" i="13"/>
  <c r="O35" i="13" s="1"/>
  <c r="K7" i="13"/>
  <c r="L44" i="5"/>
  <c r="J31" i="5"/>
  <c r="Q44" i="5"/>
  <c r="N44" i="5"/>
  <c r="M31" i="5"/>
  <c r="J44" i="5"/>
  <c r="L51" i="7"/>
  <c r="H10" i="8"/>
  <c r="G10" i="8"/>
  <c r="F10" i="8"/>
  <c r="T40" i="2"/>
  <c r="T54" i="2" s="1"/>
  <c r="T68" i="2" s="1"/>
  <c r="T82" i="2" s="1"/>
  <c r="T96" i="2" s="1"/>
  <c r="H10" i="18"/>
  <c r="J10" i="18"/>
  <c r="F10" i="18"/>
  <c r="G10" i="18"/>
  <c r="I6" i="19"/>
  <c r="M6" i="19" s="1"/>
  <c r="O6" i="19"/>
  <c r="R47" i="5"/>
  <c r="O47" i="5"/>
  <c r="N34" i="5"/>
  <c r="O34" i="5" s="1"/>
  <c r="L50" i="5"/>
  <c r="J50" i="5"/>
  <c r="M37" i="5"/>
  <c r="J47" i="5"/>
  <c r="N37" i="1"/>
  <c r="O37" i="1" s="1"/>
  <c r="O50" i="1"/>
  <c r="I9" i="19"/>
  <c r="M9" i="19" s="1"/>
  <c r="O9" i="19" s="1"/>
  <c r="M49" i="17"/>
  <c r="K49" i="17"/>
  <c r="J36" i="17"/>
  <c r="P49" i="17"/>
  <c r="E13" i="2"/>
  <c r="F13" i="2"/>
  <c r="J11" i="9"/>
  <c r="J52" i="9"/>
  <c r="L52" i="9"/>
  <c r="K11" i="9"/>
  <c r="G11" i="3"/>
  <c r="F11" i="3"/>
  <c r="I11" i="3"/>
  <c r="T13" i="2"/>
  <c r="P44" i="5" l="1"/>
  <c r="L11" i="3"/>
  <c r="H11" i="3"/>
  <c r="O11" i="3"/>
  <c r="J11" i="3"/>
  <c r="F55" i="2"/>
  <c r="E55" i="2"/>
  <c r="C55" i="2"/>
  <c r="D55" i="2"/>
  <c r="N37" i="5"/>
  <c r="O37" i="5" s="1"/>
  <c r="S96" i="2"/>
  <c r="R96" i="2"/>
  <c r="I10" i="8"/>
  <c r="R6" i="2"/>
  <c r="S6" i="2"/>
  <c r="Q10" i="2"/>
  <c r="P10" i="2"/>
  <c r="P47" i="9"/>
  <c r="J34" i="9"/>
  <c r="K47" i="9"/>
  <c r="M34" i="9"/>
  <c r="M47" i="9"/>
  <c r="L47" i="9"/>
  <c r="Q24" i="2"/>
  <c r="P24" i="2"/>
  <c r="K49" i="13"/>
  <c r="F77" i="2"/>
  <c r="E77" i="2"/>
  <c r="S11" i="2"/>
  <c r="R11" i="2"/>
  <c r="H9" i="11"/>
  <c r="G9" i="11"/>
  <c r="J9" i="11"/>
  <c r="F9" i="11"/>
  <c r="I10" i="14"/>
  <c r="S9" i="2"/>
  <c r="R9" i="2"/>
  <c r="M39" i="7"/>
  <c r="K52" i="7"/>
  <c r="J11" i="8"/>
  <c r="F11" i="8"/>
  <c r="H11" i="8"/>
  <c r="G11" i="8"/>
  <c r="T41" i="2"/>
  <c r="T55" i="2" s="1"/>
  <c r="T69" i="2" s="1"/>
  <c r="T83" i="2" s="1"/>
  <c r="T97" i="2" s="1"/>
  <c r="Q82" i="2"/>
  <c r="P82" i="2"/>
  <c r="S21" i="2"/>
  <c r="R21" i="2"/>
  <c r="C93" i="2"/>
  <c r="D93" i="2"/>
  <c r="D37" i="2"/>
  <c r="C37" i="2"/>
  <c r="J7" i="8"/>
  <c r="F7" i="8"/>
  <c r="H7" i="8"/>
  <c r="G7" i="8"/>
  <c r="T37" i="2"/>
  <c r="T51" i="2" s="1"/>
  <c r="T65" i="2" s="1"/>
  <c r="T79" i="2" s="1"/>
  <c r="T93" i="2" s="1"/>
  <c r="G7" i="18"/>
  <c r="H7" i="18"/>
  <c r="F7" i="18"/>
  <c r="D90" i="2"/>
  <c r="C90" i="2"/>
  <c r="K49" i="7"/>
  <c r="M36" i="7"/>
  <c r="G8" i="11"/>
  <c r="J8" i="11"/>
  <c r="F8" i="11"/>
  <c r="H8" i="11"/>
  <c r="J8" i="18"/>
  <c r="F8" i="18"/>
  <c r="H8" i="18"/>
  <c r="G8" i="18"/>
  <c r="I10" i="6"/>
  <c r="Q28" i="2"/>
  <c r="P28" i="2"/>
  <c r="M47" i="7"/>
  <c r="K47" i="7"/>
  <c r="M34" i="7"/>
  <c r="J34" i="7"/>
  <c r="J6" i="16"/>
  <c r="F6" i="16"/>
  <c r="H6" i="16"/>
  <c r="G6" i="16"/>
  <c r="O5" i="3"/>
  <c r="L5" i="3"/>
  <c r="H5" i="3"/>
  <c r="J5" i="3"/>
  <c r="D35" i="2"/>
  <c r="C35" i="2"/>
  <c r="H5" i="8"/>
  <c r="G5" i="8"/>
  <c r="F5" i="8"/>
  <c r="J5" i="8"/>
  <c r="T35" i="2"/>
  <c r="T49" i="2" s="1"/>
  <c r="T63" i="2" s="1"/>
  <c r="T77" i="2" s="1"/>
  <c r="T91" i="2" s="1"/>
  <c r="H5" i="16"/>
  <c r="G5" i="16"/>
  <c r="F5" i="16"/>
  <c r="F81" i="2"/>
  <c r="E81" i="2"/>
  <c r="S15" i="2"/>
  <c r="R15" i="2"/>
  <c r="H13" i="11"/>
  <c r="J13" i="11" s="1"/>
  <c r="G13" i="11"/>
  <c r="F13" i="11"/>
  <c r="C62" i="2"/>
  <c r="D62" i="2"/>
  <c r="D82" i="2"/>
  <c r="C82" i="2"/>
  <c r="E82" i="2"/>
  <c r="F82" i="2"/>
  <c r="C91" i="2"/>
  <c r="D91" i="2"/>
  <c r="P46" i="17"/>
  <c r="M46" i="17"/>
  <c r="K46" i="17"/>
  <c r="J33" i="17"/>
  <c r="E49" i="2"/>
  <c r="F49" i="2"/>
  <c r="D49" i="2"/>
  <c r="C49" i="2"/>
  <c r="C67" i="2"/>
  <c r="D67" i="2"/>
  <c r="D34" i="2"/>
  <c r="C34" i="2"/>
  <c r="H4" i="16"/>
  <c r="G4" i="16"/>
  <c r="J4" i="16"/>
  <c r="F4" i="16"/>
  <c r="E80" i="2"/>
  <c r="F80" i="2"/>
  <c r="F42" i="2"/>
  <c r="E42" i="2"/>
  <c r="G12" i="8"/>
  <c r="J12" i="8"/>
  <c r="F12" i="8"/>
  <c r="H12" i="8"/>
  <c r="T42" i="2"/>
  <c r="T56" i="2" s="1"/>
  <c r="T70" i="2" s="1"/>
  <c r="T84" i="2" s="1"/>
  <c r="T98" i="2" s="1"/>
  <c r="R12" i="2"/>
  <c r="S12" i="2"/>
  <c r="C63" i="2"/>
  <c r="D63" i="2"/>
  <c r="M7" i="6"/>
  <c r="C69" i="2"/>
  <c r="D69" i="2"/>
  <c r="I10" i="11"/>
  <c r="C79" i="2"/>
  <c r="D79" i="2"/>
  <c r="N9" i="6"/>
  <c r="I9" i="6"/>
  <c r="E76" i="2"/>
  <c r="F76" i="2"/>
  <c r="Q14" i="2"/>
  <c r="P14" i="2"/>
  <c r="C99" i="2"/>
  <c r="D99" i="2"/>
  <c r="P54" i="17"/>
  <c r="M54" i="17"/>
  <c r="J41" i="17"/>
  <c r="K54" i="17"/>
  <c r="E64" i="2"/>
  <c r="F64" i="2"/>
  <c r="C95" i="2"/>
  <c r="D95" i="2"/>
  <c r="P50" i="17"/>
  <c r="M50" i="17"/>
  <c r="K50" i="17"/>
  <c r="J37" i="17"/>
  <c r="P13" i="2"/>
  <c r="Q13" i="2"/>
  <c r="S47" i="5"/>
  <c r="Q96" i="2"/>
  <c r="P96" i="2"/>
  <c r="Q40" i="2"/>
  <c r="P40" i="2"/>
  <c r="K31" i="5"/>
  <c r="L31" i="5" s="1"/>
  <c r="O44" i="5"/>
  <c r="N31" i="5"/>
  <c r="O31" i="5" s="1"/>
  <c r="R44" i="5"/>
  <c r="S44" i="5" s="1"/>
  <c r="C65" i="2"/>
  <c r="D65" i="2"/>
  <c r="S29" i="2"/>
  <c r="R29" i="2"/>
  <c r="R10" i="2"/>
  <c r="S10" i="2"/>
  <c r="E98" i="2"/>
  <c r="F98" i="2"/>
  <c r="D50" i="2"/>
  <c r="C50" i="2"/>
  <c r="P51" i="9"/>
  <c r="J38" i="9"/>
  <c r="K51" i="9"/>
  <c r="M38" i="9"/>
  <c r="M51" i="9"/>
  <c r="E54" i="2"/>
  <c r="F54" i="2"/>
  <c r="E66" i="2"/>
  <c r="F66" i="2"/>
  <c r="E39" i="2"/>
  <c r="F39" i="2"/>
  <c r="H9" i="16"/>
  <c r="G9" i="16"/>
  <c r="J9" i="16"/>
  <c r="F9" i="16"/>
  <c r="C85" i="2"/>
  <c r="D85" i="2"/>
  <c r="P54" i="15"/>
  <c r="M54" i="15"/>
  <c r="K54" i="15"/>
  <c r="J41" i="15"/>
  <c r="P45" i="1"/>
  <c r="O49" i="1"/>
  <c r="K36" i="1"/>
  <c r="R49" i="1"/>
  <c r="S49" i="1" s="1"/>
  <c r="N36" i="1"/>
  <c r="O36" i="1" s="1"/>
  <c r="Q47" i="5"/>
  <c r="J34" i="5"/>
  <c r="N47" i="5"/>
  <c r="P47" i="5" s="1"/>
  <c r="Q68" i="2"/>
  <c r="P68" i="2"/>
  <c r="N38" i="7"/>
  <c r="O38" i="7" s="1"/>
  <c r="L7" i="3"/>
  <c r="J7" i="3"/>
  <c r="O7" i="3"/>
  <c r="H7" i="3"/>
  <c r="S13" i="2"/>
  <c r="R13" i="2"/>
  <c r="K34" i="5"/>
  <c r="J10" i="8"/>
  <c r="M48" i="13"/>
  <c r="J35" i="13"/>
  <c r="K48" i="13"/>
  <c r="I13" i="6"/>
  <c r="Q6" i="2"/>
  <c r="P6" i="2"/>
  <c r="M22" i="7"/>
  <c r="P47" i="7"/>
  <c r="D54" i="2"/>
  <c r="C54" i="2"/>
  <c r="L51" i="9"/>
  <c r="R24" i="2"/>
  <c r="S24" i="2"/>
  <c r="N38" i="5"/>
  <c r="O38" i="5" s="1"/>
  <c r="C77" i="2"/>
  <c r="D77" i="2"/>
  <c r="P46" i="15"/>
  <c r="M46" i="15"/>
  <c r="K46" i="15"/>
  <c r="J33" i="15"/>
  <c r="L9" i="3"/>
  <c r="H9" i="3"/>
  <c r="O9" i="3"/>
  <c r="J9" i="3"/>
  <c r="K50" i="7"/>
  <c r="M37" i="7"/>
  <c r="H9" i="14"/>
  <c r="G9" i="14"/>
  <c r="F9" i="14"/>
  <c r="I21" i="16"/>
  <c r="I21" i="14"/>
  <c r="I21" i="11"/>
  <c r="I21" i="8"/>
  <c r="I21" i="18"/>
  <c r="I22" i="6"/>
  <c r="K9" i="6" s="1"/>
  <c r="M23" i="5"/>
  <c r="R48" i="5" s="1"/>
  <c r="N8" i="1"/>
  <c r="N50" i="1"/>
  <c r="P50" i="1" s="1"/>
  <c r="Q50" i="1"/>
  <c r="J10" i="14"/>
  <c r="N39" i="1"/>
  <c r="O39" i="1" s="1"/>
  <c r="K7" i="3"/>
  <c r="L52" i="7"/>
  <c r="G11" i="16"/>
  <c r="J11" i="16"/>
  <c r="F11" i="16"/>
  <c r="H11" i="16"/>
  <c r="R82" i="2"/>
  <c r="S82" i="2"/>
  <c r="P21" i="2"/>
  <c r="Q21" i="2"/>
  <c r="F93" i="2"/>
  <c r="E93" i="2"/>
  <c r="P48" i="17"/>
  <c r="K48" i="17"/>
  <c r="J35" i="17"/>
  <c r="M48" i="17"/>
  <c r="E37" i="2"/>
  <c r="F37" i="2"/>
  <c r="G7" i="14"/>
  <c r="F7" i="14"/>
  <c r="H7" i="14"/>
  <c r="J7" i="14" s="1"/>
  <c r="C38" i="2"/>
  <c r="D38" i="2"/>
  <c r="G8" i="14"/>
  <c r="J8" i="14"/>
  <c r="F8" i="14"/>
  <c r="H8" i="14"/>
  <c r="J10" i="6"/>
  <c r="E70" i="2"/>
  <c r="F70" i="2"/>
  <c r="K53" i="13"/>
  <c r="K47" i="17"/>
  <c r="M47" i="17"/>
  <c r="P47" i="17"/>
  <c r="J34" i="17"/>
  <c r="K51" i="17"/>
  <c r="M51" i="17"/>
  <c r="P51" i="17"/>
  <c r="J38" i="17"/>
  <c r="R28" i="2"/>
  <c r="S28" i="2"/>
  <c r="O43" i="5"/>
  <c r="P43" i="5" s="1"/>
  <c r="N30" i="5"/>
  <c r="O30" i="5" s="1"/>
  <c r="R43" i="5"/>
  <c r="S43" i="5" s="1"/>
  <c r="K30" i="5"/>
  <c r="L30" i="5" s="1"/>
  <c r="F36" i="2"/>
  <c r="E36" i="2"/>
  <c r="H6" i="11"/>
  <c r="J6" i="11" s="1"/>
  <c r="G6" i="11"/>
  <c r="F6" i="11"/>
  <c r="F35" i="2"/>
  <c r="E35" i="2"/>
  <c r="G5" i="14"/>
  <c r="H5" i="14"/>
  <c r="J5" i="14" s="1"/>
  <c r="F5" i="14"/>
  <c r="C81" i="2"/>
  <c r="D81" i="2"/>
  <c r="P50" i="15"/>
  <c r="M50" i="15"/>
  <c r="J37" i="15"/>
  <c r="K50" i="15"/>
  <c r="L13" i="3"/>
  <c r="H13" i="3"/>
  <c r="O13" i="3"/>
  <c r="J13" i="3"/>
  <c r="M41" i="7"/>
  <c r="K54" i="7"/>
  <c r="J13" i="16"/>
  <c r="H13" i="16"/>
  <c r="G13" i="16"/>
  <c r="F13" i="16"/>
  <c r="E62" i="2"/>
  <c r="F62" i="2"/>
  <c r="F91" i="2"/>
  <c r="E91" i="2"/>
  <c r="L46" i="17"/>
  <c r="M46" i="9"/>
  <c r="J33" i="9"/>
  <c r="P46" i="9"/>
  <c r="M33" i="9"/>
  <c r="K46" i="9"/>
  <c r="E67" i="2"/>
  <c r="F67" i="2"/>
  <c r="K50" i="13"/>
  <c r="M54" i="9"/>
  <c r="P54" i="9"/>
  <c r="M41" i="9"/>
  <c r="J41" i="9"/>
  <c r="K54" i="9"/>
  <c r="O47" i="1"/>
  <c r="P47" i="1" s="1"/>
  <c r="K34" i="1"/>
  <c r="L34" i="1" s="1"/>
  <c r="R47" i="1"/>
  <c r="S47" i="1" s="1"/>
  <c r="N34" i="1"/>
  <c r="O34" i="1" s="1"/>
  <c r="E51" i="2"/>
  <c r="F51" i="2"/>
  <c r="D51" i="2"/>
  <c r="C51" i="2"/>
  <c r="G4" i="8"/>
  <c r="F4" i="8"/>
  <c r="J4" i="8"/>
  <c r="H4" i="8"/>
  <c r="T34" i="2"/>
  <c r="T48" i="2" s="1"/>
  <c r="T62" i="2" s="1"/>
  <c r="T76" i="2" s="1"/>
  <c r="T90" i="2" s="1"/>
  <c r="G4" i="11"/>
  <c r="F4" i="11"/>
  <c r="H4" i="11"/>
  <c r="J4" i="11" s="1"/>
  <c r="D80" i="2"/>
  <c r="C80" i="2"/>
  <c r="M49" i="15"/>
  <c r="K49" i="15"/>
  <c r="J36" i="15"/>
  <c r="P49" i="15"/>
  <c r="H12" i="16"/>
  <c r="J12" i="16"/>
  <c r="G12" i="16"/>
  <c r="F12" i="16"/>
  <c r="E56" i="2"/>
  <c r="F56" i="2"/>
  <c r="O6" i="3"/>
  <c r="L6" i="3"/>
  <c r="H6" i="3"/>
  <c r="J6" i="3"/>
  <c r="L10" i="3"/>
  <c r="H10" i="3"/>
  <c r="O10" i="3"/>
  <c r="J10" i="3"/>
  <c r="F63" i="2"/>
  <c r="E63" i="2"/>
  <c r="K46" i="13"/>
  <c r="J33" i="13"/>
  <c r="M46" i="13"/>
  <c r="P46" i="13"/>
  <c r="M50" i="9"/>
  <c r="P50" i="9"/>
  <c r="M37" i="9"/>
  <c r="K50" i="9"/>
  <c r="J37" i="9"/>
  <c r="F48" i="2"/>
  <c r="E48" i="2"/>
  <c r="F69" i="2"/>
  <c r="E69" i="2"/>
  <c r="I11" i="6"/>
  <c r="J10" i="11"/>
  <c r="F79" i="2"/>
  <c r="E79" i="2"/>
  <c r="P48" i="15"/>
  <c r="K48" i="15"/>
  <c r="M48" i="15"/>
  <c r="J35" i="15"/>
  <c r="J9" i="6"/>
  <c r="M45" i="15"/>
  <c r="K45" i="15"/>
  <c r="J32" i="15"/>
  <c r="P45" i="15"/>
  <c r="D52" i="2"/>
  <c r="C52" i="2"/>
  <c r="J36" i="9"/>
  <c r="M49" i="9"/>
  <c r="M36" i="9"/>
  <c r="K49" i="9"/>
  <c r="P49" i="9"/>
  <c r="F99" i="2"/>
  <c r="E99" i="2"/>
  <c r="L54" i="17"/>
  <c r="O51" i="1"/>
  <c r="R51" i="1"/>
  <c r="N38" i="1"/>
  <c r="O38" i="1" s="1"/>
  <c r="F95" i="2"/>
  <c r="E95" i="2"/>
  <c r="L50" i="17"/>
  <c r="K11" i="3"/>
  <c r="K52" i="9"/>
  <c r="P52" i="9"/>
  <c r="M39" i="9"/>
  <c r="J39" i="9"/>
  <c r="M52" i="9"/>
  <c r="Q49" i="17"/>
  <c r="R49" i="17" s="1"/>
  <c r="K36" i="17"/>
  <c r="L36" i="17" s="1"/>
  <c r="N49" i="17"/>
  <c r="O49" i="17" s="1"/>
  <c r="R50" i="1"/>
  <c r="S50" i="1" s="1"/>
  <c r="I10" i="18"/>
  <c r="R40" i="2"/>
  <c r="S40" i="2"/>
  <c r="F65" i="2"/>
  <c r="E65" i="2"/>
  <c r="N35" i="5"/>
  <c r="O35" i="5" s="1"/>
  <c r="P29" i="2"/>
  <c r="Q29" i="2"/>
  <c r="O4" i="3"/>
  <c r="L4" i="3"/>
  <c r="H4" i="3"/>
  <c r="J4" i="3"/>
  <c r="L8" i="3"/>
  <c r="H8" i="3"/>
  <c r="O8" i="3"/>
  <c r="J8" i="3"/>
  <c r="D98" i="2"/>
  <c r="C98" i="2"/>
  <c r="M53" i="17"/>
  <c r="K53" i="17"/>
  <c r="J40" i="17"/>
  <c r="P53" i="17"/>
  <c r="F50" i="2"/>
  <c r="E50" i="2"/>
  <c r="N8" i="6"/>
  <c r="I8" i="6"/>
  <c r="K8" i="6"/>
  <c r="D66" i="2"/>
  <c r="C66" i="2"/>
  <c r="L49" i="13"/>
  <c r="P11" i="2"/>
  <c r="Q11" i="2"/>
  <c r="D39" i="2"/>
  <c r="C39" i="2"/>
  <c r="H9" i="8"/>
  <c r="J9" i="8" s="1"/>
  <c r="G9" i="8"/>
  <c r="F9" i="8"/>
  <c r="T39" i="2"/>
  <c r="T53" i="2" s="1"/>
  <c r="T67" i="2" s="1"/>
  <c r="T81" i="2" s="1"/>
  <c r="T95" i="2" s="1"/>
  <c r="G9" i="18"/>
  <c r="H9" i="18"/>
  <c r="F9" i="18"/>
  <c r="F85" i="2"/>
  <c r="E85" i="2"/>
  <c r="L54" i="15"/>
  <c r="O45" i="1"/>
  <c r="K32" i="1"/>
  <c r="L32" i="1" s="1"/>
  <c r="R45" i="1"/>
  <c r="S45" i="1" s="1"/>
  <c r="N32" i="1"/>
  <c r="O32" i="1" s="1"/>
  <c r="P49" i="1"/>
  <c r="N40" i="1"/>
  <c r="O40" i="1" s="1"/>
  <c r="S68" i="2"/>
  <c r="R68" i="2"/>
  <c r="P9" i="2"/>
  <c r="Q9" i="2"/>
  <c r="N36" i="5"/>
  <c r="O36" i="5" s="1"/>
  <c r="F71" i="2"/>
  <c r="E71" i="2"/>
  <c r="K54" i="13"/>
  <c r="C97" i="2"/>
  <c r="D97" i="2"/>
  <c r="D41" i="2"/>
  <c r="C41" i="2"/>
  <c r="G11" i="14"/>
  <c r="J11" i="14"/>
  <c r="F11" i="14"/>
  <c r="H11" i="14"/>
  <c r="G11" i="18"/>
  <c r="F11" i="18"/>
  <c r="H11" i="18"/>
  <c r="F83" i="2"/>
  <c r="E83" i="2"/>
  <c r="P52" i="15"/>
  <c r="K52" i="15"/>
  <c r="M52" i="15"/>
  <c r="J39" i="15"/>
  <c r="I10" i="16"/>
  <c r="G7" i="16"/>
  <c r="J7" i="16"/>
  <c r="F7" i="16"/>
  <c r="H7" i="16"/>
  <c r="M45" i="17"/>
  <c r="K45" i="17"/>
  <c r="J32" i="17"/>
  <c r="P45" i="17"/>
  <c r="L49" i="7"/>
  <c r="H8" i="16"/>
  <c r="G8" i="16"/>
  <c r="J8" i="16"/>
  <c r="F8" i="16"/>
  <c r="M6" i="6"/>
  <c r="R26" i="2"/>
  <c r="S26" i="2"/>
  <c r="D92" i="2"/>
  <c r="C92" i="2"/>
  <c r="E92" i="2"/>
  <c r="F92" i="2"/>
  <c r="E96" i="2"/>
  <c r="F96" i="2"/>
  <c r="I12" i="6"/>
  <c r="C36" i="2"/>
  <c r="D36" i="2"/>
  <c r="H6" i="14"/>
  <c r="G6" i="14"/>
  <c r="F6" i="14"/>
  <c r="P7" i="2"/>
  <c r="Q7" i="2"/>
  <c r="K46" i="7"/>
  <c r="J33" i="7"/>
  <c r="M33" i="7"/>
  <c r="M46" i="7"/>
  <c r="G5" i="18"/>
  <c r="H5" i="18"/>
  <c r="J5" i="18" s="1"/>
  <c r="F5" i="18"/>
  <c r="P15" i="2"/>
  <c r="Q15" i="2"/>
  <c r="D43" i="2"/>
  <c r="C43" i="2"/>
  <c r="H13" i="8"/>
  <c r="G13" i="8"/>
  <c r="J13" i="8"/>
  <c r="F13" i="8"/>
  <c r="T43" i="2"/>
  <c r="T57" i="2" s="1"/>
  <c r="T71" i="2" s="1"/>
  <c r="T85" i="2" s="1"/>
  <c r="T99" i="2" s="1"/>
  <c r="G13" i="18"/>
  <c r="H13" i="18"/>
  <c r="F13" i="18"/>
  <c r="K51" i="15"/>
  <c r="M51" i="15"/>
  <c r="P51" i="15"/>
  <c r="J38" i="15"/>
  <c r="L46" i="9"/>
  <c r="F34" i="2"/>
  <c r="E34" i="2"/>
  <c r="J4" i="14"/>
  <c r="F4" i="14"/>
  <c r="H4" i="14"/>
  <c r="G4" i="14"/>
  <c r="L49" i="15"/>
  <c r="K53" i="7"/>
  <c r="M40" i="7"/>
  <c r="G12" i="11"/>
  <c r="F12" i="11"/>
  <c r="H12" i="11"/>
  <c r="F12" i="18"/>
  <c r="H12" i="18"/>
  <c r="J12" i="18" s="1"/>
  <c r="G12" i="18"/>
  <c r="D56" i="2"/>
  <c r="C56" i="2"/>
  <c r="J40" i="9"/>
  <c r="M53" i="9"/>
  <c r="M40" i="9"/>
  <c r="K53" i="9"/>
  <c r="P53" i="9"/>
  <c r="R8" i="2"/>
  <c r="S8" i="2"/>
  <c r="Q12" i="2"/>
  <c r="P12" i="2"/>
  <c r="L4" i="6"/>
  <c r="M4" i="6" s="1"/>
  <c r="O4" i="6"/>
  <c r="P4" i="6" s="1"/>
  <c r="D48" i="2"/>
  <c r="C48" i="2"/>
  <c r="J32" i="9"/>
  <c r="M45" i="9"/>
  <c r="M32" i="9"/>
  <c r="K45" i="9"/>
  <c r="P45" i="9"/>
  <c r="P27" i="2"/>
  <c r="Q27" i="2"/>
  <c r="S54" i="2"/>
  <c r="R54" i="2"/>
  <c r="S25" i="2"/>
  <c r="R25" i="2"/>
  <c r="C76" i="2"/>
  <c r="D76" i="2"/>
  <c r="L12" i="3"/>
  <c r="H12" i="3"/>
  <c r="O12" i="3"/>
  <c r="J12" i="3"/>
  <c r="K47" i="15"/>
  <c r="M47" i="15"/>
  <c r="P47" i="15"/>
  <c r="J34" i="15"/>
  <c r="E78" i="2"/>
  <c r="F78" i="2"/>
  <c r="K47" i="13"/>
  <c r="M47" i="13"/>
  <c r="J34" i="13"/>
  <c r="M53" i="15"/>
  <c r="K53" i="15"/>
  <c r="J40" i="15"/>
  <c r="P53" i="15"/>
  <c r="N39" i="5"/>
  <c r="O39" i="5" s="1"/>
  <c r="C71" i="2"/>
  <c r="D71" i="2"/>
  <c r="F97" i="2"/>
  <c r="E97" i="2"/>
  <c r="P52" i="17"/>
  <c r="K52" i="17"/>
  <c r="J39" i="17"/>
  <c r="M52" i="17"/>
  <c r="E41" i="2"/>
  <c r="F41" i="2"/>
  <c r="J11" i="11"/>
  <c r="F11" i="11"/>
  <c r="H11" i="11"/>
  <c r="G11" i="11"/>
  <c r="C83" i="2"/>
  <c r="D83" i="2"/>
  <c r="K5" i="6"/>
  <c r="N5" i="6"/>
  <c r="I5" i="6"/>
  <c r="M48" i="7"/>
  <c r="J35" i="7"/>
  <c r="M35" i="7"/>
  <c r="K48" i="7"/>
  <c r="F7" i="11"/>
  <c r="H7" i="11"/>
  <c r="J7" i="11" s="1"/>
  <c r="G7" i="11"/>
  <c r="E90" i="2"/>
  <c r="F90" i="2"/>
  <c r="F38" i="2"/>
  <c r="E38" i="2"/>
  <c r="G8" i="8"/>
  <c r="J8" i="8"/>
  <c r="F8" i="8"/>
  <c r="H8" i="8"/>
  <c r="T38" i="2"/>
  <c r="T52" i="2" s="1"/>
  <c r="T66" i="2" s="1"/>
  <c r="T80" i="2" s="1"/>
  <c r="T94" i="2" s="1"/>
  <c r="L6" i="6"/>
  <c r="O6" i="6"/>
  <c r="P6" i="6" s="1"/>
  <c r="Q26" i="2"/>
  <c r="P26" i="2"/>
  <c r="D70" i="2"/>
  <c r="C70" i="2"/>
  <c r="L53" i="13"/>
  <c r="L47" i="17"/>
  <c r="D96" i="2"/>
  <c r="C96" i="2"/>
  <c r="L51" i="17"/>
  <c r="L47" i="7"/>
  <c r="H6" i="8"/>
  <c r="J6" i="8"/>
  <c r="G6" i="8"/>
  <c r="F6" i="8"/>
  <c r="T36" i="2"/>
  <c r="T50" i="2" s="1"/>
  <c r="T64" i="2" s="1"/>
  <c r="T78" i="2" s="1"/>
  <c r="T92" i="2" s="1"/>
  <c r="H6" i="18"/>
  <c r="F6" i="18"/>
  <c r="G6" i="18"/>
  <c r="S7" i="2"/>
  <c r="R7" i="2"/>
  <c r="H5" i="11"/>
  <c r="G5" i="11"/>
  <c r="J5" i="11"/>
  <c r="F5" i="11"/>
  <c r="K13" i="3"/>
  <c r="E43" i="2"/>
  <c r="F43" i="2"/>
  <c r="H13" i="14"/>
  <c r="G13" i="14"/>
  <c r="J13" i="14"/>
  <c r="F13" i="14"/>
  <c r="M45" i="13"/>
  <c r="K45" i="13"/>
  <c r="J32" i="13"/>
  <c r="P45" i="13"/>
  <c r="P48" i="13"/>
  <c r="M23" i="13"/>
  <c r="O45" i="5"/>
  <c r="P45" i="5" s="1"/>
  <c r="N32" i="5"/>
  <c r="O32" i="5" s="1"/>
  <c r="R45" i="5"/>
  <c r="S45" i="5" s="1"/>
  <c r="K32" i="5"/>
  <c r="L32" i="5" s="1"/>
  <c r="F57" i="2"/>
  <c r="E57" i="2"/>
  <c r="D57" i="2"/>
  <c r="C57" i="2"/>
  <c r="K48" i="9"/>
  <c r="J35" i="9"/>
  <c r="M35" i="9"/>
  <c r="P48" i="9"/>
  <c r="M48" i="9"/>
  <c r="K45" i="7"/>
  <c r="M45" i="7"/>
  <c r="M32" i="7"/>
  <c r="J32" i="7"/>
  <c r="P45" i="7"/>
  <c r="L45" i="7"/>
  <c r="J4" i="18"/>
  <c r="F4" i="18"/>
  <c r="H4" i="18"/>
  <c r="G4" i="18"/>
  <c r="D42" i="2"/>
  <c r="C42" i="2"/>
  <c r="H12" i="14"/>
  <c r="G12" i="14"/>
  <c r="J12" i="14"/>
  <c r="F12" i="14"/>
  <c r="Q8" i="2"/>
  <c r="P8" i="2"/>
  <c r="K10" i="3"/>
  <c r="E53" i="2"/>
  <c r="F53" i="2"/>
  <c r="D53" i="2"/>
  <c r="C53" i="2"/>
  <c r="L7" i="6"/>
  <c r="O7" i="6"/>
  <c r="P7" i="6" s="1"/>
  <c r="M23" i="1"/>
  <c r="J35" i="1"/>
  <c r="L35" i="1" s="1"/>
  <c r="K52" i="13"/>
  <c r="S27" i="2"/>
  <c r="R27" i="2"/>
  <c r="P54" i="2"/>
  <c r="Q54" i="2"/>
  <c r="P25" i="2"/>
  <c r="Q25" i="2"/>
  <c r="R14" i="2"/>
  <c r="S14" i="2"/>
  <c r="D78" i="2"/>
  <c r="C78" i="2"/>
  <c r="L47" i="15"/>
  <c r="L49" i="9"/>
  <c r="F52" i="2"/>
  <c r="E52" i="2"/>
  <c r="C64" i="2"/>
  <c r="D64" i="2"/>
  <c r="D84" i="2"/>
  <c r="C84" i="2"/>
  <c r="E84" i="2"/>
  <c r="F84" i="2"/>
  <c r="O50" i="15" l="1"/>
  <c r="O46" i="13"/>
  <c r="O47" i="13"/>
  <c r="M24" i="13"/>
  <c r="P49" i="13"/>
  <c r="P71" i="2"/>
  <c r="Q71" i="2"/>
  <c r="N6" i="18"/>
  <c r="K6" i="18"/>
  <c r="I6" i="18"/>
  <c r="Q53" i="15"/>
  <c r="R53" i="15" s="1"/>
  <c r="K40" i="15"/>
  <c r="L40" i="15" s="1"/>
  <c r="N53" i="15"/>
  <c r="O53" i="15" s="1"/>
  <c r="P12" i="3"/>
  <c r="Q12" i="3" s="1"/>
  <c r="M12" i="3"/>
  <c r="K12" i="3"/>
  <c r="N12" i="3" s="1"/>
  <c r="I12" i="11"/>
  <c r="I13" i="18"/>
  <c r="L6" i="14"/>
  <c r="K6" i="14"/>
  <c r="I6" i="14"/>
  <c r="O6" i="14" s="1"/>
  <c r="N6" i="14"/>
  <c r="N52" i="15"/>
  <c r="O52" i="15" s="1"/>
  <c r="K39" i="15"/>
  <c r="L39" i="15" s="1"/>
  <c r="Q52" i="15"/>
  <c r="R52" i="15" s="1"/>
  <c r="Q97" i="2"/>
  <c r="P97" i="2"/>
  <c r="S95" i="2"/>
  <c r="R95" i="2"/>
  <c r="I12" i="14"/>
  <c r="N4" i="18"/>
  <c r="K4" i="18"/>
  <c r="I4" i="18"/>
  <c r="K32" i="7"/>
  <c r="L32" i="7" s="1"/>
  <c r="Q45" i="7"/>
  <c r="R45" i="7" s="1"/>
  <c r="N32" i="7"/>
  <c r="O32" i="7" s="1"/>
  <c r="N45" i="7"/>
  <c r="S71" i="2"/>
  <c r="R71" i="2"/>
  <c r="L5" i="11"/>
  <c r="M5" i="11" s="1"/>
  <c r="K5" i="11"/>
  <c r="N5" i="11"/>
  <c r="I5" i="11"/>
  <c r="O5" i="11" s="1"/>
  <c r="Q92" i="2"/>
  <c r="P92" i="2"/>
  <c r="Q36" i="2"/>
  <c r="P36" i="2"/>
  <c r="R38" i="2"/>
  <c r="S38" i="2"/>
  <c r="O48" i="7"/>
  <c r="I11" i="11"/>
  <c r="Q47" i="13"/>
  <c r="R47" i="13" s="1"/>
  <c r="K34" i="13"/>
  <c r="L34" i="13" s="1"/>
  <c r="N47" i="13"/>
  <c r="Q47" i="15"/>
  <c r="R47" i="15" s="1"/>
  <c r="K34" i="15"/>
  <c r="L34" i="15" s="1"/>
  <c r="N47" i="15"/>
  <c r="O47" i="15" s="1"/>
  <c r="N53" i="9"/>
  <c r="O53" i="9" s="1"/>
  <c r="N40" i="9"/>
  <c r="O40" i="9" s="1"/>
  <c r="Q53" i="9"/>
  <c r="R53" i="9" s="1"/>
  <c r="K40" i="9"/>
  <c r="L40" i="9" s="1"/>
  <c r="Q98" i="2"/>
  <c r="P98" i="2"/>
  <c r="J12" i="11"/>
  <c r="N4" i="14"/>
  <c r="L4" i="14"/>
  <c r="K4" i="14"/>
  <c r="I4" i="14"/>
  <c r="O4" i="14" s="1"/>
  <c r="J13" i="18"/>
  <c r="I13" i="8"/>
  <c r="S91" i="2"/>
  <c r="R91" i="2"/>
  <c r="N33" i="7"/>
  <c r="O33" i="7" s="1"/>
  <c r="N46" i="7"/>
  <c r="K33" i="7"/>
  <c r="L33" i="7" s="1"/>
  <c r="Q46" i="7"/>
  <c r="R46" i="7" s="1"/>
  <c r="Q64" i="2"/>
  <c r="P64" i="2"/>
  <c r="L8" i="16"/>
  <c r="M8" i="16" s="1"/>
  <c r="K8" i="16"/>
  <c r="N8" i="16"/>
  <c r="I8" i="16"/>
  <c r="O8" i="16" s="1"/>
  <c r="K7" i="16"/>
  <c r="N7" i="16"/>
  <c r="I7" i="16"/>
  <c r="O7" i="16" s="1"/>
  <c r="P7" i="16" s="1"/>
  <c r="L7" i="16"/>
  <c r="I11" i="18"/>
  <c r="I11" i="14"/>
  <c r="K9" i="18"/>
  <c r="I9" i="18"/>
  <c r="N9" i="18"/>
  <c r="P39" i="2"/>
  <c r="Q39" i="2"/>
  <c r="L8" i="6"/>
  <c r="O8" i="6"/>
  <c r="P8" i="6" s="1"/>
  <c r="P8" i="3"/>
  <c r="M8" i="3"/>
  <c r="K8" i="3"/>
  <c r="M4" i="3"/>
  <c r="P4" i="3"/>
  <c r="K4" i="3"/>
  <c r="O48" i="5"/>
  <c r="O52" i="9"/>
  <c r="N52" i="9"/>
  <c r="K39" i="9"/>
  <c r="L39" i="9" s="1"/>
  <c r="N39" i="9"/>
  <c r="O39" i="9" s="1"/>
  <c r="Q52" i="9"/>
  <c r="R52" i="9" s="1"/>
  <c r="N48" i="15"/>
  <c r="O48" i="15" s="1"/>
  <c r="K35" i="15"/>
  <c r="L35" i="15" s="1"/>
  <c r="Q48" i="15"/>
  <c r="R48" i="15" s="1"/>
  <c r="P10" i="3"/>
  <c r="Q10" i="3" s="1"/>
  <c r="M10" i="3"/>
  <c r="M6" i="3"/>
  <c r="N6" i="3" s="1"/>
  <c r="P6" i="3"/>
  <c r="K6" i="3"/>
  <c r="S63" i="2"/>
  <c r="R63" i="2"/>
  <c r="Q50" i="2"/>
  <c r="P50" i="2"/>
  <c r="Q51" i="17"/>
  <c r="R51" i="17" s="1"/>
  <c r="K38" i="17"/>
  <c r="L38" i="17" s="1"/>
  <c r="N51" i="17"/>
  <c r="O51" i="17" s="1"/>
  <c r="K8" i="14"/>
  <c r="N8" i="14"/>
  <c r="L8" i="14"/>
  <c r="M8" i="14" s="1"/>
  <c r="I8" i="14"/>
  <c r="O8" i="14" s="1"/>
  <c r="P8" i="14" s="1"/>
  <c r="S65" i="2"/>
  <c r="R65" i="2"/>
  <c r="I11" i="16"/>
  <c r="L9" i="14"/>
  <c r="K9" i="14"/>
  <c r="I9" i="14"/>
  <c r="O9" i="14" s="1"/>
  <c r="N9" i="14"/>
  <c r="N37" i="7"/>
  <c r="O37" i="7" s="1"/>
  <c r="L34" i="5"/>
  <c r="I9" i="16"/>
  <c r="O9" i="16" s="1"/>
  <c r="L9" i="16"/>
  <c r="M9" i="16" s="1"/>
  <c r="K9" i="16"/>
  <c r="N9" i="16"/>
  <c r="I12" i="8"/>
  <c r="Q76" i="2"/>
  <c r="P76" i="2"/>
  <c r="Q77" i="2"/>
  <c r="P77" i="2"/>
  <c r="N5" i="3"/>
  <c r="Q78" i="2"/>
  <c r="P78" i="2"/>
  <c r="N47" i="7"/>
  <c r="Q47" i="7"/>
  <c r="R47" i="7" s="1"/>
  <c r="K34" i="7"/>
  <c r="L34" i="7" s="1"/>
  <c r="N34" i="7"/>
  <c r="O34" i="7" s="1"/>
  <c r="O10" i="6"/>
  <c r="N8" i="18"/>
  <c r="K8" i="18"/>
  <c r="I8" i="18"/>
  <c r="Q52" i="2"/>
  <c r="P52" i="2"/>
  <c r="S93" i="2"/>
  <c r="R93" i="2"/>
  <c r="P37" i="2"/>
  <c r="Q37" i="2"/>
  <c r="I11" i="8"/>
  <c r="L9" i="11"/>
  <c r="K9" i="11"/>
  <c r="N9" i="11"/>
  <c r="I9" i="11"/>
  <c r="O9" i="11" s="1"/>
  <c r="P9" i="11" s="1"/>
  <c r="Q70" i="2"/>
  <c r="P70" i="2"/>
  <c r="Q90" i="2"/>
  <c r="P90" i="2"/>
  <c r="N35" i="9"/>
  <c r="O35" i="9" s="1"/>
  <c r="N48" i="9"/>
  <c r="O48" i="9" s="1"/>
  <c r="K35" i="9"/>
  <c r="L35" i="9" s="1"/>
  <c r="Q48" i="9"/>
  <c r="R48" i="9" s="1"/>
  <c r="I13" i="14"/>
  <c r="P49" i="2"/>
  <c r="Q49" i="2"/>
  <c r="J6" i="18"/>
  <c r="R36" i="2"/>
  <c r="S36" i="2"/>
  <c r="K8" i="8"/>
  <c r="N8" i="8"/>
  <c r="I8" i="8"/>
  <c r="S51" i="2"/>
  <c r="R51" i="2"/>
  <c r="Q48" i="7"/>
  <c r="N35" i="7"/>
  <c r="O35" i="7" s="1"/>
  <c r="N48" i="7"/>
  <c r="K35" i="7"/>
  <c r="L35" i="7" s="1"/>
  <c r="O5" i="6"/>
  <c r="P5" i="6" s="1"/>
  <c r="L5" i="6"/>
  <c r="M5" i="6" s="1"/>
  <c r="Q55" i="2"/>
  <c r="P55" i="2"/>
  <c r="S56" i="2"/>
  <c r="R56" i="2"/>
  <c r="N40" i="7"/>
  <c r="O40" i="7" s="1"/>
  <c r="Q62" i="2"/>
  <c r="P62" i="2"/>
  <c r="P99" i="2"/>
  <c r="Q99" i="2"/>
  <c r="P43" i="2"/>
  <c r="Q43" i="2"/>
  <c r="O46" i="7"/>
  <c r="S64" i="2"/>
  <c r="R64" i="2"/>
  <c r="Q80" i="2"/>
  <c r="P80" i="2"/>
  <c r="Q45" i="17"/>
  <c r="R45" i="17" s="1"/>
  <c r="K32" i="17"/>
  <c r="L32" i="17" s="1"/>
  <c r="N45" i="17"/>
  <c r="O45" i="17" s="1"/>
  <c r="P79" i="2"/>
  <c r="Q79" i="2"/>
  <c r="J11" i="18"/>
  <c r="Q69" i="2"/>
  <c r="P69" i="2"/>
  <c r="J9" i="18"/>
  <c r="N49" i="9"/>
  <c r="N36" i="9"/>
  <c r="O36" i="9" s="1"/>
  <c r="Q49" i="9"/>
  <c r="R49" i="9" s="1"/>
  <c r="K36" i="9"/>
  <c r="L36" i="9" s="1"/>
  <c r="I12" i="16"/>
  <c r="Q49" i="15"/>
  <c r="R49" i="15" s="1"/>
  <c r="K36" i="15"/>
  <c r="L36" i="15" s="1"/>
  <c r="N49" i="15"/>
  <c r="O49" i="15" s="1"/>
  <c r="R48" i="2"/>
  <c r="S48" i="2"/>
  <c r="Q34" i="2"/>
  <c r="P34" i="2"/>
  <c r="Q85" i="2"/>
  <c r="P85" i="2"/>
  <c r="N41" i="7"/>
  <c r="O41" i="7" s="1"/>
  <c r="P13" i="3"/>
  <c r="Q13" i="3" s="1"/>
  <c r="M13" i="3"/>
  <c r="N13" i="3" s="1"/>
  <c r="K37" i="15"/>
  <c r="L37" i="15" s="1"/>
  <c r="N50" i="15"/>
  <c r="Q50" i="15"/>
  <c r="R50" i="15" s="1"/>
  <c r="Q66" i="2"/>
  <c r="P66" i="2"/>
  <c r="P83" i="2"/>
  <c r="Q83" i="2"/>
  <c r="I22" i="18"/>
  <c r="L10" i="18" s="1"/>
  <c r="I22" i="16"/>
  <c r="O10" i="16" s="1"/>
  <c r="I22" i="14"/>
  <c r="I22" i="8"/>
  <c r="I23" i="6"/>
  <c r="L10" i="6" s="1"/>
  <c r="I22" i="11"/>
  <c r="M24" i="5"/>
  <c r="N9" i="1"/>
  <c r="Q51" i="1"/>
  <c r="N51" i="1"/>
  <c r="P51" i="1" s="1"/>
  <c r="J9" i="14"/>
  <c r="P9" i="3"/>
  <c r="M9" i="3"/>
  <c r="N9" i="3" s="1"/>
  <c r="K9" i="3"/>
  <c r="P7" i="3"/>
  <c r="Q7" i="3" s="1"/>
  <c r="M7" i="3"/>
  <c r="N7" i="3" s="1"/>
  <c r="Q81" i="2"/>
  <c r="P81" i="2"/>
  <c r="N38" i="9"/>
  <c r="O38" i="9" s="1"/>
  <c r="Q51" i="9"/>
  <c r="R51" i="9" s="1"/>
  <c r="K38" i="9"/>
  <c r="L38" i="9" s="1"/>
  <c r="N51" i="9"/>
  <c r="Q42" i="2"/>
  <c r="P42" i="2"/>
  <c r="S57" i="2"/>
  <c r="R57" i="2"/>
  <c r="S77" i="2"/>
  <c r="R77" i="2"/>
  <c r="P35" i="2"/>
  <c r="Q35" i="2"/>
  <c r="O47" i="7"/>
  <c r="Q94" i="2"/>
  <c r="P94" i="2"/>
  <c r="Q93" i="2"/>
  <c r="P93" i="2"/>
  <c r="P41" i="2"/>
  <c r="Q41" i="2"/>
  <c r="Q53" i="2"/>
  <c r="P53" i="2"/>
  <c r="J36" i="13"/>
  <c r="M49" i="13"/>
  <c r="O47" i="9"/>
  <c r="O10" i="8"/>
  <c r="P11" i="3"/>
  <c r="Q11" i="3" s="1"/>
  <c r="M11" i="3"/>
  <c r="N11" i="3" s="1"/>
  <c r="Q38" i="2"/>
  <c r="P38" i="2"/>
  <c r="N7" i="11"/>
  <c r="I7" i="11"/>
  <c r="O7" i="11" s="1"/>
  <c r="P7" i="11" s="1"/>
  <c r="L7" i="11"/>
  <c r="K7" i="11"/>
  <c r="R98" i="2"/>
  <c r="S98" i="2"/>
  <c r="Q51" i="15"/>
  <c r="R51" i="15" s="1"/>
  <c r="K38" i="15"/>
  <c r="L38" i="15" s="1"/>
  <c r="N51" i="15"/>
  <c r="O51" i="15" s="1"/>
  <c r="P91" i="2"/>
  <c r="Q91" i="2"/>
  <c r="S39" i="2"/>
  <c r="R39" i="2"/>
  <c r="N4" i="3"/>
  <c r="O10" i="18"/>
  <c r="S51" i="1"/>
  <c r="Q45" i="15"/>
  <c r="R45" i="15" s="1"/>
  <c r="K32" i="15"/>
  <c r="L32" i="15" s="1"/>
  <c r="N45" i="15"/>
  <c r="O45" i="15" s="1"/>
  <c r="K33" i="13"/>
  <c r="L33" i="13" s="1"/>
  <c r="N46" i="13"/>
  <c r="Q46" i="13"/>
  <c r="R46" i="13" s="1"/>
  <c r="Q84" i="2"/>
  <c r="P84" i="2"/>
  <c r="K4" i="11"/>
  <c r="N4" i="11"/>
  <c r="I4" i="11"/>
  <c r="O4" i="11" s="1"/>
  <c r="P4" i="11" s="1"/>
  <c r="L4" i="11"/>
  <c r="R34" i="2"/>
  <c r="S34" i="2"/>
  <c r="K37" i="13"/>
  <c r="Q50" i="13"/>
  <c r="S85" i="2"/>
  <c r="R85" i="2"/>
  <c r="P63" i="2"/>
  <c r="Q63" i="2"/>
  <c r="R50" i="2"/>
  <c r="S50" i="2"/>
  <c r="Q47" i="17"/>
  <c r="R47" i="17" s="1"/>
  <c r="K34" i="17"/>
  <c r="L34" i="17" s="1"/>
  <c r="N47" i="17"/>
  <c r="O47" i="17" s="1"/>
  <c r="N7" i="14"/>
  <c r="I7" i="14"/>
  <c r="O7" i="14" s="1"/>
  <c r="P7" i="14" s="1"/>
  <c r="L7" i="14"/>
  <c r="K7" i="14"/>
  <c r="N48" i="17"/>
  <c r="O48" i="17" s="1"/>
  <c r="K35" i="17"/>
  <c r="L35" i="17" s="1"/>
  <c r="Q48" i="17"/>
  <c r="R48" i="17" s="1"/>
  <c r="Q48" i="5"/>
  <c r="S48" i="5" s="1"/>
  <c r="N48" i="5"/>
  <c r="P48" i="5" s="1"/>
  <c r="J35" i="5"/>
  <c r="Q67" i="2"/>
  <c r="P67" i="2"/>
  <c r="K33" i="15"/>
  <c r="L33" i="15" s="1"/>
  <c r="N46" i="15"/>
  <c r="O46" i="15" s="1"/>
  <c r="Q46" i="15"/>
  <c r="R46" i="15" s="1"/>
  <c r="N48" i="13"/>
  <c r="O48" i="13" s="1"/>
  <c r="K35" i="13"/>
  <c r="L35" i="13" s="1"/>
  <c r="Q48" i="13"/>
  <c r="R48" i="13" s="1"/>
  <c r="L36" i="1"/>
  <c r="S76" i="2"/>
  <c r="R76" i="2"/>
  <c r="I13" i="11"/>
  <c r="I5" i="16"/>
  <c r="O5" i="16" s="1"/>
  <c r="L5" i="16"/>
  <c r="M5" i="16" s="1"/>
  <c r="K5" i="16"/>
  <c r="N5" i="16"/>
  <c r="S35" i="2"/>
  <c r="R35" i="2"/>
  <c r="M5" i="3"/>
  <c r="P5" i="3"/>
  <c r="Q5" i="3" s="1"/>
  <c r="R78" i="2"/>
  <c r="S78" i="2"/>
  <c r="R52" i="2"/>
  <c r="S52" i="2"/>
  <c r="N36" i="7"/>
  <c r="O36" i="7" s="1"/>
  <c r="I7" i="18"/>
  <c r="K7" i="18"/>
  <c r="N7" i="18"/>
  <c r="S37" i="2"/>
  <c r="R37" i="2"/>
  <c r="J36" i="1"/>
  <c r="M24" i="1"/>
  <c r="S70" i="2"/>
  <c r="R70" i="2"/>
  <c r="R90" i="2"/>
  <c r="S90" i="2"/>
  <c r="O45" i="7"/>
  <c r="Q45" i="13"/>
  <c r="R45" i="13" s="1"/>
  <c r="K32" i="13"/>
  <c r="L32" i="13" s="1"/>
  <c r="N45" i="13"/>
  <c r="O45" i="13" s="1"/>
  <c r="S49" i="2"/>
  <c r="R49" i="2"/>
  <c r="S92" i="2"/>
  <c r="R92" i="2"/>
  <c r="I6" i="8"/>
  <c r="K6" i="8"/>
  <c r="N6" i="8"/>
  <c r="P51" i="2"/>
  <c r="Q51" i="2"/>
  <c r="R55" i="2"/>
  <c r="S55" i="2"/>
  <c r="N52" i="17"/>
  <c r="O52" i="17" s="1"/>
  <c r="K39" i="17"/>
  <c r="L39" i="17" s="1"/>
  <c r="Q52" i="17"/>
  <c r="R52" i="17" s="1"/>
  <c r="N45" i="9"/>
  <c r="O45" i="9" s="1"/>
  <c r="N32" i="9"/>
  <c r="O32" i="9" s="1"/>
  <c r="Q45" i="9"/>
  <c r="R45" i="9" s="1"/>
  <c r="K32" i="9"/>
  <c r="L32" i="9" s="1"/>
  <c r="I12" i="18"/>
  <c r="P56" i="2"/>
  <c r="Q56" i="2"/>
  <c r="S62" i="2"/>
  <c r="R62" i="2"/>
  <c r="S99" i="2"/>
  <c r="R99" i="2"/>
  <c r="S43" i="2"/>
  <c r="R43" i="2"/>
  <c r="K5" i="18"/>
  <c r="I5" i="18"/>
  <c r="N5" i="18"/>
  <c r="J6" i="14"/>
  <c r="S80" i="2"/>
  <c r="R80" i="2"/>
  <c r="S79" i="2"/>
  <c r="R79" i="2"/>
  <c r="S97" i="2"/>
  <c r="R97" i="2"/>
  <c r="S69" i="2"/>
  <c r="R69" i="2"/>
  <c r="P95" i="2"/>
  <c r="Q95" i="2"/>
  <c r="K9" i="8"/>
  <c r="N9" i="8"/>
  <c r="I9" i="8"/>
  <c r="M8" i="6"/>
  <c r="Q53" i="17"/>
  <c r="R53" i="17" s="1"/>
  <c r="K40" i="17"/>
  <c r="L40" i="17" s="1"/>
  <c r="N53" i="17"/>
  <c r="O53" i="17" s="1"/>
  <c r="N8" i="3"/>
  <c r="K35" i="5"/>
  <c r="O49" i="9"/>
  <c r="Q50" i="9"/>
  <c r="R50" i="9" s="1"/>
  <c r="K37" i="9"/>
  <c r="L37" i="9" s="1"/>
  <c r="N50" i="9"/>
  <c r="O50" i="9" s="1"/>
  <c r="N37" i="9"/>
  <c r="O37" i="9" s="1"/>
  <c r="N10" i="3"/>
  <c r="S84" i="2"/>
  <c r="R84" i="2"/>
  <c r="Q48" i="2"/>
  <c r="P48" i="2"/>
  <c r="K4" i="8"/>
  <c r="N4" i="8"/>
  <c r="I4" i="8"/>
  <c r="Q54" i="9"/>
  <c r="R54" i="9" s="1"/>
  <c r="K41" i="9"/>
  <c r="L41" i="9" s="1"/>
  <c r="N54" i="9"/>
  <c r="N41" i="9"/>
  <c r="O41" i="9" s="1"/>
  <c r="O54" i="9"/>
  <c r="Q46" i="9"/>
  <c r="R46" i="9" s="1"/>
  <c r="N33" i="9"/>
  <c r="O33" i="9" s="1"/>
  <c r="N46" i="9"/>
  <c r="K33" i="9"/>
  <c r="L33" i="9" s="1"/>
  <c r="O46" i="9"/>
  <c r="I13" i="16"/>
  <c r="K5" i="14"/>
  <c r="L5" i="14"/>
  <c r="M5" i="14" s="1"/>
  <c r="N5" i="14"/>
  <c r="I5" i="14"/>
  <c r="O5" i="14" s="1"/>
  <c r="P5" i="14" s="1"/>
  <c r="K5" i="3"/>
  <c r="I6" i="11"/>
  <c r="O6" i="11" s="1"/>
  <c r="P6" i="11" s="1"/>
  <c r="L6" i="11"/>
  <c r="K6" i="11"/>
  <c r="N6" i="11"/>
  <c r="R66" i="2"/>
  <c r="S66" i="2"/>
  <c r="Q65" i="2"/>
  <c r="P65" i="2"/>
  <c r="S83" i="2"/>
  <c r="R83" i="2"/>
  <c r="S67" i="2"/>
  <c r="R67" i="2"/>
  <c r="P48" i="7"/>
  <c r="M23" i="7"/>
  <c r="K41" i="15"/>
  <c r="L41" i="15" s="1"/>
  <c r="N54" i="15"/>
  <c r="O54" i="15" s="1"/>
  <c r="Q54" i="15"/>
  <c r="R54" i="15" s="1"/>
  <c r="S81" i="2"/>
  <c r="R81" i="2"/>
  <c r="O51" i="9"/>
  <c r="K37" i="17"/>
  <c r="L37" i="17" s="1"/>
  <c r="N50" i="17"/>
  <c r="O50" i="17" s="1"/>
  <c r="Q50" i="17"/>
  <c r="R50" i="17" s="1"/>
  <c r="K41" i="17"/>
  <c r="L41" i="17" s="1"/>
  <c r="N54" i="17"/>
  <c r="O54" i="17" s="1"/>
  <c r="Q54" i="17"/>
  <c r="R54" i="17" s="1"/>
  <c r="O9" i="6"/>
  <c r="P9" i="6" s="1"/>
  <c r="L9" i="6"/>
  <c r="M9" i="6" s="1"/>
  <c r="R42" i="2"/>
  <c r="S42" i="2"/>
  <c r="L4" i="16"/>
  <c r="M4" i="16" s="1"/>
  <c r="K4" i="16"/>
  <c r="N4" i="16"/>
  <c r="I4" i="16"/>
  <c r="O4" i="16" s="1"/>
  <c r="K33" i="17"/>
  <c r="L33" i="17" s="1"/>
  <c r="N46" i="17"/>
  <c r="O46" i="17" s="1"/>
  <c r="Q46" i="17"/>
  <c r="R46" i="17" s="1"/>
  <c r="Q57" i="2"/>
  <c r="P57" i="2"/>
  <c r="J5" i="16"/>
  <c r="K5" i="8"/>
  <c r="N5" i="8"/>
  <c r="I5" i="8"/>
  <c r="N6" i="16"/>
  <c r="I6" i="16"/>
  <c r="O6" i="16" s="1"/>
  <c r="P6" i="16" s="1"/>
  <c r="L6" i="16"/>
  <c r="K6" i="16"/>
  <c r="R94" i="2"/>
  <c r="S94" i="2"/>
  <c r="K8" i="11"/>
  <c r="N8" i="11"/>
  <c r="I8" i="11"/>
  <c r="O8" i="11" s="1"/>
  <c r="L8" i="11"/>
  <c r="M8" i="11" s="1"/>
  <c r="J7" i="18"/>
  <c r="N7" i="8"/>
  <c r="I7" i="8"/>
  <c r="K7" i="8"/>
  <c r="S41" i="2"/>
  <c r="R41" i="2"/>
  <c r="N39" i="7"/>
  <c r="O39" i="7" s="1"/>
  <c r="O10" i="14"/>
  <c r="R53" i="2"/>
  <c r="S53" i="2"/>
  <c r="Q49" i="13"/>
  <c r="R49" i="13" s="1"/>
  <c r="K36" i="13"/>
  <c r="N49" i="13"/>
  <c r="N34" i="9"/>
  <c r="O34" i="9" s="1"/>
  <c r="Q47" i="9"/>
  <c r="R47" i="9" s="1"/>
  <c r="K34" i="9"/>
  <c r="L34" i="9" s="1"/>
  <c r="N47" i="9"/>
  <c r="P49" i="7" l="1"/>
  <c r="M24" i="7"/>
  <c r="J36" i="7"/>
  <c r="M49" i="7"/>
  <c r="O5" i="18"/>
  <c r="P5" i="18" s="1"/>
  <c r="L5" i="18"/>
  <c r="M5" i="18" s="1"/>
  <c r="L6" i="8"/>
  <c r="M6" i="8" s="1"/>
  <c r="O6" i="8"/>
  <c r="P6" i="8" s="1"/>
  <c r="L10" i="11"/>
  <c r="M10" i="11" s="1"/>
  <c r="K10" i="11"/>
  <c r="N10" i="11"/>
  <c r="L5" i="8"/>
  <c r="M5" i="8" s="1"/>
  <c r="O5" i="8"/>
  <c r="P5" i="8" s="1"/>
  <c r="J37" i="1"/>
  <c r="M25" i="1"/>
  <c r="K37" i="1"/>
  <c r="Q49" i="7"/>
  <c r="R49" i="7" s="1"/>
  <c r="P10" i="18"/>
  <c r="Q9" i="3"/>
  <c r="I23" i="14"/>
  <c r="I23" i="18"/>
  <c r="O11" i="18" s="1"/>
  <c r="I23" i="11"/>
  <c r="I23" i="8"/>
  <c r="I24" i="6"/>
  <c r="I23" i="16"/>
  <c r="M25" i="5"/>
  <c r="N10" i="1"/>
  <c r="Q52" i="1"/>
  <c r="N52" i="1"/>
  <c r="P52" i="1" s="1"/>
  <c r="R52" i="1"/>
  <c r="O52" i="1"/>
  <c r="K10" i="8"/>
  <c r="N10" i="8"/>
  <c r="P10" i="8" s="1"/>
  <c r="O11" i="8"/>
  <c r="O11" i="11"/>
  <c r="P50" i="13"/>
  <c r="R50" i="13" s="1"/>
  <c r="M25" i="13"/>
  <c r="M50" i="13"/>
  <c r="O50" i="13" s="1"/>
  <c r="J37" i="13"/>
  <c r="L37" i="13" s="1"/>
  <c r="L36" i="13"/>
  <c r="M6" i="16"/>
  <c r="O10" i="11"/>
  <c r="O4" i="8"/>
  <c r="P4" i="8" s="1"/>
  <c r="L4" i="8"/>
  <c r="M4" i="8" s="1"/>
  <c r="O7" i="18"/>
  <c r="P7" i="18" s="1"/>
  <c r="L7" i="18"/>
  <c r="M7" i="18" s="1"/>
  <c r="K36" i="7"/>
  <c r="L36" i="7" s="1"/>
  <c r="P5" i="16"/>
  <c r="M7" i="14"/>
  <c r="N50" i="13"/>
  <c r="M4" i="11"/>
  <c r="M7" i="11"/>
  <c r="L10" i="8"/>
  <c r="Q49" i="5"/>
  <c r="N49" i="5"/>
  <c r="J36" i="5"/>
  <c r="K36" i="5"/>
  <c r="O49" i="5"/>
  <c r="R49" i="5"/>
  <c r="L10" i="14"/>
  <c r="M10" i="14" s="1"/>
  <c r="K10" i="14"/>
  <c r="N10" i="14"/>
  <c r="P10" i="14" s="1"/>
  <c r="M9" i="11"/>
  <c r="L8" i="18"/>
  <c r="M8" i="18" s="1"/>
  <c r="O8" i="18"/>
  <c r="P8" i="18" s="1"/>
  <c r="P9" i="16"/>
  <c r="P9" i="14"/>
  <c r="O11" i="16"/>
  <c r="Q4" i="3"/>
  <c r="Q8" i="3"/>
  <c r="O11" i="14"/>
  <c r="P4" i="14"/>
  <c r="P5" i="11"/>
  <c r="P6" i="14"/>
  <c r="L7" i="8"/>
  <c r="M7" i="8" s="1"/>
  <c r="O7" i="8"/>
  <c r="P7" i="8" s="1"/>
  <c r="L9" i="8"/>
  <c r="M9" i="8" s="1"/>
  <c r="O9" i="8"/>
  <c r="P9" i="8" s="1"/>
  <c r="N10" i="16"/>
  <c r="P10" i="16" s="1"/>
  <c r="L10" i="16"/>
  <c r="M10" i="16" s="1"/>
  <c r="K10" i="16"/>
  <c r="L6" i="18"/>
  <c r="M6" i="18" s="1"/>
  <c r="O6" i="18"/>
  <c r="P6" i="18" s="1"/>
  <c r="P8" i="11"/>
  <c r="P4" i="16"/>
  <c r="M6" i="11"/>
  <c r="L35" i="5"/>
  <c r="N49" i="7"/>
  <c r="O49" i="13"/>
  <c r="K10" i="6"/>
  <c r="M10" i="6" s="1"/>
  <c r="N10" i="6"/>
  <c r="P10" i="6" s="1"/>
  <c r="N10" i="18"/>
  <c r="K10" i="18"/>
  <c r="M10" i="18" s="1"/>
  <c r="R48" i="7"/>
  <c r="O8" i="8"/>
  <c r="P8" i="8" s="1"/>
  <c r="L8" i="8"/>
  <c r="M8" i="8" s="1"/>
  <c r="M9" i="14"/>
  <c r="Q6" i="3"/>
  <c r="O9" i="18"/>
  <c r="P9" i="18" s="1"/>
  <c r="L9" i="18"/>
  <c r="M9" i="18" s="1"/>
  <c r="M7" i="16"/>
  <c r="P8" i="16"/>
  <c r="M4" i="14"/>
  <c r="L4" i="18"/>
  <c r="M4" i="18" s="1"/>
  <c r="O4" i="18"/>
  <c r="P4" i="18" s="1"/>
  <c r="M6" i="14"/>
  <c r="P11" i="16" l="1"/>
  <c r="I24" i="18"/>
  <c r="I24" i="16"/>
  <c r="I24" i="14"/>
  <c r="I24" i="11"/>
  <c r="I24" i="8"/>
  <c r="I25" i="6"/>
  <c r="N11" i="1"/>
  <c r="M26" i="5"/>
  <c r="Q53" i="1"/>
  <c r="N53" i="1"/>
  <c r="O53" i="1"/>
  <c r="R53" i="1"/>
  <c r="N11" i="8"/>
  <c r="P11" i="8" s="1"/>
  <c r="K11" i="8"/>
  <c r="K11" i="16"/>
  <c r="N11" i="16"/>
  <c r="L11" i="16"/>
  <c r="M11" i="16" s="1"/>
  <c r="M26" i="1"/>
  <c r="J38" i="1"/>
  <c r="K38" i="1"/>
  <c r="L38" i="1" s="1"/>
  <c r="L36" i="5"/>
  <c r="M10" i="8"/>
  <c r="P10" i="11"/>
  <c r="L11" i="8"/>
  <c r="M11" i="8" s="1"/>
  <c r="S52" i="1"/>
  <c r="J37" i="5"/>
  <c r="Q50" i="5"/>
  <c r="N50" i="5"/>
  <c r="P50" i="5" s="1"/>
  <c r="K37" i="5"/>
  <c r="R50" i="5"/>
  <c r="S50" i="5" s="1"/>
  <c r="O50" i="5"/>
  <c r="L11" i="11"/>
  <c r="M11" i="11" s="1"/>
  <c r="K11" i="11"/>
  <c r="N11" i="11"/>
  <c r="P11" i="11" s="1"/>
  <c r="L37" i="1"/>
  <c r="O49" i="7"/>
  <c r="K11" i="18"/>
  <c r="N11" i="18"/>
  <c r="P11" i="18" s="1"/>
  <c r="L11" i="18"/>
  <c r="P11" i="14"/>
  <c r="S49" i="5"/>
  <c r="P49" i="5"/>
  <c r="M26" i="13"/>
  <c r="P51" i="13"/>
  <c r="M51" i="13"/>
  <c r="J38" i="13"/>
  <c r="K38" i="13"/>
  <c r="N51" i="13"/>
  <c r="Q51" i="13"/>
  <c r="N11" i="6"/>
  <c r="K11" i="6"/>
  <c r="L11" i="6"/>
  <c r="O11" i="6"/>
  <c r="K11" i="14"/>
  <c r="N11" i="14"/>
  <c r="L11" i="14"/>
  <c r="M25" i="7"/>
  <c r="P50" i="7"/>
  <c r="J37" i="7"/>
  <c r="M50" i="7"/>
  <c r="N50" i="7"/>
  <c r="K37" i="7"/>
  <c r="L37" i="7" s="1"/>
  <c r="Q50" i="7"/>
  <c r="I25" i="18" l="1"/>
  <c r="I25" i="16"/>
  <c r="I25" i="11"/>
  <c r="I25" i="8"/>
  <c r="I26" i="6"/>
  <c r="I25" i="14"/>
  <c r="M27" i="5"/>
  <c r="N54" i="1"/>
  <c r="P54" i="1" s="1"/>
  <c r="Q54" i="1"/>
  <c r="O54" i="1"/>
  <c r="R54" i="1"/>
  <c r="K12" i="8"/>
  <c r="N12" i="8"/>
  <c r="O12" i="8"/>
  <c r="P12" i="8" s="1"/>
  <c r="L12" i="8"/>
  <c r="N12" i="18"/>
  <c r="K12" i="18"/>
  <c r="L12" i="18"/>
  <c r="M12" i="18" s="1"/>
  <c r="O12" i="18"/>
  <c r="J39" i="1"/>
  <c r="M27" i="1"/>
  <c r="K39" i="1"/>
  <c r="N12" i="14"/>
  <c r="L12" i="14"/>
  <c r="M12" i="14" s="1"/>
  <c r="K12" i="14"/>
  <c r="O12" i="14"/>
  <c r="P12" i="14" s="1"/>
  <c r="R50" i="7"/>
  <c r="M11" i="14"/>
  <c r="M11" i="6"/>
  <c r="L38" i="13"/>
  <c r="P52" i="13"/>
  <c r="M27" i="13"/>
  <c r="J39" i="13"/>
  <c r="M52" i="13"/>
  <c r="K39" i="13"/>
  <c r="N52" i="13"/>
  <c r="Q52" i="13"/>
  <c r="R52" i="13" s="1"/>
  <c r="M11" i="18"/>
  <c r="S53" i="1"/>
  <c r="J38" i="5"/>
  <c r="N51" i="5"/>
  <c r="P51" i="5" s="1"/>
  <c r="Q51" i="5"/>
  <c r="O51" i="5"/>
  <c r="K38" i="5"/>
  <c r="L38" i="5" s="1"/>
  <c r="R51" i="5"/>
  <c r="L12" i="11"/>
  <c r="M12" i="11" s="1"/>
  <c r="K12" i="11"/>
  <c r="N12" i="11"/>
  <c r="O12" i="11"/>
  <c r="O50" i="7"/>
  <c r="M26" i="7"/>
  <c r="P51" i="7"/>
  <c r="J38" i="7"/>
  <c r="M51" i="7"/>
  <c r="N51" i="7"/>
  <c r="Q51" i="7"/>
  <c r="R51" i="7" s="1"/>
  <c r="K38" i="7"/>
  <c r="L38" i="7" s="1"/>
  <c r="P11" i="6"/>
  <c r="R51" i="13"/>
  <c r="O51" i="13"/>
  <c r="L37" i="5"/>
  <c r="P53" i="1"/>
  <c r="N12" i="6"/>
  <c r="K12" i="6"/>
  <c r="L12" i="6"/>
  <c r="O12" i="6"/>
  <c r="L12" i="16"/>
  <c r="M12" i="16" s="1"/>
  <c r="N12" i="16"/>
  <c r="K12" i="16"/>
  <c r="O12" i="16"/>
  <c r="M28" i="13" l="1"/>
  <c r="P53" i="13"/>
  <c r="M53" i="13"/>
  <c r="J40" i="13"/>
  <c r="Q53" i="13"/>
  <c r="R53" i="13" s="1"/>
  <c r="K40" i="13"/>
  <c r="N53" i="13"/>
  <c r="K13" i="8"/>
  <c r="N13" i="8"/>
  <c r="O13" i="8"/>
  <c r="L13" i="8"/>
  <c r="P12" i="16"/>
  <c r="P12" i="6"/>
  <c r="O51" i="7"/>
  <c r="L39" i="13"/>
  <c r="P12" i="18"/>
  <c r="M12" i="8"/>
  <c r="S54" i="1"/>
  <c r="J39" i="5"/>
  <c r="Q52" i="5"/>
  <c r="N52" i="5"/>
  <c r="R52" i="5"/>
  <c r="K39" i="5"/>
  <c r="L39" i="5" s="1"/>
  <c r="O52" i="5"/>
  <c r="N13" i="11"/>
  <c r="L13" i="11"/>
  <c r="K13" i="11"/>
  <c r="O13" i="11"/>
  <c r="P13" i="11" s="1"/>
  <c r="P52" i="7"/>
  <c r="M27" i="7"/>
  <c r="M52" i="7"/>
  <c r="O52" i="7" s="1"/>
  <c r="J39" i="7"/>
  <c r="N52" i="7"/>
  <c r="Q52" i="7"/>
  <c r="K39" i="7"/>
  <c r="L39" i="7" s="1"/>
  <c r="O52" i="13"/>
  <c r="L39" i="1"/>
  <c r="L13" i="14"/>
  <c r="K13" i="14"/>
  <c r="N13" i="14"/>
  <c r="O13" i="14"/>
  <c r="L13" i="16"/>
  <c r="N13" i="16"/>
  <c r="K13" i="16"/>
  <c r="O13" i="16"/>
  <c r="M12" i="6"/>
  <c r="P12" i="11"/>
  <c r="S51" i="5"/>
  <c r="J40" i="1"/>
  <c r="M28" i="1"/>
  <c r="K40" i="1"/>
  <c r="L40" i="1" s="1"/>
  <c r="K13" i="6"/>
  <c r="M13" i="6" s="1"/>
  <c r="N13" i="6"/>
  <c r="O13" i="6"/>
  <c r="P13" i="6" s="1"/>
  <c r="L13" i="6"/>
  <c r="K13" i="18"/>
  <c r="N13" i="18"/>
  <c r="O13" i="18"/>
  <c r="P13" i="18" s="1"/>
  <c r="L13" i="18"/>
  <c r="M13" i="18" l="1"/>
  <c r="J41" i="1"/>
  <c r="K41" i="1"/>
  <c r="M13" i="16"/>
  <c r="M13" i="14"/>
  <c r="R52" i="7"/>
  <c r="M13" i="8"/>
  <c r="O53" i="13"/>
  <c r="P13" i="16"/>
  <c r="P13" i="14"/>
  <c r="P53" i="7"/>
  <c r="M28" i="7"/>
  <c r="J40" i="7"/>
  <c r="M53" i="7"/>
  <c r="K40" i="7"/>
  <c r="L40" i="7" s="1"/>
  <c r="N53" i="7"/>
  <c r="Q53" i="7"/>
  <c r="R53" i="7" s="1"/>
  <c r="M13" i="11"/>
  <c r="S52" i="5"/>
  <c r="P13" i="8"/>
  <c r="L40" i="13"/>
  <c r="P52" i="5"/>
  <c r="P54" i="13"/>
  <c r="M54" i="13"/>
  <c r="O54" i="13" s="1"/>
  <c r="J41" i="13"/>
  <c r="K41" i="13"/>
  <c r="N54" i="13"/>
  <c r="Q54" i="13"/>
  <c r="R54" i="13" s="1"/>
  <c r="L41" i="13" l="1"/>
  <c r="O53" i="7"/>
  <c r="L41" i="1"/>
  <c r="P54" i="7"/>
  <c r="M54" i="7"/>
  <c r="O54" i="7" s="1"/>
  <c r="J41" i="7"/>
  <c r="K41" i="7"/>
  <c r="L41" i="7" s="1"/>
  <c r="N54" i="7"/>
  <c r="Q54" i="7"/>
  <c r="R54" i="7" s="1"/>
</calcChain>
</file>

<file path=xl/sharedStrings.xml><?xml version="1.0" encoding="utf-8"?>
<sst xmlns="http://schemas.openxmlformats.org/spreadsheetml/2006/main" count="788" uniqueCount="136">
  <si>
    <t>RANGE</t>
  </si>
  <si>
    <t>TOF</t>
  </si>
  <si>
    <t>A/S FACTOR -</t>
  </si>
  <si>
    <t>A/S FACTOR +</t>
  </si>
  <si>
    <t>DIF ALT</t>
  </si>
  <si>
    <t>DFS PER 10M DEC</t>
  </si>
  <si>
    <t>L/A ELEVATION</t>
  </si>
  <si>
    <t>H/A ELEVATION</t>
  </si>
  <si>
    <t>L/A QE</t>
  </si>
  <si>
    <t>L/A MSFS</t>
  </si>
  <si>
    <t>H/A QE</t>
  </si>
  <si>
    <t>H/A MSFS</t>
  </si>
  <si>
    <t>POINT</t>
  </si>
  <si>
    <t>NEEDED?</t>
  </si>
  <si>
    <t>CHARGE 1 HE</t>
  </si>
  <si>
    <t>INPUT BOX</t>
  </si>
  <si>
    <t>PERCENTAGE</t>
  </si>
  <si>
    <t>LOW RANGE</t>
  </si>
  <si>
    <t>HIGH RANGE</t>
  </si>
  <si>
    <t>LOW  TE</t>
  </si>
  <si>
    <t>HIGH TE</t>
  </si>
  <si>
    <t>CRESTED?</t>
  </si>
  <si>
    <t>L/A OR H/A</t>
  </si>
  <si>
    <t>L/A</t>
  </si>
  <si>
    <t>H/A</t>
  </si>
  <si>
    <t>INT TE</t>
  </si>
  <si>
    <t>LOW TOF</t>
  </si>
  <si>
    <t>HIGH TOF</t>
  </si>
  <si>
    <t>CHARGE 1 ILLUM</t>
  </si>
  <si>
    <t>INTERPOLATION ILLUM</t>
  </si>
  <si>
    <t>CHARGE 2 HE</t>
  </si>
  <si>
    <t>INT TOF</t>
  </si>
  <si>
    <t>CHARGE 2 ILLUM</t>
  </si>
  <si>
    <t>INTERPOLATION HE CHARGE 2</t>
  </si>
  <si>
    <t>INTERPOLATION ILLUM CHARGE 2</t>
  </si>
  <si>
    <t>CHARGE 3 HE</t>
  </si>
  <si>
    <t>ILLUM DATA</t>
  </si>
  <si>
    <t>HE DATA</t>
  </si>
  <si>
    <t>RANGE (M)</t>
  </si>
  <si>
    <t>DIF ALT (M)</t>
  </si>
  <si>
    <t>INTERPOLATION HE CHARGE 1</t>
  </si>
  <si>
    <t>CHARGE 3 ILLUM</t>
  </si>
  <si>
    <t>INTERPOLATION HE CHARGE 3</t>
  </si>
  <si>
    <t xml:space="preserve"> </t>
  </si>
  <si>
    <t>INTERPOLATION ILLUM CHARGE 3</t>
  </si>
  <si>
    <t>CHARGE 4 HE</t>
  </si>
  <si>
    <t>CHARGE 5 HE</t>
  </si>
  <si>
    <t>CHARGE 6 HE</t>
  </si>
  <si>
    <t>CHARGE 4 ILLUM</t>
  </si>
  <si>
    <t>CHARGE 5 ILLUM</t>
  </si>
  <si>
    <t>CHARGE 6 ILLUM</t>
  </si>
  <si>
    <t>PRODUCED BY:</t>
  </si>
  <si>
    <t>CHECKED BY:</t>
  </si>
  <si>
    <t>CERTIFIED BY:</t>
  </si>
  <si>
    <t>TFT Used:</t>
  </si>
  <si>
    <t>FT 105-AS-4,C2</t>
  </si>
  <si>
    <t xml:space="preserve">The following variations from standard conditions were used in </t>
  </si>
  <si>
    <t>the preparing the firing tables:</t>
  </si>
  <si>
    <t>10 m/s</t>
  </si>
  <si>
    <t>Range and Cross Wind - (Head, Tail and Cross)</t>
  </si>
  <si>
    <t>Muzzle Velocity - (Decrease and increase)</t>
  </si>
  <si>
    <t>50 knots</t>
  </si>
  <si>
    <t>Ballistic Air Temperature -(Decrease and Increase)</t>
  </si>
  <si>
    <t>Ballistic Air Density - (Decrease and Increase)</t>
  </si>
  <si>
    <t>Projectile weight - (Decrease and Increase)</t>
  </si>
  <si>
    <t xml:space="preserve">1 Square </t>
  </si>
  <si>
    <t>Angle of Site - ( +Site and - site)</t>
  </si>
  <si>
    <t>50mils</t>
  </si>
  <si>
    <t xml:space="preserve">Safety Fan Construction Aide Memoire used in the </t>
  </si>
  <si>
    <t>A0370 Field Safety course.</t>
  </si>
  <si>
    <t>Version Number</t>
  </si>
  <si>
    <t>2LT D BERTRAM</t>
  </si>
  <si>
    <t>Low DFS</t>
  </si>
  <si>
    <t>HIGH DFS</t>
  </si>
  <si>
    <t>INT DFS</t>
  </si>
  <si>
    <t>Low A/S FACTOR</t>
  </si>
  <si>
    <t xml:space="preserve">High A/S Factor </t>
  </si>
  <si>
    <t>INT A/S FACTOR</t>
  </si>
  <si>
    <t>APPLY?</t>
  </si>
  <si>
    <t>No</t>
  </si>
  <si>
    <t>Yes</t>
  </si>
  <si>
    <t>RNG CRCTN</t>
  </si>
  <si>
    <t>BNG CRTN</t>
  </si>
  <si>
    <t>FCS</t>
  </si>
  <si>
    <t>TFT</t>
  </si>
  <si>
    <t>CRCTN</t>
  </si>
  <si>
    <t>APPLY STAMET</t>
  </si>
  <si>
    <t>INTERPOLATION HE CHARGE 4</t>
  </si>
  <si>
    <t>Low A/S</t>
  </si>
  <si>
    <t xml:space="preserve">High A/S </t>
  </si>
  <si>
    <t>INT A/S</t>
  </si>
  <si>
    <t>INTERPOLATION ILLUM CHARGE 4</t>
  </si>
  <si>
    <t>STAMET INPUT</t>
  </si>
  <si>
    <r>
      <t>BEARING (</t>
    </r>
    <r>
      <rPr>
        <b/>
        <sz val="11"/>
        <color theme="1"/>
        <rFont val="Calibri"/>
        <family val="2"/>
      </rPr>
      <t>₥</t>
    </r>
    <r>
      <rPr>
        <b/>
        <sz val="11"/>
        <color theme="1"/>
        <rFont val="Aptos Narrow"/>
      </rPr>
      <t>)</t>
    </r>
  </si>
  <si>
    <t>INTERPOLATION ILLUM CHARGE 5</t>
  </si>
  <si>
    <t>The calculations done in this program are from the</t>
  </si>
  <si>
    <t>CHARGE 7 HE</t>
  </si>
  <si>
    <t>CHARGE 7 ILLUM</t>
  </si>
  <si>
    <t>INTERPOLATION HE CHARGE 7</t>
  </si>
  <si>
    <t>INTERPOLATION HE CHARGE 6</t>
  </si>
  <si>
    <t>INTERPOLATION HE CHARGE 5</t>
  </si>
  <si>
    <t>INTERPOLATION ILLUM CHARGE 6</t>
  </si>
  <si>
    <t>SAFETY FAN CALCULATOR</t>
  </si>
  <si>
    <t>INTERPOLATION ILLUM CHARGE 7</t>
  </si>
  <si>
    <t>Northing</t>
  </si>
  <si>
    <t>Easting</t>
  </si>
  <si>
    <t>BC</t>
  </si>
  <si>
    <t>GRID INPUT</t>
  </si>
  <si>
    <t>N</t>
  </si>
  <si>
    <t>E</t>
  </si>
  <si>
    <t>ALT</t>
  </si>
  <si>
    <t>Alt (m)</t>
  </si>
  <si>
    <t>N DIF</t>
  </si>
  <si>
    <t>E DIF</t>
  </si>
  <si>
    <t>DIST</t>
  </si>
  <si>
    <t>FIGURE</t>
  </si>
  <si>
    <t>GRID</t>
  </si>
  <si>
    <t>WHICH INPUT?</t>
  </si>
  <si>
    <t xml:space="preserve">RANGE INPUT </t>
  </si>
  <si>
    <t>TRAJECTORY</t>
  </si>
  <si>
    <t>UB</t>
  </si>
  <si>
    <t>VB</t>
  </si>
  <si>
    <t>GRID INPUT (8 or 10 Figure)</t>
  </si>
  <si>
    <t>RANGE (m)</t>
  </si>
  <si>
    <t>DIF ALT (m)</t>
  </si>
  <si>
    <t xml:space="preserve">Point </t>
  </si>
  <si>
    <t xml:space="preserve">Northing </t>
  </si>
  <si>
    <t>GRID Thing</t>
  </si>
  <si>
    <t>WHICH STAPD?</t>
  </si>
  <si>
    <t>NURSERY - STAPD</t>
  </si>
  <si>
    <t>ENGINEERS HILL - STAPD</t>
  </si>
  <si>
    <t>NURSERY -STAI</t>
  </si>
  <si>
    <t>8 OR 10 FIGURE GR</t>
  </si>
  <si>
    <t>NAME 4</t>
  </si>
  <si>
    <t xml:space="preserve">options 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</si>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</sst>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2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Calibri"/>
      <family val="2"/>
    </font>
    <font>
      <b/>
      <sz val="11"/>
      <color theme="1"/>
      <name val="Aptos Narrow"/>
    </font>
    <font>
      <b/>
      <sz val="24"/>
      <color theme="1"/>
      <name val="Aptos Narrow"/>
      <scheme val="minor"/>
    </font>
    <font>
      <b/>
      <sz val="2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4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0" fillId="3" borderId="12" xfId="0" applyFill="1" applyBorder="1"/>
    <xf numFmtId="166" fontId="0" fillId="2" borderId="12" xfId="0" applyNumberFormat="1" applyFill="1" applyBorder="1"/>
    <xf numFmtId="166" fontId="0" fillId="3" borderId="12" xfId="0" applyNumberFormat="1" applyFill="1" applyBorder="1"/>
    <xf numFmtId="166" fontId="0" fillId="0" borderId="13" xfId="0" applyNumberFormat="1" applyBorder="1"/>
    <xf numFmtId="0" fontId="0" fillId="3" borderId="11" xfId="0" applyFill="1" applyBorder="1"/>
    <xf numFmtId="165" fontId="0" fillId="3" borderId="12" xfId="0" applyNumberFormat="1" applyFill="1" applyBorder="1"/>
    <xf numFmtId="165" fontId="0" fillId="0" borderId="13" xfId="0" applyNumberFormat="1" applyBorder="1"/>
    <xf numFmtId="0" fontId="0" fillId="0" borderId="13" xfId="0" applyBorder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5" borderId="15" xfId="0" applyFill="1" applyBorder="1" applyAlignment="1">
      <alignment horizontal="center"/>
    </xf>
    <xf numFmtId="166" fontId="0" fillId="0" borderId="12" xfId="0" applyNumberFormat="1" applyFill="1" applyBorder="1"/>
    <xf numFmtId="0" fontId="0" fillId="0" borderId="12" xfId="0" applyFill="1" applyBorder="1"/>
    <xf numFmtId="0" fontId="2" fillId="0" borderId="0" xfId="0" applyFont="1" applyAlignment="1"/>
    <xf numFmtId="0" fontId="1" fillId="3" borderId="13" xfId="0" applyFon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0" xfId="0" applyFill="1"/>
    <xf numFmtId="2" fontId="0" fillId="0" borderId="13" xfId="0" applyNumberFormat="1" applyFill="1" applyBorder="1" applyAlignment="1">
      <alignment horizontal="center"/>
    </xf>
    <xf numFmtId="166" fontId="0" fillId="0" borderId="13" xfId="0" applyNumberFormat="1" applyFill="1" applyBorder="1"/>
    <xf numFmtId="0" fontId="0" fillId="0" borderId="13" xfId="0" applyFill="1" applyBorder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4" fontId="0" fillId="0" borderId="12" xfId="0" applyNumberFormat="1" applyFill="1" applyBorder="1"/>
    <xf numFmtId="166" fontId="0" fillId="0" borderId="0" xfId="0" applyNumberFormat="1"/>
    <xf numFmtId="1" fontId="0" fillId="2" borderId="12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0" xfId="0" applyFill="1" applyBorder="1"/>
    <xf numFmtId="0" fontId="0" fillId="7" borderId="0" xfId="0" applyFill="1"/>
    <xf numFmtId="0" fontId="0" fillId="8" borderId="0" xfId="0" applyFill="1"/>
    <xf numFmtId="0" fontId="1" fillId="0" borderId="7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165" fontId="0" fillId="2" borderId="28" xfId="0" applyNumberForma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65" fontId="0" fillId="4" borderId="27" xfId="0" applyNumberFormat="1" applyFill="1" applyBorder="1" applyAlignment="1">
      <alignment horizontal="center"/>
    </xf>
    <xf numFmtId="165" fontId="0" fillId="4" borderId="28" xfId="0" applyNumberFormat="1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6" fillId="2" borderId="12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166" fontId="0" fillId="2" borderId="1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4" fontId="0" fillId="0" borderId="0" xfId="0" applyNumberFormat="1"/>
    <xf numFmtId="0" fontId="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2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6" xfId="0" applyFont="1" applyBorder="1"/>
    <xf numFmtId="0" fontId="0" fillId="0" borderId="28" xfId="0" applyBorder="1" applyAlignment="1">
      <alignment horizontal="center"/>
    </xf>
    <xf numFmtId="0" fontId="0" fillId="0" borderId="26" xfId="0" applyBorder="1"/>
    <xf numFmtId="0" fontId="0" fillId="4" borderId="12" xfId="0" applyFill="1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6" fillId="2" borderId="12" xfId="0" applyNumberFormat="1" applyFont="1" applyFill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Border="1"/>
    <xf numFmtId="165" fontId="0" fillId="2" borderId="12" xfId="0" applyNumberFormat="1" applyFill="1" applyBorder="1"/>
    <xf numFmtId="165" fontId="0" fillId="2" borderId="1" xfId="0" applyNumberFormat="1" applyFill="1" applyBorder="1"/>
    <xf numFmtId="165" fontId="0" fillId="4" borderId="12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0" xfId="0" applyBorder="1"/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1" fontId="0" fillId="4" borderId="2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4" borderId="28" xfId="0" applyNumberFormat="1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10" borderId="27" xfId="0" applyFont="1" applyFill="1" applyBorder="1" applyAlignment="1">
      <alignment horizontal="center"/>
    </xf>
    <xf numFmtId="0" fontId="4" fillId="10" borderId="28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0" xfId="0" applyFont="1" applyBorder="1"/>
    <xf numFmtId="0" fontId="4" fillId="0" borderId="32" xfId="0" applyFont="1" applyBorder="1"/>
    <xf numFmtId="0" fontId="0" fillId="0" borderId="32" xfId="0" applyBorder="1"/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0" xfId="0" applyFill="1" applyBorder="1"/>
    <xf numFmtId="1" fontId="0" fillId="7" borderId="0" xfId="0" applyNumberFormat="1" applyFill="1"/>
    <xf numFmtId="1" fontId="1" fillId="5" borderId="32" xfId="0" applyNumberFormat="1" applyFont="1" applyFill="1" applyBorder="1" applyAlignment="1">
      <alignment horizontal="center"/>
    </xf>
    <xf numFmtId="1" fontId="0" fillId="5" borderId="30" xfId="0" applyNumberFormat="1" applyFill="1" applyBorder="1" applyAlignment="1">
      <alignment horizontal="center"/>
    </xf>
    <xf numFmtId="1" fontId="0" fillId="5" borderId="31" xfId="0" applyNumberFormat="1" applyFill="1" applyBorder="1" applyAlignment="1">
      <alignment horizontal="center"/>
    </xf>
    <xf numFmtId="1" fontId="0" fillId="8" borderId="0" xfId="0" applyNumberFormat="1" applyFill="1"/>
    <xf numFmtId="1" fontId="1" fillId="5" borderId="0" xfId="0" applyNumberFormat="1" applyFont="1" applyFill="1" applyAlignment="1">
      <alignment horizontal="center"/>
    </xf>
    <xf numFmtId="1" fontId="0" fillId="5" borderId="10" xfId="0" applyNumberFormat="1" applyFill="1" applyBorder="1" applyAlignment="1">
      <alignment horizontal="center"/>
    </xf>
    <xf numFmtId="1" fontId="0" fillId="0" borderId="0" xfId="0" applyNumberFormat="1"/>
    <xf numFmtId="1" fontId="1" fillId="5" borderId="21" xfId="0" applyNumberFormat="1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1" fillId="9" borderId="1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36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1"/>
    </sheetView>
  </sheetViews>
  <sheetFormatPr defaultRowHeight="14.25"/>
  <cols>
    <col min="1" max="1" width="15.125" bestFit="1" customWidth="1"/>
  </cols>
  <sheetData>
    <row r="1" spans="1:6">
      <c r="A1" s="247"/>
      <c r="B1" s="247"/>
      <c r="C1" s="247"/>
      <c r="D1" s="247"/>
      <c r="E1" s="247"/>
      <c r="F1" s="247"/>
    </row>
    <row r="2" spans="1:6" ht="15">
      <c r="A2" s="249" t="s">
        <v>102</v>
      </c>
      <c r="B2" s="249"/>
      <c r="C2" s="249"/>
      <c r="D2" s="249"/>
      <c r="E2" s="249"/>
      <c r="F2" s="247"/>
    </row>
    <row r="3" spans="1:6">
      <c r="F3" s="247"/>
    </row>
    <row r="4" spans="1:6">
      <c r="A4" t="s">
        <v>54</v>
      </c>
      <c r="B4" s="247" t="s">
        <v>55</v>
      </c>
      <c r="C4" s="247"/>
      <c r="F4" s="247"/>
    </row>
    <row r="5" spans="1:6">
      <c r="F5" s="247"/>
    </row>
    <row r="6" spans="1:6">
      <c r="A6" s="247" t="s">
        <v>56</v>
      </c>
      <c r="B6" s="247"/>
      <c r="C6" s="247"/>
      <c r="D6" s="247"/>
      <c r="E6" s="247"/>
      <c r="F6" s="247"/>
    </row>
    <row r="7" spans="1:6">
      <c r="A7" s="248" t="s">
        <v>57</v>
      </c>
      <c r="B7" s="248"/>
      <c r="C7" s="248"/>
      <c r="D7" s="248"/>
      <c r="E7" s="248"/>
      <c r="F7" s="247"/>
    </row>
    <row r="8" spans="1:6">
      <c r="F8" s="247"/>
    </row>
    <row r="9" spans="1:6">
      <c r="A9" s="248" t="s">
        <v>60</v>
      </c>
      <c r="B9" s="248"/>
      <c r="C9" s="248"/>
      <c r="D9" s="248"/>
      <c r="E9" t="s">
        <v>58</v>
      </c>
      <c r="F9" s="247"/>
    </row>
    <row r="10" spans="1:6">
      <c r="A10" s="248" t="s">
        <v>59</v>
      </c>
      <c r="B10" s="248"/>
      <c r="C10" s="248"/>
      <c r="D10" s="248"/>
      <c r="E10" t="s">
        <v>61</v>
      </c>
      <c r="F10" s="247"/>
    </row>
    <row r="11" spans="1:6">
      <c r="A11" s="248" t="s">
        <v>62</v>
      </c>
      <c r="B11" s="248"/>
      <c r="C11" s="248"/>
      <c r="D11" s="248"/>
      <c r="E11" s="134">
        <v>0.1</v>
      </c>
      <c r="F11" s="247"/>
    </row>
    <row r="12" spans="1:6">
      <c r="A12" s="248" t="s">
        <v>63</v>
      </c>
      <c r="B12" s="248"/>
      <c r="C12" s="248"/>
      <c r="D12" s="248"/>
      <c r="E12" s="134">
        <v>0.1</v>
      </c>
      <c r="F12" s="247"/>
    </row>
    <row r="13" spans="1:6">
      <c r="A13" s="248" t="s">
        <v>64</v>
      </c>
      <c r="B13" s="248"/>
      <c r="C13" s="248"/>
      <c r="D13" s="248"/>
      <c r="E13" t="s">
        <v>65</v>
      </c>
      <c r="F13" s="247"/>
    </row>
    <row r="14" spans="1:6">
      <c r="A14" s="248" t="s">
        <v>66</v>
      </c>
      <c r="B14" s="248"/>
      <c r="C14" s="248"/>
      <c r="D14" s="248"/>
      <c r="E14" t="s">
        <v>67</v>
      </c>
      <c r="F14" s="247"/>
    </row>
    <row r="15" spans="1:6">
      <c r="F15" s="247"/>
    </row>
    <row r="16" spans="1:6">
      <c r="A16" s="135" t="s">
        <v>95</v>
      </c>
      <c r="B16" s="135"/>
      <c r="C16" s="135"/>
      <c r="D16" s="135"/>
      <c r="E16" s="135"/>
      <c r="F16" s="247"/>
    </row>
    <row r="17" spans="1:6">
      <c r="A17" s="248" t="s">
        <v>68</v>
      </c>
      <c r="B17" s="248"/>
      <c r="C17" s="248"/>
      <c r="D17" s="248"/>
      <c r="E17" s="248"/>
      <c r="F17" s="247"/>
    </row>
    <row r="18" spans="1:6">
      <c r="A18" s="248" t="s">
        <v>69</v>
      </c>
      <c r="B18" s="248"/>
      <c r="C18" s="248"/>
      <c r="D18" s="248"/>
      <c r="E18" s="248"/>
      <c r="F18" s="247"/>
    </row>
    <row r="19" spans="1:6">
      <c r="F19" s="247"/>
    </row>
    <row r="20" spans="1:6">
      <c r="F20" s="247"/>
    </row>
    <row r="21" spans="1:6">
      <c r="F21" s="247"/>
    </row>
    <row r="22" spans="1:6">
      <c r="F22" s="247"/>
    </row>
    <row r="23" spans="1:6">
      <c r="F23" s="247"/>
    </row>
    <row r="24" spans="1:6">
      <c r="F24" s="247"/>
    </row>
    <row r="25" spans="1:6">
      <c r="F25" s="247"/>
    </row>
    <row r="26" spans="1:6">
      <c r="F26" s="247"/>
    </row>
    <row r="27" spans="1:6">
      <c r="F27" s="247"/>
    </row>
    <row r="28" spans="1:6">
      <c r="A28" t="s">
        <v>70</v>
      </c>
      <c r="B28">
        <v>1</v>
      </c>
      <c r="F28" s="247"/>
    </row>
    <row r="29" spans="1:6">
      <c r="F29" s="247"/>
    </row>
    <row r="30" spans="1:6">
      <c r="F30" s="247"/>
    </row>
    <row r="31" spans="1:6" ht="15">
      <c r="A31" s="136" t="s">
        <v>51</v>
      </c>
      <c r="B31" s="247" t="s">
        <v>71</v>
      </c>
      <c r="C31" s="247"/>
      <c r="D31" s="137">
        <v>45665</v>
      </c>
      <c r="F31" s="247"/>
    </row>
    <row r="32" spans="1:6" ht="15">
      <c r="A32" s="136"/>
      <c r="F32" s="247"/>
    </row>
    <row r="33" spans="1:6" ht="15">
      <c r="A33" s="136" t="s">
        <v>52</v>
      </c>
      <c r="B33" s="247"/>
      <c r="C33" s="247"/>
      <c r="F33" s="247"/>
    </row>
    <row r="34" spans="1:6">
      <c r="F34" s="247"/>
    </row>
    <row r="35" spans="1:6" ht="15">
      <c r="A35" s="136" t="s">
        <v>53</v>
      </c>
      <c r="B35" s="247"/>
      <c r="C35" s="247"/>
      <c r="F35" s="247"/>
    </row>
    <row r="36" spans="1:6" ht="15">
      <c r="A36" s="136"/>
      <c r="F36" s="247"/>
    </row>
    <row r="37" spans="1:6">
      <c r="A37" s="247"/>
      <c r="B37" s="247"/>
      <c r="C37" s="247"/>
      <c r="D37" s="247"/>
      <c r="E37" s="247"/>
      <c r="F37" s="247"/>
    </row>
    <row r="38" spans="1:6">
      <c r="A38" s="247"/>
      <c r="B38" s="247"/>
      <c r="C38" s="247"/>
      <c r="D38" s="247"/>
      <c r="E38" s="247"/>
      <c r="F38" s="247"/>
    </row>
  </sheetData>
  <mergeCells count="18">
    <mergeCell ref="A14:D14"/>
    <mergeCell ref="A17:E17"/>
    <mergeCell ref="F2:F38"/>
    <mergeCell ref="A1:F1"/>
    <mergeCell ref="A37:E38"/>
    <mergeCell ref="B4:C4"/>
    <mergeCell ref="A6:E6"/>
    <mergeCell ref="A7:E7"/>
    <mergeCell ref="A9:D9"/>
    <mergeCell ref="A2:E2"/>
    <mergeCell ref="B31:C31"/>
    <mergeCell ref="B33:C33"/>
    <mergeCell ref="B35:C35"/>
    <mergeCell ref="A18:E18"/>
    <mergeCell ref="A10:D10"/>
    <mergeCell ref="A11:D11"/>
    <mergeCell ref="A12:D12"/>
    <mergeCell ref="A13:D13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workbookViewId="0">
      <selection sqref="A1:I1"/>
    </sheetView>
  </sheetViews>
  <sheetFormatPr defaultRowHeight="14.25"/>
  <cols>
    <col min="2" max="2" width="14.75" style="166" bestFit="1" customWidth="1"/>
    <col min="3" max="3" width="9" style="166"/>
    <col min="4" max="4" width="17.875" bestFit="1" customWidth="1"/>
    <col min="5" max="5" width="15" style="166" bestFit="1" customWidth="1"/>
    <col min="6" max="6" width="13.25" style="73" bestFit="1" customWidth="1"/>
    <col min="7" max="7" width="13.75" style="73" bestFit="1" customWidth="1"/>
    <col min="8" max="8" width="9" style="166"/>
    <col min="9" max="9" width="17.875" bestFit="1" customWidth="1"/>
    <col min="10" max="10" width="12.25" bestFit="1" customWidth="1"/>
    <col min="11" max="11" width="12.75" bestFit="1" customWidth="1"/>
    <col min="12" max="12" width="11.25" bestFit="1" customWidth="1"/>
    <col min="13" max="13" width="10.5" bestFit="1" customWidth="1"/>
  </cols>
  <sheetData>
    <row r="1" spans="1:13" ht="26.25">
      <c r="A1" s="312" t="s">
        <v>47</v>
      </c>
      <c r="B1" s="312"/>
      <c r="C1" s="312"/>
      <c r="D1" s="312"/>
      <c r="E1" s="312"/>
      <c r="F1" s="312"/>
      <c r="G1" s="312"/>
      <c r="H1" s="312"/>
      <c r="I1" s="312"/>
    </row>
    <row r="2" spans="1:13" ht="15">
      <c r="A2" s="15" t="s">
        <v>0</v>
      </c>
      <c r="B2" s="145" t="s">
        <v>6</v>
      </c>
      <c r="C2" s="145" t="s">
        <v>1</v>
      </c>
      <c r="D2" s="15" t="s">
        <v>5</v>
      </c>
      <c r="E2" s="145" t="s">
        <v>7</v>
      </c>
      <c r="F2" s="182" t="s">
        <v>2</v>
      </c>
      <c r="G2" s="182" t="s">
        <v>3</v>
      </c>
      <c r="H2" s="145" t="s">
        <v>1</v>
      </c>
      <c r="I2" s="150" t="s">
        <v>5</v>
      </c>
      <c r="J2" s="307" t="s">
        <v>21</v>
      </c>
      <c r="K2" s="307"/>
    </row>
    <row r="3" spans="1:13" ht="15">
      <c r="A3" s="16">
        <v>100</v>
      </c>
      <c r="B3" s="174">
        <v>3.3</v>
      </c>
      <c r="C3" s="174">
        <v>0.3</v>
      </c>
      <c r="D3" s="21">
        <v>0</v>
      </c>
      <c r="E3" s="55">
        <v>0</v>
      </c>
      <c r="F3" s="122">
        <v>0</v>
      </c>
      <c r="G3" s="122">
        <v>0</v>
      </c>
      <c r="H3" s="55">
        <v>0</v>
      </c>
      <c r="I3" s="75">
        <v>0</v>
      </c>
      <c r="J3" s="159" t="s">
        <v>23</v>
      </c>
      <c r="K3" s="159" t="s">
        <v>24</v>
      </c>
    </row>
    <row r="4" spans="1:13" ht="15">
      <c r="A4" s="17">
        <v>200</v>
      </c>
      <c r="B4" s="146">
        <v>6.6</v>
      </c>
      <c r="C4" s="146">
        <v>0.5</v>
      </c>
      <c r="D4" s="22">
        <v>0</v>
      </c>
      <c r="E4" s="55">
        <v>0</v>
      </c>
      <c r="F4" s="122">
        <v>0</v>
      </c>
      <c r="G4" s="122">
        <v>0</v>
      </c>
      <c r="H4" s="55">
        <v>0</v>
      </c>
      <c r="I4" s="75">
        <v>0</v>
      </c>
      <c r="J4" s="7" t="str">
        <f>IF(K19&lt;100,"Yes",IF(K19&gt;9500,"Yes","No"))</f>
        <v>Yes</v>
      </c>
      <c r="K4" s="45" t="str">
        <f>IF(K19&lt;4588,"Yes",IF(K19&gt;9000,"Yes","No"))</f>
        <v>Yes</v>
      </c>
    </row>
    <row r="5" spans="1:13" ht="15">
      <c r="A5" s="17">
        <v>300</v>
      </c>
      <c r="B5" s="146">
        <v>9.9</v>
      </c>
      <c r="C5" s="146">
        <v>0.8</v>
      </c>
      <c r="D5" s="22">
        <v>0</v>
      </c>
      <c r="E5" s="55">
        <v>0</v>
      </c>
      <c r="F5" s="122">
        <v>0</v>
      </c>
      <c r="G5" s="122">
        <v>0</v>
      </c>
      <c r="H5" s="55">
        <v>0</v>
      </c>
      <c r="I5" s="75">
        <v>0</v>
      </c>
      <c r="J5" s="7" t="str">
        <f t="shared" ref="J5:J13" si="0">IF(K20&lt;100,"Yes",IF(K20&gt;9500,"Yes","No"))</f>
        <v>Yes</v>
      </c>
      <c r="K5" s="45" t="str">
        <f t="shared" ref="K5:K13" si="1">IF(K20&lt;4588,"Yes",IF(K20&gt;9000,"Yes","No"))</f>
        <v>Yes</v>
      </c>
    </row>
    <row r="6" spans="1:13" ht="15">
      <c r="A6" s="17">
        <v>400</v>
      </c>
      <c r="B6" s="146">
        <v>13.4</v>
      </c>
      <c r="C6" s="146">
        <v>1</v>
      </c>
      <c r="D6" s="22">
        <v>0</v>
      </c>
      <c r="E6" s="55">
        <v>0</v>
      </c>
      <c r="F6" s="122">
        <v>0</v>
      </c>
      <c r="G6" s="122">
        <v>0</v>
      </c>
      <c r="H6" s="55">
        <v>0</v>
      </c>
      <c r="I6" s="75">
        <v>0</v>
      </c>
      <c r="J6" s="7" t="str">
        <f t="shared" si="0"/>
        <v>Yes</v>
      </c>
      <c r="K6" s="45" t="str">
        <f t="shared" si="1"/>
        <v>Yes</v>
      </c>
    </row>
    <row r="7" spans="1:13" ht="15">
      <c r="A7" s="18">
        <v>500</v>
      </c>
      <c r="B7" s="175">
        <v>16.899999999999999</v>
      </c>
      <c r="C7" s="71">
        <v>1.3</v>
      </c>
      <c r="D7" s="23">
        <v>0</v>
      </c>
      <c r="E7" s="71">
        <v>0</v>
      </c>
      <c r="F7" s="123">
        <v>0</v>
      </c>
      <c r="G7" s="123">
        <v>0</v>
      </c>
      <c r="H7" s="71">
        <v>0</v>
      </c>
      <c r="I7" s="74">
        <v>0</v>
      </c>
      <c r="J7" s="7" t="str">
        <f t="shared" si="0"/>
        <v>Yes</v>
      </c>
      <c r="K7" s="45" t="str">
        <f t="shared" si="1"/>
        <v>Yes</v>
      </c>
    </row>
    <row r="8" spans="1:13" ht="15">
      <c r="A8" s="17">
        <v>600</v>
      </c>
      <c r="B8" s="176">
        <v>20.399999999999999</v>
      </c>
      <c r="C8" s="146">
        <v>1.6</v>
      </c>
      <c r="D8" s="22">
        <v>0</v>
      </c>
      <c r="E8" s="55">
        <v>0</v>
      </c>
      <c r="F8" s="122">
        <v>0</v>
      </c>
      <c r="G8" s="122">
        <v>0</v>
      </c>
      <c r="H8" s="55">
        <v>0</v>
      </c>
      <c r="I8" s="75">
        <v>0</v>
      </c>
      <c r="J8" s="7" t="str">
        <f t="shared" si="0"/>
        <v>Yes</v>
      </c>
      <c r="K8" s="45" t="str">
        <f t="shared" si="1"/>
        <v>Yes</v>
      </c>
    </row>
    <row r="9" spans="1:13" ht="15">
      <c r="A9" s="17">
        <v>700</v>
      </c>
      <c r="B9" s="176">
        <v>24.1</v>
      </c>
      <c r="C9" s="146">
        <v>1.9</v>
      </c>
      <c r="D9" s="22">
        <v>1.1100000000000001</v>
      </c>
      <c r="E9" s="55">
        <v>0</v>
      </c>
      <c r="F9" s="122">
        <v>0</v>
      </c>
      <c r="G9" s="122">
        <v>0</v>
      </c>
      <c r="H9" s="55">
        <v>0</v>
      </c>
      <c r="I9" s="75">
        <v>0</v>
      </c>
      <c r="J9" s="7" t="str">
        <f t="shared" si="0"/>
        <v>Yes</v>
      </c>
      <c r="K9" s="45" t="str">
        <f t="shared" si="1"/>
        <v>Yes</v>
      </c>
    </row>
    <row r="10" spans="1:13" ht="15">
      <c r="A10" s="17">
        <v>800</v>
      </c>
      <c r="B10" s="176">
        <v>27.8</v>
      </c>
      <c r="C10" s="146">
        <v>2.2000000000000002</v>
      </c>
      <c r="D10" s="22">
        <v>0.97</v>
      </c>
      <c r="E10" s="55">
        <v>0</v>
      </c>
      <c r="F10" s="122">
        <v>0</v>
      </c>
      <c r="G10" s="122">
        <v>0</v>
      </c>
      <c r="H10" s="55">
        <v>0</v>
      </c>
      <c r="I10" s="75">
        <v>0</v>
      </c>
      <c r="J10" s="7" t="str">
        <f t="shared" si="0"/>
        <v>Yes</v>
      </c>
      <c r="K10" s="45" t="str">
        <f t="shared" si="1"/>
        <v>Yes</v>
      </c>
    </row>
    <row r="11" spans="1:13" ht="15">
      <c r="A11" s="17">
        <v>900</v>
      </c>
      <c r="B11" s="176">
        <v>31.6</v>
      </c>
      <c r="C11" s="146">
        <v>2.4</v>
      </c>
      <c r="D11" s="22">
        <v>0.85</v>
      </c>
      <c r="E11" s="55">
        <v>0</v>
      </c>
      <c r="F11" s="122">
        <v>0</v>
      </c>
      <c r="G11" s="122">
        <v>0</v>
      </c>
      <c r="H11" s="55">
        <v>0</v>
      </c>
      <c r="I11" s="75">
        <v>0</v>
      </c>
      <c r="J11" s="7" t="str">
        <f t="shared" si="0"/>
        <v>Yes</v>
      </c>
      <c r="K11" s="45" t="str">
        <f t="shared" si="1"/>
        <v>Yes</v>
      </c>
    </row>
    <row r="12" spans="1:13" ht="15">
      <c r="A12" s="18">
        <v>1000</v>
      </c>
      <c r="B12" s="175">
        <v>35.4</v>
      </c>
      <c r="C12" s="71">
        <v>2.7</v>
      </c>
      <c r="D12" s="23">
        <v>0.75</v>
      </c>
      <c r="E12" s="71">
        <v>0</v>
      </c>
      <c r="F12" s="123">
        <v>0</v>
      </c>
      <c r="G12" s="123">
        <v>0</v>
      </c>
      <c r="H12" s="71">
        <v>0</v>
      </c>
      <c r="I12" s="74">
        <v>0</v>
      </c>
      <c r="J12" s="7" t="str">
        <f t="shared" si="0"/>
        <v>Yes</v>
      </c>
      <c r="K12" s="45" t="str">
        <f t="shared" si="1"/>
        <v>Yes</v>
      </c>
    </row>
    <row r="13" spans="1:13" ht="15">
      <c r="A13" s="17">
        <v>1100</v>
      </c>
      <c r="B13" s="176">
        <v>39.4</v>
      </c>
      <c r="C13" s="146">
        <v>3</v>
      </c>
      <c r="D13" s="22">
        <v>0.69</v>
      </c>
      <c r="E13" s="55">
        <v>0</v>
      </c>
      <c r="F13" s="122">
        <v>0</v>
      </c>
      <c r="G13" s="122">
        <v>0</v>
      </c>
      <c r="H13" s="55">
        <v>0</v>
      </c>
      <c r="I13" s="75">
        <v>0</v>
      </c>
      <c r="J13" s="7" t="str">
        <f t="shared" si="0"/>
        <v>Yes</v>
      </c>
      <c r="K13" s="45" t="str">
        <f t="shared" si="1"/>
        <v>Yes</v>
      </c>
    </row>
    <row r="14" spans="1:13" ht="15">
      <c r="A14" s="17">
        <v>1200</v>
      </c>
      <c r="B14" s="176">
        <v>43.4</v>
      </c>
      <c r="C14" s="146">
        <v>3.3</v>
      </c>
      <c r="D14" s="22">
        <v>0.63</v>
      </c>
      <c r="E14" s="55">
        <v>0</v>
      </c>
      <c r="F14" s="122">
        <v>0</v>
      </c>
      <c r="G14" s="122">
        <v>0</v>
      </c>
      <c r="H14" s="55">
        <v>0</v>
      </c>
      <c r="I14" s="75">
        <v>0</v>
      </c>
    </row>
    <row r="15" spans="1:13" ht="15.75" thickBot="1">
      <c r="A15" s="17">
        <v>1300</v>
      </c>
      <c r="B15" s="176">
        <v>47.5</v>
      </c>
      <c r="C15" s="146">
        <v>3.6</v>
      </c>
      <c r="D15" s="22">
        <v>0.56999999999999995</v>
      </c>
      <c r="E15" s="55">
        <v>0</v>
      </c>
      <c r="F15" s="122">
        <v>0</v>
      </c>
      <c r="G15" s="122">
        <v>0</v>
      </c>
      <c r="H15" s="55">
        <v>0</v>
      </c>
      <c r="I15" s="75">
        <v>0</v>
      </c>
    </row>
    <row r="16" spans="1:13" ht="15">
      <c r="A16" s="17">
        <v>1400</v>
      </c>
      <c r="B16" s="176">
        <v>51.6</v>
      </c>
      <c r="C16" s="146">
        <v>3.9</v>
      </c>
      <c r="D16" s="22">
        <v>0.53</v>
      </c>
      <c r="E16" s="55">
        <v>0</v>
      </c>
      <c r="F16" s="122">
        <v>0</v>
      </c>
      <c r="G16" s="122">
        <v>0</v>
      </c>
      <c r="H16" s="55">
        <v>0</v>
      </c>
      <c r="I16" s="75">
        <v>0</v>
      </c>
      <c r="J16" s="308" t="s">
        <v>15</v>
      </c>
      <c r="K16" s="309"/>
      <c r="L16" s="309"/>
      <c r="M16" s="310"/>
    </row>
    <row r="17" spans="1:16" ht="15.75" thickBot="1">
      <c r="A17" s="18">
        <v>1500</v>
      </c>
      <c r="B17" s="175">
        <v>55.9</v>
      </c>
      <c r="C17" s="175">
        <v>4.2</v>
      </c>
      <c r="D17" s="120">
        <v>0.49</v>
      </c>
      <c r="E17" s="71">
        <v>0</v>
      </c>
      <c r="F17" s="123">
        <v>0</v>
      </c>
      <c r="G17" s="123">
        <v>0</v>
      </c>
      <c r="H17" s="71">
        <v>0</v>
      </c>
      <c r="I17" s="74">
        <v>0</v>
      </c>
      <c r="J17" s="311"/>
      <c r="K17" s="286"/>
      <c r="L17" s="286"/>
      <c r="M17" s="287"/>
    </row>
    <row r="18" spans="1:16" ht="15">
      <c r="A18" s="17">
        <v>1600</v>
      </c>
      <c r="B18" s="176">
        <v>60.1</v>
      </c>
      <c r="C18" s="176">
        <v>4.5999999999999996</v>
      </c>
      <c r="D18" s="63">
        <v>0.46</v>
      </c>
      <c r="E18" s="55">
        <v>0</v>
      </c>
      <c r="F18" s="122">
        <v>0</v>
      </c>
      <c r="G18" s="122">
        <v>0</v>
      </c>
      <c r="H18" s="55">
        <v>0</v>
      </c>
      <c r="I18" s="75">
        <v>0</v>
      </c>
      <c r="J18" s="96" t="s">
        <v>12</v>
      </c>
      <c r="K18" s="94" t="s">
        <v>38</v>
      </c>
      <c r="L18" s="96" t="s">
        <v>39</v>
      </c>
      <c r="M18" s="95" t="s">
        <v>22</v>
      </c>
    </row>
    <row r="19" spans="1:16" ht="15">
      <c r="A19" s="17">
        <v>1700</v>
      </c>
      <c r="B19" s="146">
        <v>64.5</v>
      </c>
      <c r="C19" s="146">
        <v>4.9000000000000004</v>
      </c>
      <c r="D19" s="22">
        <v>0.43</v>
      </c>
      <c r="E19" s="55">
        <v>0</v>
      </c>
      <c r="F19" s="122">
        <v>0</v>
      </c>
      <c r="G19" s="122">
        <v>0</v>
      </c>
      <c r="H19" s="55">
        <v>0</v>
      </c>
      <c r="I19" s="75">
        <v>0</v>
      </c>
      <c r="J19" s="97">
        <v>1</v>
      </c>
      <c r="K19" s="110">
        <f>'1 HE'!K19</f>
        <v>0</v>
      </c>
      <c r="L19" s="108">
        <f>INPUT!C5</f>
        <v>0</v>
      </c>
      <c r="M19" s="111" t="str">
        <f>INPUT!D5</f>
        <v>L/A</v>
      </c>
    </row>
    <row r="20" spans="1:16" ht="15">
      <c r="A20" s="17">
        <v>1800</v>
      </c>
      <c r="B20" s="55">
        <v>68.900000000000006</v>
      </c>
      <c r="C20" s="55">
        <v>5.2</v>
      </c>
      <c r="D20" s="22">
        <v>0.4</v>
      </c>
      <c r="E20" s="55">
        <v>0</v>
      </c>
      <c r="F20" s="122">
        <v>0</v>
      </c>
      <c r="G20" s="122">
        <v>0</v>
      </c>
      <c r="H20" s="55">
        <v>0</v>
      </c>
      <c r="I20" s="75">
        <v>0</v>
      </c>
      <c r="J20" s="97">
        <v>2</v>
      </c>
      <c r="K20" s="110">
        <f>'1 HE'!K20</f>
        <v>0</v>
      </c>
      <c r="L20" s="108">
        <f>INPUT!C6</f>
        <v>0</v>
      </c>
      <c r="M20" s="112" t="str">
        <f t="shared" ref="M20:M28" si="2">M19</f>
        <v>L/A</v>
      </c>
    </row>
    <row r="21" spans="1:16" ht="15">
      <c r="A21" s="17">
        <v>1900</v>
      </c>
      <c r="B21" s="146">
        <v>73.400000000000006</v>
      </c>
      <c r="C21" s="146">
        <v>5.5</v>
      </c>
      <c r="D21" s="22">
        <v>0.38</v>
      </c>
      <c r="E21" s="55">
        <v>0</v>
      </c>
      <c r="F21" s="122">
        <v>0</v>
      </c>
      <c r="G21" s="122">
        <v>0</v>
      </c>
      <c r="H21" s="55">
        <v>0</v>
      </c>
      <c r="I21" s="75">
        <v>0</v>
      </c>
      <c r="J21" s="97">
        <v>3</v>
      </c>
      <c r="K21" s="110">
        <f>'1 HE'!K21</f>
        <v>0</v>
      </c>
      <c r="L21" s="108">
        <f>INPUT!C7</f>
        <v>0</v>
      </c>
      <c r="M21" s="112" t="str">
        <f t="shared" si="2"/>
        <v>L/A</v>
      </c>
    </row>
    <row r="22" spans="1:16" ht="15">
      <c r="A22" s="18">
        <v>2000</v>
      </c>
      <c r="B22" s="71">
        <v>77.900000000000006</v>
      </c>
      <c r="C22" s="71">
        <v>5.8</v>
      </c>
      <c r="D22" s="23">
        <v>0.36</v>
      </c>
      <c r="E22" s="71">
        <v>0</v>
      </c>
      <c r="F22" s="123">
        <v>0</v>
      </c>
      <c r="G22" s="123">
        <v>0</v>
      </c>
      <c r="H22" s="71">
        <v>0</v>
      </c>
      <c r="I22" s="74">
        <v>0</v>
      </c>
      <c r="J22" s="97">
        <v>4</v>
      </c>
      <c r="K22" s="110">
        <f>'1 HE'!K22</f>
        <v>0</v>
      </c>
      <c r="L22" s="108">
        <f>INPUT!C8</f>
        <v>0</v>
      </c>
      <c r="M22" s="112" t="str">
        <f t="shared" si="2"/>
        <v>L/A</v>
      </c>
    </row>
    <row r="23" spans="1:16" ht="15">
      <c r="A23" s="17">
        <v>2100</v>
      </c>
      <c r="B23" s="55">
        <v>82.4</v>
      </c>
      <c r="C23" s="55">
        <v>6.1</v>
      </c>
      <c r="D23" s="63">
        <v>0.34</v>
      </c>
      <c r="E23" s="55">
        <v>0</v>
      </c>
      <c r="F23" s="122">
        <v>0</v>
      </c>
      <c r="G23" s="122">
        <v>0</v>
      </c>
      <c r="H23" s="55">
        <v>0</v>
      </c>
      <c r="I23" s="75">
        <v>0</v>
      </c>
      <c r="J23" s="97">
        <v>5</v>
      </c>
      <c r="K23" s="110">
        <f>'1 HE'!K23</f>
        <v>0</v>
      </c>
      <c r="L23" s="108">
        <f>INPUT!C9</f>
        <v>0</v>
      </c>
      <c r="M23" s="112" t="str">
        <f t="shared" si="2"/>
        <v>L/A</v>
      </c>
    </row>
    <row r="24" spans="1:16" ht="15">
      <c r="A24" s="17">
        <v>2200</v>
      </c>
      <c r="B24" s="55">
        <v>87.1</v>
      </c>
      <c r="C24" s="55">
        <v>6.5</v>
      </c>
      <c r="D24" s="63">
        <v>0.32</v>
      </c>
      <c r="E24" s="55">
        <v>0</v>
      </c>
      <c r="F24" s="122">
        <v>0</v>
      </c>
      <c r="G24" s="122">
        <v>0</v>
      </c>
      <c r="H24" s="55">
        <v>0</v>
      </c>
      <c r="I24" s="75">
        <v>0</v>
      </c>
      <c r="J24" s="97">
        <v>6</v>
      </c>
      <c r="K24" s="110">
        <f>'1 HE'!K24</f>
        <v>0</v>
      </c>
      <c r="L24" s="108">
        <f>INPUT!C10</f>
        <v>0</v>
      </c>
      <c r="M24" s="112" t="str">
        <f t="shared" si="2"/>
        <v>L/A</v>
      </c>
    </row>
    <row r="25" spans="1:16" ht="15">
      <c r="A25" s="17">
        <v>2300</v>
      </c>
      <c r="B25" s="55">
        <v>91.7</v>
      </c>
      <c r="C25" s="55">
        <v>6.8</v>
      </c>
      <c r="D25" s="63">
        <v>0.31</v>
      </c>
      <c r="E25" s="55">
        <v>0</v>
      </c>
      <c r="F25" s="122">
        <v>0</v>
      </c>
      <c r="G25" s="122">
        <v>0</v>
      </c>
      <c r="H25" s="55">
        <v>0</v>
      </c>
      <c r="I25" s="75">
        <v>0</v>
      </c>
      <c r="J25" s="97">
        <v>7</v>
      </c>
      <c r="K25" s="110">
        <f>'1 HE'!K25</f>
        <v>0</v>
      </c>
      <c r="L25" s="108">
        <f>INPUT!C11</f>
        <v>0</v>
      </c>
      <c r="M25" s="112" t="str">
        <f t="shared" si="2"/>
        <v>L/A</v>
      </c>
    </row>
    <row r="26" spans="1:16" ht="15">
      <c r="A26" s="17">
        <v>2400</v>
      </c>
      <c r="B26" s="55">
        <v>96.5</v>
      </c>
      <c r="C26" s="55">
        <v>7.1</v>
      </c>
      <c r="D26" s="63">
        <v>0.28999999999999998</v>
      </c>
      <c r="E26" s="55">
        <v>0</v>
      </c>
      <c r="F26" s="122">
        <v>0</v>
      </c>
      <c r="G26" s="122">
        <v>0</v>
      </c>
      <c r="H26" s="55">
        <v>0</v>
      </c>
      <c r="I26" s="75">
        <v>0</v>
      </c>
      <c r="J26" s="97">
        <v>8</v>
      </c>
      <c r="K26" s="110">
        <f>'1 HE'!K26</f>
        <v>0</v>
      </c>
      <c r="L26" s="108">
        <f>INPUT!C12</f>
        <v>0</v>
      </c>
      <c r="M26" s="112" t="str">
        <f t="shared" si="2"/>
        <v>L/A</v>
      </c>
    </row>
    <row r="27" spans="1:16" ht="15">
      <c r="A27" s="18">
        <v>2500</v>
      </c>
      <c r="B27" s="71">
        <v>101.2</v>
      </c>
      <c r="C27" s="71">
        <v>7.4</v>
      </c>
      <c r="D27" s="23">
        <v>0.28000000000000003</v>
      </c>
      <c r="E27" s="71">
        <v>0</v>
      </c>
      <c r="F27" s="123">
        <v>0</v>
      </c>
      <c r="G27" s="123">
        <v>0</v>
      </c>
      <c r="H27" s="71">
        <v>0</v>
      </c>
      <c r="I27" s="74">
        <v>0</v>
      </c>
      <c r="J27" s="97">
        <v>9</v>
      </c>
      <c r="K27" s="110">
        <f>'1 HE'!K27</f>
        <v>0</v>
      </c>
      <c r="L27" s="108">
        <f>INPUT!C13</f>
        <v>0</v>
      </c>
      <c r="M27" s="112" t="str">
        <f t="shared" si="2"/>
        <v>L/A</v>
      </c>
    </row>
    <row r="28" spans="1:16" ht="15.75" thickBot="1">
      <c r="A28" s="17">
        <v>2600</v>
      </c>
      <c r="B28" s="146">
        <v>106</v>
      </c>
      <c r="C28" s="146">
        <v>7.8</v>
      </c>
      <c r="D28" s="63">
        <v>0.27</v>
      </c>
      <c r="E28" s="55">
        <v>0</v>
      </c>
      <c r="F28" s="122">
        <v>0</v>
      </c>
      <c r="G28" s="122">
        <v>0</v>
      </c>
      <c r="H28" s="55">
        <v>0</v>
      </c>
      <c r="I28" s="75">
        <v>0</v>
      </c>
      <c r="J28" s="98">
        <v>10</v>
      </c>
      <c r="K28" s="110">
        <f>'1 HE'!K28</f>
        <v>0</v>
      </c>
      <c r="L28" s="108">
        <f>INPUT!C14</f>
        <v>0</v>
      </c>
      <c r="M28" s="113" t="str">
        <f t="shared" si="2"/>
        <v>L/A</v>
      </c>
    </row>
    <row r="29" spans="1:16" ht="15">
      <c r="A29" s="17">
        <v>2700</v>
      </c>
      <c r="B29" s="55">
        <v>110.9</v>
      </c>
      <c r="C29" s="55">
        <v>8.1</v>
      </c>
      <c r="D29" s="63">
        <v>0.26</v>
      </c>
      <c r="E29" s="55">
        <v>0</v>
      </c>
      <c r="F29" s="122">
        <v>0</v>
      </c>
      <c r="G29" s="122">
        <v>0</v>
      </c>
      <c r="H29" s="55">
        <v>0</v>
      </c>
      <c r="I29" s="75">
        <v>0</v>
      </c>
    </row>
    <row r="30" spans="1:16" ht="15">
      <c r="A30" s="17">
        <v>2800</v>
      </c>
      <c r="B30" s="55">
        <v>115.8</v>
      </c>
      <c r="C30" s="55">
        <v>8.4</v>
      </c>
      <c r="D30" s="63">
        <v>0.25</v>
      </c>
      <c r="E30" s="55">
        <v>0</v>
      </c>
      <c r="F30" s="122">
        <v>0</v>
      </c>
      <c r="G30" s="122">
        <v>0</v>
      </c>
      <c r="H30" s="55">
        <v>0</v>
      </c>
      <c r="I30" s="75">
        <v>0</v>
      </c>
    </row>
    <row r="31" spans="1:16" ht="15">
      <c r="A31" s="17">
        <v>2900</v>
      </c>
      <c r="B31" s="55">
        <v>120.8</v>
      </c>
      <c r="C31" s="55">
        <v>8.8000000000000007</v>
      </c>
      <c r="D31" s="63">
        <v>0.24</v>
      </c>
      <c r="E31" s="55">
        <v>0</v>
      </c>
      <c r="F31" s="122">
        <v>0</v>
      </c>
      <c r="G31" s="122">
        <v>0</v>
      </c>
      <c r="H31" s="55">
        <v>0</v>
      </c>
      <c r="I31" s="75">
        <v>0</v>
      </c>
      <c r="J31" s="42" t="s">
        <v>72</v>
      </c>
      <c r="K31" s="42" t="s">
        <v>73</v>
      </c>
      <c r="L31" s="42" t="s">
        <v>74</v>
      </c>
      <c r="M31" s="42" t="s">
        <v>88</v>
      </c>
      <c r="N31" s="138" t="s">
        <v>89</v>
      </c>
      <c r="O31" s="138" t="s">
        <v>90</v>
      </c>
    </row>
    <row r="32" spans="1:16" ht="15">
      <c r="A32" s="18">
        <v>3000</v>
      </c>
      <c r="B32" s="71">
        <v>125.8</v>
      </c>
      <c r="C32" s="71">
        <v>9.1</v>
      </c>
      <c r="D32" s="29">
        <v>0.23</v>
      </c>
      <c r="E32" s="71">
        <v>0</v>
      </c>
      <c r="F32" s="123">
        <v>0</v>
      </c>
      <c r="G32" s="123">
        <v>0</v>
      </c>
      <c r="H32" s="71">
        <v>0</v>
      </c>
      <c r="I32" s="74">
        <v>0</v>
      </c>
      <c r="J32" s="139" t="e">
        <f>VLOOKUP(J45,$A$3:$I$98,IF(M19="L/A",4,9),FALSE)</f>
        <v>#N/A</v>
      </c>
      <c r="K32">
        <f>VLOOKUP(K45,$A$3:$I$98,IF(M19="L/A",4,9),FALSE)</f>
        <v>0</v>
      </c>
      <c r="L32" t="e">
        <f t="shared" ref="L32:L41" si="3">IF(K19=8000,J32,((K32-J32)*L45)+J32)</f>
        <v>#N/A</v>
      </c>
      <c r="M32" s="167" t="e">
        <f>VLOOKUP((_xlfn.FLOOR.MATH(K19,500)),$A$3:$I$98,IF(L19&gt;=0,7,6),FALSE)</f>
        <v>#N/A</v>
      </c>
      <c r="N32" s="168">
        <f>VLOOKUP((_xlfn.FLOOR.MATH((K19+500),500)),$A$3:$I$98,IF(L19&gt;=0,7,6),FALSE)</f>
        <v>0</v>
      </c>
      <c r="O32" s="167" t="e">
        <f>IF(K19=9000,M32,(((N32-M32)*((K19-(_xlfn.FLOOR.MATH(K19,500)))/500))+M32))</f>
        <v>#N/A</v>
      </c>
      <c r="P32" s="136">
        <v>1</v>
      </c>
    </row>
    <row r="33" spans="1:18" ht="15">
      <c r="A33" s="19">
        <v>3100</v>
      </c>
      <c r="B33" s="55">
        <v>130.9</v>
      </c>
      <c r="C33" s="55">
        <v>9.4</v>
      </c>
      <c r="D33" s="53">
        <v>0.22</v>
      </c>
      <c r="E33" s="55">
        <v>0</v>
      </c>
      <c r="F33" s="122">
        <v>0</v>
      </c>
      <c r="G33" s="122">
        <v>0</v>
      </c>
      <c r="H33" s="55">
        <v>0</v>
      </c>
      <c r="I33" s="75">
        <v>0</v>
      </c>
      <c r="J33" s="139" t="e">
        <f t="shared" ref="J33:J41" si="4">VLOOKUP(J46,$A$3:$I$98,IF(M20="L/A",4,9),FALSE)</f>
        <v>#N/A</v>
      </c>
      <c r="K33">
        <f t="shared" ref="K33:K41" si="5">VLOOKUP(K46,$A$3:$I$98,IF(M20="L/A",4,9),FALSE)</f>
        <v>0</v>
      </c>
      <c r="L33" t="e">
        <f t="shared" si="3"/>
        <v>#N/A</v>
      </c>
      <c r="M33" s="167" t="e">
        <f t="shared" ref="M33:M41" si="6">VLOOKUP((_xlfn.FLOOR.MATH(K20,500)),$A$3:$I$98,IF(L20&gt;=0,7,6),FALSE)</f>
        <v>#N/A</v>
      </c>
      <c r="N33" s="168">
        <f t="shared" ref="N33:N41" si="7">VLOOKUP((_xlfn.FLOOR.MATH((K20+500),500)),$A$3:$I$98,IF(L20&gt;=0,7,6),FALSE)</f>
        <v>0</v>
      </c>
      <c r="O33" s="167" t="e">
        <f t="shared" ref="O33:O41" si="8">IF(K20=9000,M33,(((N33-M33)*((K20-(_xlfn.FLOOR.MATH(K20,500)))/500))+M33))</f>
        <v>#N/A</v>
      </c>
      <c r="P33" s="136">
        <v>2</v>
      </c>
    </row>
    <row r="34" spans="1:18" ht="15">
      <c r="A34" s="19">
        <v>3200</v>
      </c>
      <c r="B34" s="55">
        <v>136</v>
      </c>
      <c r="C34" s="55">
        <v>9.8000000000000007</v>
      </c>
      <c r="D34" s="63">
        <v>0.21</v>
      </c>
      <c r="E34" s="55">
        <v>0</v>
      </c>
      <c r="F34" s="122">
        <v>0</v>
      </c>
      <c r="G34" s="122">
        <v>0</v>
      </c>
      <c r="H34" s="55">
        <v>0</v>
      </c>
      <c r="I34" s="75">
        <v>0</v>
      </c>
      <c r="J34" s="139" t="e">
        <f t="shared" si="4"/>
        <v>#N/A</v>
      </c>
      <c r="K34">
        <f t="shared" si="5"/>
        <v>0</v>
      </c>
      <c r="L34" t="e">
        <f t="shared" si="3"/>
        <v>#N/A</v>
      </c>
      <c r="M34" s="167" t="e">
        <f>VLOOKUP((_xlfn.FLOOR.MATH(K21,500)),$A$3:$I$98,IF(L21&gt;=0,7,6),FALSE)</f>
        <v>#N/A</v>
      </c>
      <c r="N34" s="168">
        <f t="shared" si="7"/>
        <v>0</v>
      </c>
      <c r="O34" s="167" t="e">
        <f t="shared" si="8"/>
        <v>#N/A</v>
      </c>
      <c r="P34" s="136">
        <v>3</v>
      </c>
    </row>
    <row r="35" spans="1:18" ht="15">
      <c r="A35" s="19">
        <v>3300</v>
      </c>
      <c r="B35" s="55">
        <v>141.19999999999999</v>
      </c>
      <c r="C35" s="55">
        <v>10.1</v>
      </c>
      <c r="D35" s="63">
        <v>0.21</v>
      </c>
      <c r="E35" s="55">
        <v>0</v>
      </c>
      <c r="F35" s="122">
        <v>0</v>
      </c>
      <c r="G35" s="122">
        <v>0</v>
      </c>
      <c r="H35" s="55">
        <v>0</v>
      </c>
      <c r="I35" s="75">
        <v>0</v>
      </c>
      <c r="J35" s="139" t="e">
        <f t="shared" si="4"/>
        <v>#N/A</v>
      </c>
      <c r="K35">
        <f t="shared" si="5"/>
        <v>0</v>
      </c>
      <c r="L35" t="e">
        <f t="shared" si="3"/>
        <v>#N/A</v>
      </c>
      <c r="M35" s="167" t="e">
        <f t="shared" si="6"/>
        <v>#N/A</v>
      </c>
      <c r="N35" s="168">
        <f t="shared" si="7"/>
        <v>0</v>
      </c>
      <c r="O35" s="167" t="e">
        <f t="shared" si="8"/>
        <v>#N/A</v>
      </c>
      <c r="P35" s="136">
        <v>4</v>
      </c>
    </row>
    <row r="36" spans="1:18" ht="15">
      <c r="A36" s="19">
        <v>3400</v>
      </c>
      <c r="B36" s="55">
        <v>146.4</v>
      </c>
      <c r="C36" s="55">
        <v>10.5</v>
      </c>
      <c r="D36" s="63">
        <v>0.2</v>
      </c>
      <c r="E36" s="55">
        <v>0</v>
      </c>
      <c r="F36" s="122">
        <v>0</v>
      </c>
      <c r="G36" s="122">
        <v>0</v>
      </c>
      <c r="H36" s="55">
        <v>0</v>
      </c>
      <c r="I36" s="75">
        <v>0</v>
      </c>
      <c r="J36" s="139" t="e">
        <f t="shared" si="4"/>
        <v>#N/A</v>
      </c>
      <c r="K36">
        <f t="shared" si="5"/>
        <v>0</v>
      </c>
      <c r="L36" t="e">
        <f t="shared" si="3"/>
        <v>#N/A</v>
      </c>
      <c r="M36" s="167" t="e">
        <f t="shared" si="6"/>
        <v>#N/A</v>
      </c>
      <c r="N36" s="168">
        <f t="shared" si="7"/>
        <v>0</v>
      </c>
      <c r="O36" s="167" t="e">
        <f t="shared" si="8"/>
        <v>#N/A</v>
      </c>
      <c r="P36" s="136">
        <v>5</v>
      </c>
    </row>
    <row r="37" spans="1:18" ht="15">
      <c r="A37" s="18">
        <v>3500</v>
      </c>
      <c r="B37" s="71">
        <v>151.6</v>
      </c>
      <c r="C37" s="71">
        <v>10.8</v>
      </c>
      <c r="D37" s="23">
        <v>0.19</v>
      </c>
      <c r="E37" s="71">
        <v>0</v>
      </c>
      <c r="F37" s="123">
        <v>0</v>
      </c>
      <c r="G37" s="123">
        <v>0</v>
      </c>
      <c r="H37" s="71">
        <v>0</v>
      </c>
      <c r="I37" s="74">
        <v>0</v>
      </c>
      <c r="J37" s="139" t="e">
        <f t="shared" si="4"/>
        <v>#N/A</v>
      </c>
      <c r="K37">
        <f t="shared" si="5"/>
        <v>0</v>
      </c>
      <c r="L37" t="e">
        <f t="shared" si="3"/>
        <v>#N/A</v>
      </c>
      <c r="M37" s="167" t="e">
        <f t="shared" si="6"/>
        <v>#N/A</v>
      </c>
      <c r="N37" s="168">
        <f t="shared" si="7"/>
        <v>0</v>
      </c>
      <c r="O37" s="167" t="e">
        <f t="shared" si="8"/>
        <v>#N/A</v>
      </c>
      <c r="P37" s="136">
        <v>6</v>
      </c>
    </row>
    <row r="38" spans="1:18" ht="15">
      <c r="A38" s="19">
        <v>3600</v>
      </c>
      <c r="B38" s="55">
        <v>156.9</v>
      </c>
      <c r="C38" s="55">
        <v>11.2</v>
      </c>
      <c r="D38" s="63">
        <v>0.19</v>
      </c>
      <c r="E38" s="55">
        <v>0</v>
      </c>
      <c r="F38" s="122">
        <v>0</v>
      </c>
      <c r="G38" s="122">
        <v>0</v>
      </c>
      <c r="H38" s="55">
        <v>0</v>
      </c>
      <c r="I38" s="75">
        <v>0</v>
      </c>
      <c r="J38" s="139" t="e">
        <f t="shared" si="4"/>
        <v>#N/A</v>
      </c>
      <c r="K38">
        <f t="shared" si="5"/>
        <v>0</v>
      </c>
      <c r="L38" t="e">
        <f t="shared" si="3"/>
        <v>#N/A</v>
      </c>
      <c r="M38" s="167" t="e">
        <f t="shared" si="6"/>
        <v>#N/A</v>
      </c>
      <c r="N38" s="168">
        <f t="shared" si="7"/>
        <v>0</v>
      </c>
      <c r="O38" s="167" t="e">
        <f t="shared" si="8"/>
        <v>#N/A</v>
      </c>
      <c r="P38" s="136">
        <v>7</v>
      </c>
    </row>
    <row r="39" spans="1:18" ht="15">
      <c r="A39" s="19">
        <v>3700</v>
      </c>
      <c r="B39" s="55">
        <v>162.30000000000001</v>
      </c>
      <c r="C39" s="55">
        <v>11.5</v>
      </c>
      <c r="D39" s="63">
        <v>0.18</v>
      </c>
      <c r="E39" s="55">
        <v>0</v>
      </c>
      <c r="F39" s="122">
        <v>0</v>
      </c>
      <c r="G39" s="122">
        <v>0</v>
      </c>
      <c r="H39" s="55">
        <v>0</v>
      </c>
      <c r="I39" s="63">
        <v>0</v>
      </c>
      <c r="J39" s="139" t="e">
        <f t="shared" si="4"/>
        <v>#N/A</v>
      </c>
      <c r="K39">
        <f t="shared" si="5"/>
        <v>0</v>
      </c>
      <c r="L39" t="e">
        <f t="shared" si="3"/>
        <v>#N/A</v>
      </c>
      <c r="M39" s="167" t="e">
        <f t="shared" si="6"/>
        <v>#N/A</v>
      </c>
      <c r="N39" s="168">
        <f t="shared" si="7"/>
        <v>0</v>
      </c>
      <c r="O39" s="167" t="e">
        <f t="shared" si="8"/>
        <v>#N/A</v>
      </c>
      <c r="P39" s="136">
        <v>8</v>
      </c>
    </row>
    <row r="40" spans="1:18" ht="15">
      <c r="A40" s="19">
        <v>3800</v>
      </c>
      <c r="B40" s="55">
        <v>167.7</v>
      </c>
      <c r="C40" s="55">
        <v>11.9</v>
      </c>
      <c r="D40" s="63">
        <v>0.18</v>
      </c>
      <c r="E40" s="55">
        <v>0</v>
      </c>
      <c r="F40" s="122">
        <v>0</v>
      </c>
      <c r="G40" s="122">
        <v>0</v>
      </c>
      <c r="H40" s="55">
        <v>0</v>
      </c>
      <c r="I40" s="63">
        <v>0</v>
      </c>
      <c r="J40" s="139" t="e">
        <f t="shared" si="4"/>
        <v>#N/A</v>
      </c>
      <c r="K40">
        <f t="shared" si="5"/>
        <v>0</v>
      </c>
      <c r="L40" t="e">
        <f t="shared" si="3"/>
        <v>#N/A</v>
      </c>
      <c r="M40" s="167" t="e">
        <f t="shared" si="6"/>
        <v>#N/A</v>
      </c>
      <c r="N40" s="168">
        <f t="shared" si="7"/>
        <v>0</v>
      </c>
      <c r="O40" s="167" t="e">
        <f t="shared" si="8"/>
        <v>#N/A</v>
      </c>
      <c r="P40" s="136">
        <v>9</v>
      </c>
    </row>
    <row r="41" spans="1:18" ht="15">
      <c r="A41" s="19">
        <v>3900</v>
      </c>
      <c r="B41" s="55">
        <v>173.2</v>
      </c>
      <c r="C41" s="55">
        <v>12.3</v>
      </c>
      <c r="D41" s="63">
        <v>0.17</v>
      </c>
      <c r="E41" s="55">
        <v>0</v>
      </c>
      <c r="F41" s="122">
        <v>0</v>
      </c>
      <c r="G41" s="122">
        <v>0</v>
      </c>
      <c r="H41" s="55">
        <v>0</v>
      </c>
      <c r="I41" s="63">
        <v>0</v>
      </c>
      <c r="J41" s="139" t="e">
        <f t="shared" si="4"/>
        <v>#N/A</v>
      </c>
      <c r="K41">
        <f t="shared" si="5"/>
        <v>0</v>
      </c>
      <c r="L41" t="e">
        <f t="shared" si="3"/>
        <v>#N/A</v>
      </c>
      <c r="M41" s="167" t="e">
        <f t="shared" si="6"/>
        <v>#N/A</v>
      </c>
      <c r="N41" s="168">
        <f t="shared" si="7"/>
        <v>0</v>
      </c>
      <c r="O41" s="167" t="e">
        <f t="shared" si="8"/>
        <v>#N/A</v>
      </c>
      <c r="P41" s="136">
        <v>10</v>
      </c>
    </row>
    <row r="42" spans="1:18" ht="15">
      <c r="A42" s="18">
        <v>4000</v>
      </c>
      <c r="B42" s="71">
        <v>178.7</v>
      </c>
      <c r="C42" s="71">
        <v>12.6</v>
      </c>
      <c r="D42" s="23">
        <v>0.17</v>
      </c>
      <c r="E42" s="71">
        <v>0</v>
      </c>
      <c r="F42" s="123">
        <v>0</v>
      </c>
      <c r="G42" s="123">
        <v>0</v>
      </c>
      <c r="H42" s="71">
        <v>0</v>
      </c>
      <c r="I42" s="23">
        <v>0</v>
      </c>
    </row>
    <row r="43" spans="1:18" ht="15">
      <c r="A43" s="62">
        <v>4100</v>
      </c>
      <c r="B43" s="55">
        <v>184.3</v>
      </c>
      <c r="C43" s="55">
        <v>13</v>
      </c>
      <c r="D43" s="63">
        <v>0.16</v>
      </c>
      <c r="E43" s="55">
        <v>0</v>
      </c>
      <c r="F43" s="122">
        <v>0</v>
      </c>
      <c r="G43" s="122">
        <v>0</v>
      </c>
      <c r="H43" s="55">
        <v>0</v>
      </c>
      <c r="I43" s="63">
        <v>0</v>
      </c>
      <c r="J43" s="314" t="s">
        <v>99</v>
      </c>
      <c r="K43" s="315"/>
      <c r="L43" s="315"/>
      <c r="M43" s="315"/>
      <c r="N43" s="315"/>
      <c r="O43" s="315"/>
      <c r="P43" s="315"/>
      <c r="Q43" s="315"/>
      <c r="R43" s="315"/>
    </row>
    <row r="44" spans="1:18" ht="15">
      <c r="A44" s="19">
        <v>4200</v>
      </c>
      <c r="B44" s="55">
        <v>189.9</v>
      </c>
      <c r="C44" s="55">
        <v>13.3</v>
      </c>
      <c r="D44" s="63">
        <v>0.16</v>
      </c>
      <c r="E44" s="55">
        <v>0</v>
      </c>
      <c r="F44" s="122">
        <v>0</v>
      </c>
      <c r="G44" s="122">
        <v>0</v>
      </c>
      <c r="H44" s="55">
        <v>0</v>
      </c>
      <c r="I44" s="63">
        <v>0</v>
      </c>
      <c r="J44" s="44" t="s">
        <v>17</v>
      </c>
      <c r="K44" s="44" t="s">
        <v>18</v>
      </c>
      <c r="L44" s="44" t="s">
        <v>16</v>
      </c>
      <c r="M44" s="44" t="s">
        <v>26</v>
      </c>
      <c r="N44" s="44" t="s">
        <v>27</v>
      </c>
      <c r="O44" s="77" t="s">
        <v>31</v>
      </c>
      <c r="P44" s="44" t="s">
        <v>19</v>
      </c>
      <c r="Q44" s="44" t="s">
        <v>20</v>
      </c>
      <c r="R44" s="11" t="s">
        <v>25</v>
      </c>
    </row>
    <row r="45" spans="1:18" ht="15">
      <c r="A45" s="19">
        <v>4300</v>
      </c>
      <c r="B45" s="55">
        <v>195.6</v>
      </c>
      <c r="C45" s="55">
        <v>13.7</v>
      </c>
      <c r="D45" s="63">
        <v>0.15</v>
      </c>
      <c r="E45" s="55">
        <v>0</v>
      </c>
      <c r="F45" s="122">
        <v>0</v>
      </c>
      <c r="G45" s="122">
        <v>0</v>
      </c>
      <c r="H45" s="55">
        <v>0</v>
      </c>
      <c r="I45" s="63">
        <v>0</v>
      </c>
      <c r="J45" s="45">
        <f>_xlfn.FLOOR.MATH(K19,100)</f>
        <v>0</v>
      </c>
      <c r="K45" s="46">
        <f t="shared" ref="K45:K54" si="9">J45+100</f>
        <v>100</v>
      </c>
      <c r="L45" s="45">
        <f>(K19-J45)/100</f>
        <v>0</v>
      </c>
      <c r="M45" s="45" t="e">
        <f>VLOOKUP(J45,$A$2:$I$98,IF(M19="l/a",3,8),FALSE)</f>
        <v>#N/A</v>
      </c>
      <c r="N45" s="45">
        <f>VLOOKUP(K45,$A$2:$I$98,IF(M19="l/a",3,8),FALSE)</f>
        <v>0.3</v>
      </c>
      <c r="O45" s="78" t="e">
        <f>IF(J45=9000,M45,(M45+((N45-M45)*L45)))</f>
        <v>#N/A</v>
      </c>
      <c r="P45" s="45" t="e">
        <f>VLOOKUP(J45,$A$2:$I$98,(IF(M19="L/A",2,5)),FALSE)</f>
        <v>#N/A</v>
      </c>
      <c r="Q45" s="45">
        <f>VLOOKUP(K45,$A$2:$I$98,(IF(M19="L/A",2,5)),FALSE)</f>
        <v>3.3</v>
      </c>
      <c r="R45" s="12" t="e">
        <f>IF(J45=9000,P45,((Q45-P45)*L45)+P45)</f>
        <v>#N/A</v>
      </c>
    </row>
    <row r="46" spans="1:18" ht="15">
      <c r="A46" s="19">
        <v>4400</v>
      </c>
      <c r="B46" s="55">
        <v>201.3</v>
      </c>
      <c r="C46" s="55">
        <v>14.1</v>
      </c>
      <c r="D46" s="63">
        <v>0.15</v>
      </c>
      <c r="E46" s="55">
        <v>0</v>
      </c>
      <c r="F46" s="122">
        <v>0</v>
      </c>
      <c r="G46" s="122">
        <v>0</v>
      </c>
      <c r="H46" s="55">
        <v>0</v>
      </c>
      <c r="I46" s="63">
        <v>0</v>
      </c>
      <c r="J46" s="45">
        <f t="shared" ref="J46:J54" si="10">_xlfn.FLOOR.MATH(K20,100)</f>
        <v>0</v>
      </c>
      <c r="K46" s="46">
        <f t="shared" si="9"/>
        <v>100</v>
      </c>
      <c r="L46" s="45">
        <f t="shared" ref="L46:L54" si="11">(K20-J46)/100</f>
        <v>0</v>
      </c>
      <c r="M46" s="45" t="e">
        <f t="shared" ref="M46:M54" si="12">VLOOKUP(J46,$A$2:$I$98,IF(M20="l/a",3,8),FALSE)</f>
        <v>#N/A</v>
      </c>
      <c r="N46" s="45">
        <f t="shared" ref="N46:N54" si="13">VLOOKUP(K46,$A$2:$I$98,IF(M20="l/a",3,8),FALSE)</f>
        <v>0.3</v>
      </c>
      <c r="O46" s="78" t="e">
        <f t="shared" ref="O46:O54" si="14">IF(J46=9000,M46,(M46+((N46-M46)*L46)))</f>
        <v>#N/A</v>
      </c>
      <c r="P46" s="45" t="e">
        <f t="shared" ref="P46:P54" si="15">VLOOKUP(J46,$A$2:$I$98,(IF(M20="L/A",2,5)),FALSE)</f>
        <v>#N/A</v>
      </c>
      <c r="Q46" s="45">
        <f t="shared" ref="Q46:Q54" si="16">VLOOKUP(K46,$A$2:$I$98,(IF(M20="L/A",2,5)),FALSE)</f>
        <v>3.3</v>
      </c>
      <c r="R46" s="12" t="e">
        <f t="shared" ref="R46:R54" si="17">IF(J46=9000,P46,((Q46-P46)*L46)+P46)</f>
        <v>#N/A</v>
      </c>
    </row>
    <row r="47" spans="1:18" ht="15">
      <c r="A47" s="18">
        <v>4500</v>
      </c>
      <c r="B47" s="71">
        <v>207.1</v>
      </c>
      <c r="C47" s="71">
        <v>14.5</v>
      </c>
      <c r="D47" s="23">
        <v>0.14000000000000001</v>
      </c>
      <c r="E47" s="181">
        <v>1323.69</v>
      </c>
      <c r="F47" s="123">
        <v>1.0489999999999999</v>
      </c>
      <c r="G47" s="123">
        <v>-1.0529999999999999</v>
      </c>
      <c r="H47" s="71">
        <v>65.5</v>
      </c>
      <c r="I47" s="23">
        <v>0.04</v>
      </c>
      <c r="J47" s="45">
        <f t="shared" si="10"/>
        <v>0</v>
      </c>
      <c r="K47" s="46">
        <f t="shared" si="9"/>
        <v>100</v>
      </c>
      <c r="L47" s="45">
        <f t="shared" si="11"/>
        <v>0</v>
      </c>
      <c r="M47" s="45" t="e">
        <f t="shared" si="12"/>
        <v>#N/A</v>
      </c>
      <c r="N47" s="45">
        <f t="shared" si="13"/>
        <v>0.3</v>
      </c>
      <c r="O47" s="78" t="e">
        <f t="shared" si="14"/>
        <v>#N/A</v>
      </c>
      <c r="P47" s="45" t="e">
        <f t="shared" si="15"/>
        <v>#N/A</v>
      </c>
      <c r="Q47" s="45">
        <f t="shared" si="16"/>
        <v>3.3</v>
      </c>
      <c r="R47" s="12" t="e">
        <f t="shared" si="17"/>
        <v>#N/A</v>
      </c>
    </row>
    <row r="48" spans="1:18" ht="15">
      <c r="A48" s="19">
        <v>4600</v>
      </c>
      <c r="B48" s="55">
        <v>212.9</v>
      </c>
      <c r="C48" s="55">
        <v>14.8</v>
      </c>
      <c r="D48" s="63">
        <v>0.14000000000000001</v>
      </c>
      <c r="E48" s="55">
        <v>1319.5</v>
      </c>
      <c r="F48" s="122"/>
      <c r="G48" s="122"/>
      <c r="H48" s="55">
        <v>65.5</v>
      </c>
      <c r="I48" s="63">
        <v>0.04</v>
      </c>
      <c r="J48" s="45">
        <f t="shared" si="10"/>
        <v>0</v>
      </c>
      <c r="K48" s="46">
        <f t="shared" si="9"/>
        <v>100</v>
      </c>
      <c r="L48" s="45">
        <f t="shared" si="11"/>
        <v>0</v>
      </c>
      <c r="M48" s="45" t="e">
        <f t="shared" si="12"/>
        <v>#N/A</v>
      </c>
      <c r="N48" s="45">
        <f t="shared" si="13"/>
        <v>0.3</v>
      </c>
      <c r="O48" s="78" t="e">
        <f t="shared" si="14"/>
        <v>#N/A</v>
      </c>
      <c r="P48" s="45" t="e">
        <f t="shared" si="15"/>
        <v>#N/A</v>
      </c>
      <c r="Q48" s="45">
        <f t="shared" si="16"/>
        <v>3.3</v>
      </c>
      <c r="R48" s="12" t="e">
        <f t="shared" si="17"/>
        <v>#N/A</v>
      </c>
    </row>
    <row r="49" spans="1:18" ht="15">
      <c r="A49" s="19">
        <v>4700</v>
      </c>
      <c r="B49" s="55">
        <v>218.8</v>
      </c>
      <c r="C49" s="55">
        <v>15.2</v>
      </c>
      <c r="D49" s="63">
        <v>0.14000000000000001</v>
      </c>
      <c r="E49" s="55">
        <v>1315.2</v>
      </c>
      <c r="F49" s="122"/>
      <c r="G49" s="122"/>
      <c r="H49" s="55">
        <v>65.2</v>
      </c>
      <c r="I49" s="63">
        <v>0.04</v>
      </c>
      <c r="J49" s="45">
        <f t="shared" si="10"/>
        <v>0</v>
      </c>
      <c r="K49" s="46">
        <f t="shared" si="9"/>
        <v>100</v>
      </c>
      <c r="L49" s="45">
        <f t="shared" si="11"/>
        <v>0</v>
      </c>
      <c r="M49" s="45" t="e">
        <f t="shared" si="12"/>
        <v>#N/A</v>
      </c>
      <c r="N49" s="45">
        <f t="shared" si="13"/>
        <v>0.3</v>
      </c>
      <c r="O49" s="78" t="e">
        <f t="shared" si="14"/>
        <v>#N/A</v>
      </c>
      <c r="P49" s="45" t="e">
        <f t="shared" si="15"/>
        <v>#N/A</v>
      </c>
      <c r="Q49" s="45">
        <f t="shared" si="16"/>
        <v>3.3</v>
      </c>
      <c r="R49" s="12" t="e">
        <f t="shared" si="17"/>
        <v>#N/A</v>
      </c>
    </row>
    <row r="50" spans="1:18" ht="15">
      <c r="A50" s="19">
        <v>4800</v>
      </c>
      <c r="B50" s="55">
        <v>224.8</v>
      </c>
      <c r="C50" s="55">
        <v>15.6</v>
      </c>
      <c r="D50" s="63">
        <v>0.13</v>
      </c>
      <c r="E50" s="55">
        <v>1310.5999999999999</v>
      </c>
      <c r="F50" s="122"/>
      <c r="G50" s="122"/>
      <c r="H50" s="55">
        <v>65</v>
      </c>
      <c r="I50" s="63">
        <v>0.04</v>
      </c>
      <c r="J50" s="45">
        <f t="shared" si="10"/>
        <v>0</v>
      </c>
      <c r="K50" s="46">
        <f t="shared" si="9"/>
        <v>100</v>
      </c>
      <c r="L50" s="45">
        <f t="shared" si="11"/>
        <v>0</v>
      </c>
      <c r="M50" s="45" t="e">
        <f t="shared" si="12"/>
        <v>#N/A</v>
      </c>
      <c r="N50" s="45">
        <f t="shared" si="13"/>
        <v>0.3</v>
      </c>
      <c r="O50" s="78" t="e">
        <f t="shared" si="14"/>
        <v>#N/A</v>
      </c>
      <c r="P50" s="45" t="e">
        <f t="shared" si="15"/>
        <v>#N/A</v>
      </c>
      <c r="Q50" s="45">
        <f t="shared" si="16"/>
        <v>3.3</v>
      </c>
      <c r="R50" s="12" t="e">
        <f t="shared" si="17"/>
        <v>#N/A</v>
      </c>
    </row>
    <row r="51" spans="1:18" ht="15">
      <c r="A51" s="19">
        <v>4900</v>
      </c>
      <c r="B51" s="55">
        <v>230.8</v>
      </c>
      <c r="C51" s="55">
        <v>16</v>
      </c>
      <c r="D51" s="63">
        <v>0.13</v>
      </c>
      <c r="E51" s="55">
        <v>1306</v>
      </c>
      <c r="F51" s="122"/>
      <c r="G51" s="122"/>
      <c r="H51" s="55">
        <v>64.8</v>
      </c>
      <c r="I51" s="63">
        <v>0.04</v>
      </c>
      <c r="J51" s="45">
        <f t="shared" si="10"/>
        <v>0</v>
      </c>
      <c r="K51" s="46">
        <f t="shared" si="9"/>
        <v>100</v>
      </c>
      <c r="L51" s="45">
        <f t="shared" si="11"/>
        <v>0</v>
      </c>
      <c r="M51" s="45" t="e">
        <f t="shared" si="12"/>
        <v>#N/A</v>
      </c>
      <c r="N51" s="45">
        <f t="shared" si="13"/>
        <v>0.3</v>
      </c>
      <c r="O51" s="78" t="e">
        <f t="shared" si="14"/>
        <v>#N/A</v>
      </c>
      <c r="P51" s="45" t="e">
        <f t="shared" si="15"/>
        <v>#N/A</v>
      </c>
      <c r="Q51" s="45">
        <f t="shared" si="16"/>
        <v>3.3</v>
      </c>
      <c r="R51" s="12" t="e">
        <f t="shared" si="17"/>
        <v>#N/A</v>
      </c>
    </row>
    <row r="52" spans="1:18" ht="15">
      <c r="A52" s="18">
        <v>5000</v>
      </c>
      <c r="B52" s="71">
        <v>235.9</v>
      </c>
      <c r="C52" s="71">
        <v>16.399999999999999</v>
      </c>
      <c r="D52" s="23">
        <v>0.13</v>
      </c>
      <c r="E52" s="71">
        <v>1301.0999999999999</v>
      </c>
      <c r="F52" s="123">
        <v>1.0489999999999999</v>
      </c>
      <c r="G52" s="123">
        <v>-1.0529999999999999</v>
      </c>
      <c r="H52" s="71">
        <v>64.599999999999994</v>
      </c>
      <c r="I52" s="23">
        <v>0.04</v>
      </c>
      <c r="J52" s="45">
        <f t="shared" si="10"/>
        <v>0</v>
      </c>
      <c r="K52" s="46">
        <f t="shared" si="9"/>
        <v>100</v>
      </c>
      <c r="L52" s="45">
        <f t="shared" si="11"/>
        <v>0</v>
      </c>
      <c r="M52" s="45" t="e">
        <f t="shared" si="12"/>
        <v>#N/A</v>
      </c>
      <c r="N52" s="45">
        <f t="shared" si="13"/>
        <v>0.3</v>
      </c>
      <c r="O52" s="78" t="e">
        <f t="shared" si="14"/>
        <v>#N/A</v>
      </c>
      <c r="P52" s="45" t="e">
        <f t="shared" si="15"/>
        <v>#N/A</v>
      </c>
      <c r="Q52" s="45">
        <f t="shared" si="16"/>
        <v>3.3</v>
      </c>
      <c r="R52" s="12" t="e">
        <f t="shared" si="17"/>
        <v>#N/A</v>
      </c>
    </row>
    <row r="53" spans="1:18" ht="15">
      <c r="A53" s="62">
        <v>5100</v>
      </c>
      <c r="B53" s="55">
        <v>243.1</v>
      </c>
      <c r="C53" s="55">
        <v>16.8</v>
      </c>
      <c r="D53" s="63">
        <v>0.13</v>
      </c>
      <c r="E53" s="55">
        <v>1296.0999999999999</v>
      </c>
      <c r="F53" s="122"/>
      <c r="G53" s="122"/>
      <c r="H53" s="55">
        <v>64.400000000000006</v>
      </c>
      <c r="I53" s="63">
        <v>0.04</v>
      </c>
      <c r="J53" s="45">
        <f t="shared" si="10"/>
        <v>0</v>
      </c>
      <c r="K53" s="46">
        <f t="shared" si="9"/>
        <v>100</v>
      </c>
      <c r="L53" s="45">
        <f t="shared" si="11"/>
        <v>0</v>
      </c>
      <c r="M53" s="45" t="e">
        <f t="shared" si="12"/>
        <v>#N/A</v>
      </c>
      <c r="N53" s="45">
        <f t="shared" si="13"/>
        <v>0.3</v>
      </c>
      <c r="O53" s="78" t="e">
        <f t="shared" si="14"/>
        <v>#N/A</v>
      </c>
      <c r="P53" s="45" t="e">
        <f t="shared" si="15"/>
        <v>#N/A</v>
      </c>
      <c r="Q53" s="45">
        <f t="shared" si="16"/>
        <v>3.3</v>
      </c>
      <c r="R53" s="12" t="e">
        <f t="shared" si="17"/>
        <v>#N/A</v>
      </c>
    </row>
    <row r="54" spans="1:18" ht="15">
      <c r="A54" s="19">
        <v>5200</v>
      </c>
      <c r="B54" s="177">
        <v>249.3</v>
      </c>
      <c r="C54" s="55">
        <v>17.100000000000001</v>
      </c>
      <c r="D54" s="63">
        <v>0.12</v>
      </c>
      <c r="E54" s="55">
        <v>1290.9000000000001</v>
      </c>
      <c r="F54" s="122"/>
      <c r="G54" s="122"/>
      <c r="H54" s="55">
        <v>64.3</v>
      </c>
      <c r="I54" s="63">
        <v>0.04</v>
      </c>
      <c r="J54" s="45">
        <f t="shared" si="10"/>
        <v>0</v>
      </c>
      <c r="K54" s="10">
        <f t="shared" si="9"/>
        <v>100</v>
      </c>
      <c r="L54" s="45">
        <f t="shared" si="11"/>
        <v>0</v>
      </c>
      <c r="M54" s="45" t="e">
        <f t="shared" si="12"/>
        <v>#N/A</v>
      </c>
      <c r="N54" s="45">
        <f t="shared" si="13"/>
        <v>0.3</v>
      </c>
      <c r="O54" s="78" t="e">
        <f t="shared" si="14"/>
        <v>#N/A</v>
      </c>
      <c r="P54" s="45" t="e">
        <f t="shared" si="15"/>
        <v>#N/A</v>
      </c>
      <c r="Q54" s="45">
        <f t="shared" si="16"/>
        <v>3.3</v>
      </c>
      <c r="R54" s="12" t="e">
        <f t="shared" si="17"/>
        <v>#N/A</v>
      </c>
    </row>
    <row r="55" spans="1:18" ht="15">
      <c r="A55" s="19">
        <v>5300</v>
      </c>
      <c r="B55" s="146">
        <v>255.6</v>
      </c>
      <c r="C55" s="146">
        <v>17.5</v>
      </c>
      <c r="D55" s="28">
        <v>0.12</v>
      </c>
      <c r="E55" s="146">
        <v>1285.5999999999999</v>
      </c>
      <c r="F55" s="122"/>
      <c r="G55" s="122"/>
      <c r="H55" s="55">
        <v>64.099999999999994</v>
      </c>
      <c r="I55" s="63">
        <v>0.04</v>
      </c>
    </row>
    <row r="56" spans="1:18" ht="15">
      <c r="A56" s="19">
        <v>5400</v>
      </c>
      <c r="B56" s="146">
        <v>262</v>
      </c>
      <c r="C56" s="146">
        <v>17.899999999999999</v>
      </c>
      <c r="D56" s="28">
        <v>0.12</v>
      </c>
      <c r="E56" s="146">
        <v>1280.0999999999999</v>
      </c>
      <c r="F56" s="122"/>
      <c r="G56" s="122"/>
      <c r="H56" s="55">
        <v>63.9</v>
      </c>
      <c r="I56" s="63">
        <v>0.04</v>
      </c>
    </row>
    <row r="57" spans="1:18" ht="15">
      <c r="A57" s="18">
        <v>5500</v>
      </c>
      <c r="B57" s="71">
        <v>268.39999999999998</v>
      </c>
      <c r="C57" s="71">
        <v>18.3</v>
      </c>
      <c r="D57" s="29">
        <v>0.11</v>
      </c>
      <c r="E57" s="71">
        <v>1274.5</v>
      </c>
      <c r="F57" s="123">
        <v>1.071</v>
      </c>
      <c r="G57" s="123">
        <v>-1.077</v>
      </c>
      <c r="H57" s="71">
        <v>63.8</v>
      </c>
      <c r="I57" s="23">
        <v>0.04</v>
      </c>
    </row>
    <row r="58" spans="1:18" ht="15">
      <c r="A58" s="19">
        <v>5600</v>
      </c>
      <c r="B58" s="146">
        <v>275</v>
      </c>
      <c r="C58" s="178">
        <v>18.8</v>
      </c>
      <c r="D58" s="28">
        <v>0.11</v>
      </c>
      <c r="E58" s="146">
        <v>1268.8</v>
      </c>
      <c r="F58" s="122"/>
      <c r="G58" s="122"/>
      <c r="H58" s="55">
        <v>63.6</v>
      </c>
      <c r="I58" s="63">
        <v>0.04</v>
      </c>
    </row>
    <row r="59" spans="1:18" ht="15">
      <c r="A59" s="19">
        <v>5700</v>
      </c>
      <c r="B59" s="146">
        <v>281.60000000000002</v>
      </c>
      <c r="C59" s="178">
        <v>19.2</v>
      </c>
      <c r="D59" s="28">
        <v>0.11</v>
      </c>
      <c r="E59" s="146">
        <v>1262.9000000000001</v>
      </c>
      <c r="F59" s="122"/>
      <c r="G59" s="122"/>
      <c r="H59" s="55">
        <v>63.5</v>
      </c>
      <c r="I59" s="63">
        <v>0.04</v>
      </c>
      <c r="K59" s="167"/>
    </row>
    <row r="60" spans="1:18" ht="15">
      <c r="A60" s="19">
        <v>5800</v>
      </c>
      <c r="B60" s="146">
        <v>288.2</v>
      </c>
      <c r="C60" s="178">
        <v>19.600000000000001</v>
      </c>
      <c r="D60" s="28">
        <v>0.11</v>
      </c>
      <c r="E60" s="146">
        <v>1256.9000000000001</v>
      </c>
      <c r="F60" s="122"/>
      <c r="G60" s="122"/>
      <c r="H60" s="55">
        <v>63.3</v>
      </c>
      <c r="I60" s="63">
        <v>0.04</v>
      </c>
    </row>
    <row r="61" spans="1:18" ht="15">
      <c r="A61" s="19">
        <v>5900</v>
      </c>
      <c r="B61" s="146">
        <v>295</v>
      </c>
      <c r="C61" s="178">
        <v>20</v>
      </c>
      <c r="D61" s="28">
        <v>0.11</v>
      </c>
      <c r="E61" s="146">
        <v>1250.8</v>
      </c>
      <c r="F61" s="122"/>
      <c r="G61" s="122"/>
      <c r="H61" s="55">
        <v>63.2</v>
      </c>
      <c r="I61" s="63">
        <v>0.04</v>
      </c>
    </row>
    <row r="62" spans="1:18" ht="15">
      <c r="A62" s="18">
        <v>6000</v>
      </c>
      <c r="B62" s="71">
        <v>301.89999999999998</v>
      </c>
      <c r="C62" s="179">
        <v>20.399999999999999</v>
      </c>
      <c r="D62" s="29">
        <v>0.1</v>
      </c>
      <c r="E62" s="71">
        <v>1244.5999999999999</v>
      </c>
      <c r="F62" s="123">
        <v>1.097</v>
      </c>
      <c r="G62" s="123">
        <v>-1.1060000000000001</v>
      </c>
      <c r="H62" s="71">
        <v>63</v>
      </c>
      <c r="I62" s="23">
        <v>0.04</v>
      </c>
    </row>
    <row r="63" spans="1:18" ht="15">
      <c r="A63" s="62">
        <v>6100</v>
      </c>
      <c r="B63" s="146">
        <v>308.8</v>
      </c>
      <c r="C63" s="178">
        <v>20.9</v>
      </c>
      <c r="D63" s="28">
        <v>0.1</v>
      </c>
      <c r="E63" s="146">
        <v>1238.2</v>
      </c>
      <c r="F63" s="149"/>
      <c r="G63" s="149"/>
      <c r="H63" s="146">
        <v>62.8</v>
      </c>
      <c r="I63" s="63">
        <v>0.04</v>
      </c>
    </row>
    <row r="64" spans="1:18" ht="15">
      <c r="A64" s="19">
        <v>6200</v>
      </c>
      <c r="B64" s="146">
        <v>315.89999999999998</v>
      </c>
      <c r="C64" s="178">
        <v>21.3</v>
      </c>
      <c r="D64" s="28">
        <v>0.1</v>
      </c>
      <c r="E64" s="146">
        <v>1231.7</v>
      </c>
      <c r="F64" s="149"/>
      <c r="G64" s="149"/>
      <c r="H64" s="146">
        <v>62.6</v>
      </c>
      <c r="I64" s="63">
        <v>0.04</v>
      </c>
    </row>
    <row r="65" spans="1:9" ht="15">
      <c r="A65" s="19">
        <v>6300</v>
      </c>
      <c r="B65" s="146">
        <v>323.10000000000002</v>
      </c>
      <c r="C65" s="178">
        <v>21.7</v>
      </c>
      <c r="D65" s="28">
        <v>0.1</v>
      </c>
      <c r="E65" s="146">
        <v>1225.0999999999999</v>
      </c>
      <c r="F65" s="149"/>
      <c r="G65" s="149"/>
      <c r="H65" s="146">
        <v>62.5</v>
      </c>
      <c r="I65" s="63">
        <v>0.04</v>
      </c>
    </row>
    <row r="66" spans="1:9" ht="15">
      <c r="A66" s="51">
        <v>6400</v>
      </c>
      <c r="B66" s="147">
        <v>330.3</v>
      </c>
      <c r="C66" s="40">
        <v>22.2</v>
      </c>
      <c r="D66" s="30">
        <v>0.1</v>
      </c>
      <c r="E66" s="147">
        <v>1218.3</v>
      </c>
      <c r="F66" s="151"/>
      <c r="G66" s="151"/>
      <c r="H66" s="147">
        <v>62.3</v>
      </c>
      <c r="I66" s="63">
        <v>0.04</v>
      </c>
    </row>
    <row r="67" spans="1:9" ht="15">
      <c r="A67" s="18">
        <v>6500</v>
      </c>
      <c r="B67" s="71">
        <v>337.7</v>
      </c>
      <c r="C67" s="179">
        <v>22.6</v>
      </c>
      <c r="D67" s="29">
        <v>0.09</v>
      </c>
      <c r="E67" s="71">
        <v>1211.4000000000001</v>
      </c>
      <c r="F67" s="123">
        <v>1.129</v>
      </c>
      <c r="G67" s="123">
        <v>-1.143</v>
      </c>
      <c r="H67" s="71">
        <v>62.1</v>
      </c>
      <c r="I67" s="23">
        <v>0.04</v>
      </c>
    </row>
    <row r="68" spans="1:9" ht="15">
      <c r="A68" s="62">
        <v>6600</v>
      </c>
      <c r="B68" s="146">
        <v>345.2</v>
      </c>
      <c r="C68" s="178">
        <v>23.1</v>
      </c>
      <c r="D68" s="28">
        <v>0.09</v>
      </c>
      <c r="E68" s="146">
        <v>1204.3</v>
      </c>
      <c r="F68" s="149"/>
      <c r="G68" s="149"/>
      <c r="H68" s="146">
        <v>61.9</v>
      </c>
      <c r="I68" s="63">
        <v>0.04</v>
      </c>
    </row>
    <row r="69" spans="1:9" ht="15">
      <c r="A69" s="19">
        <v>6700</v>
      </c>
      <c r="B69" s="146">
        <v>352.8</v>
      </c>
      <c r="C69" s="178">
        <v>23.5</v>
      </c>
      <c r="D69" s="28">
        <v>0.09</v>
      </c>
      <c r="E69" s="146">
        <v>1197.2</v>
      </c>
      <c r="F69" s="149"/>
      <c r="G69" s="149"/>
      <c r="H69" s="146">
        <v>61.7</v>
      </c>
      <c r="I69" s="63">
        <v>0.04</v>
      </c>
    </row>
    <row r="70" spans="1:9" ht="15">
      <c r="A70" s="19">
        <v>6800</v>
      </c>
      <c r="B70" s="146">
        <v>360.6</v>
      </c>
      <c r="C70" s="178">
        <v>24</v>
      </c>
      <c r="D70" s="28">
        <v>0.09</v>
      </c>
      <c r="E70" s="146">
        <v>1189.8</v>
      </c>
      <c r="F70" s="149"/>
      <c r="G70" s="149"/>
      <c r="H70" s="146">
        <v>61.5</v>
      </c>
      <c r="I70" s="63">
        <v>0.04</v>
      </c>
    </row>
    <row r="71" spans="1:9" ht="15">
      <c r="A71" s="51">
        <v>6900</v>
      </c>
      <c r="B71" s="147">
        <v>368.5</v>
      </c>
      <c r="C71" s="40">
        <v>24.5</v>
      </c>
      <c r="D71" s="30">
        <v>0.09</v>
      </c>
      <c r="E71" s="147">
        <v>1182.4000000000001</v>
      </c>
      <c r="F71" s="151"/>
      <c r="G71" s="151"/>
      <c r="H71" s="147">
        <v>61.3</v>
      </c>
      <c r="I71" s="63">
        <v>0.04</v>
      </c>
    </row>
    <row r="72" spans="1:9" ht="15">
      <c r="A72" s="18">
        <v>7000</v>
      </c>
      <c r="B72" s="71">
        <v>376.5</v>
      </c>
      <c r="C72" s="179">
        <v>25</v>
      </c>
      <c r="D72" s="29">
        <v>0.09</v>
      </c>
      <c r="E72" s="71">
        <v>1174.7</v>
      </c>
      <c r="F72" s="123">
        <v>1.17</v>
      </c>
      <c r="G72" s="123">
        <v>-1.1919999999999999</v>
      </c>
      <c r="H72" s="71">
        <v>61.1</v>
      </c>
      <c r="I72" s="23">
        <v>0.04</v>
      </c>
    </row>
    <row r="73" spans="1:9" ht="15">
      <c r="A73" s="62">
        <v>7100</v>
      </c>
      <c r="B73" s="146">
        <v>384.7</v>
      </c>
      <c r="C73" s="178">
        <v>25.4</v>
      </c>
      <c r="D73" s="28">
        <v>0.08</v>
      </c>
      <c r="E73" s="146">
        <v>1166.9000000000001</v>
      </c>
      <c r="F73" s="149"/>
      <c r="G73" s="149"/>
      <c r="H73" s="146">
        <v>60.9</v>
      </c>
      <c r="I73" s="63">
        <v>0.04</v>
      </c>
    </row>
    <row r="74" spans="1:9" ht="15">
      <c r="A74" s="19">
        <v>7200</v>
      </c>
      <c r="B74" s="146">
        <v>393.1</v>
      </c>
      <c r="C74" s="178">
        <v>25.9</v>
      </c>
      <c r="D74" s="28">
        <v>0.08</v>
      </c>
      <c r="E74" s="146">
        <v>1158.9000000000001</v>
      </c>
      <c r="F74" s="149"/>
      <c r="G74" s="149"/>
      <c r="H74" s="146">
        <v>60.7</v>
      </c>
      <c r="I74" s="63">
        <v>0.04</v>
      </c>
    </row>
    <row r="75" spans="1:9" ht="15">
      <c r="A75" s="19">
        <v>7300</v>
      </c>
      <c r="B75" s="146">
        <v>401.6</v>
      </c>
      <c r="C75" s="178">
        <v>26.4</v>
      </c>
      <c r="D75" s="28">
        <v>0.08</v>
      </c>
      <c r="E75" s="146">
        <v>1150.8</v>
      </c>
      <c r="F75" s="149"/>
      <c r="G75" s="149"/>
      <c r="H75" s="146">
        <v>60.4</v>
      </c>
      <c r="I75" s="63">
        <v>0.04</v>
      </c>
    </row>
    <row r="76" spans="1:9" ht="15">
      <c r="A76" s="51">
        <v>7400</v>
      </c>
      <c r="B76" s="147">
        <v>410.4</v>
      </c>
      <c r="C76" s="40">
        <v>27</v>
      </c>
      <c r="D76" s="30">
        <v>0.08</v>
      </c>
      <c r="E76" s="147">
        <v>1142.4000000000001</v>
      </c>
      <c r="F76" s="151"/>
      <c r="G76" s="151"/>
      <c r="H76" s="147">
        <v>60.2</v>
      </c>
      <c r="I76" s="63">
        <v>0.04</v>
      </c>
    </row>
    <row r="77" spans="1:9" ht="15">
      <c r="A77" s="18">
        <v>7500</v>
      </c>
      <c r="B77" s="71">
        <v>419.3</v>
      </c>
      <c r="C77" s="179">
        <v>27.5</v>
      </c>
      <c r="D77" s="29">
        <v>0.08</v>
      </c>
      <c r="E77" s="71">
        <v>1133.9000000000001</v>
      </c>
      <c r="F77" s="123">
        <v>1.2250000000000001</v>
      </c>
      <c r="G77" s="123">
        <v>-1.262</v>
      </c>
      <c r="H77" s="71">
        <v>59.9</v>
      </c>
      <c r="I77" s="23">
        <v>0.04</v>
      </c>
    </row>
    <row r="78" spans="1:9" ht="15">
      <c r="A78" s="62">
        <v>7600</v>
      </c>
      <c r="B78" s="146">
        <v>428.4</v>
      </c>
      <c r="C78" s="178">
        <v>28</v>
      </c>
      <c r="D78" s="28">
        <v>0.08</v>
      </c>
      <c r="E78" s="146">
        <v>1125.0999999999999</v>
      </c>
      <c r="F78" s="149"/>
      <c r="G78" s="149"/>
      <c r="H78" s="146">
        <v>59.6</v>
      </c>
      <c r="I78" s="63">
        <v>0.04</v>
      </c>
    </row>
    <row r="79" spans="1:9" ht="15">
      <c r="A79" s="19">
        <v>7700</v>
      </c>
      <c r="B79" s="146">
        <v>437.8</v>
      </c>
      <c r="C79" s="178">
        <v>28.6</v>
      </c>
      <c r="D79" s="28">
        <v>0.08</v>
      </c>
      <c r="E79" s="146">
        <v>1115.0999999999999</v>
      </c>
      <c r="F79" s="149"/>
      <c r="G79" s="149"/>
      <c r="H79" s="146">
        <v>59.4</v>
      </c>
      <c r="I79" s="63">
        <v>0.04</v>
      </c>
    </row>
    <row r="80" spans="1:9" ht="15">
      <c r="A80" s="19">
        <v>7800</v>
      </c>
      <c r="B80" s="146">
        <v>447.4</v>
      </c>
      <c r="C80" s="178">
        <v>29.1</v>
      </c>
      <c r="D80" s="28">
        <v>7.0000000000000007E-2</v>
      </c>
      <c r="E80" s="146">
        <v>1106.8</v>
      </c>
      <c r="F80" s="149"/>
      <c r="G80" s="149"/>
      <c r="H80" s="146">
        <v>59.1</v>
      </c>
      <c r="I80" s="63">
        <v>0.04</v>
      </c>
    </row>
    <row r="81" spans="1:9" ht="15">
      <c r="A81" s="51">
        <v>7900</v>
      </c>
      <c r="B81" s="147">
        <v>457.3</v>
      </c>
      <c r="C81" s="40">
        <v>29.7</v>
      </c>
      <c r="D81" s="30">
        <v>7.0000000000000007E-2</v>
      </c>
      <c r="E81" s="147">
        <v>1097.2</v>
      </c>
      <c r="F81" s="151"/>
      <c r="G81" s="151"/>
      <c r="H81" s="147">
        <v>58.8</v>
      </c>
      <c r="I81" s="63">
        <v>0.04</v>
      </c>
    </row>
    <row r="82" spans="1:9" ht="15">
      <c r="A82" s="18">
        <v>8000</v>
      </c>
      <c r="B82" s="71">
        <v>467.5</v>
      </c>
      <c r="C82" s="179">
        <v>30.3</v>
      </c>
      <c r="D82" s="29">
        <v>7.0000000000000007E-2</v>
      </c>
      <c r="E82" s="71">
        <v>1087.4000000000001</v>
      </c>
      <c r="F82" s="123">
        <v>1.3049999999999999</v>
      </c>
      <c r="G82" s="123">
        <v>-1.369</v>
      </c>
      <c r="H82" s="71">
        <v>58.5</v>
      </c>
      <c r="I82" s="23">
        <v>0.04</v>
      </c>
    </row>
    <row r="83" spans="1:9" ht="15">
      <c r="A83" s="62">
        <v>8100</v>
      </c>
      <c r="B83" s="146">
        <v>478.1</v>
      </c>
      <c r="C83" s="178">
        <v>30.9</v>
      </c>
      <c r="D83" s="28">
        <v>7.0000000000000007E-2</v>
      </c>
      <c r="E83" s="146">
        <v>1077.2</v>
      </c>
      <c r="F83" s="149"/>
      <c r="G83" s="149"/>
      <c r="H83" s="146">
        <v>58.1</v>
      </c>
      <c r="I83" s="63">
        <v>0.04</v>
      </c>
    </row>
    <row r="84" spans="1:9" ht="15">
      <c r="A84" s="19">
        <v>8200</v>
      </c>
      <c r="B84" s="146">
        <v>488.9</v>
      </c>
      <c r="C84" s="178">
        <v>31.5</v>
      </c>
      <c r="D84" s="28">
        <v>7.0000000000000007E-2</v>
      </c>
      <c r="E84" s="146">
        <v>1066.5999999999999</v>
      </c>
      <c r="F84" s="149"/>
      <c r="G84" s="149"/>
      <c r="H84" s="146">
        <v>57.8</v>
      </c>
      <c r="I84" s="63">
        <v>0.04</v>
      </c>
    </row>
    <row r="85" spans="1:9" ht="15">
      <c r="A85" s="19">
        <v>8300</v>
      </c>
      <c r="B85" s="146">
        <v>500.3</v>
      </c>
      <c r="C85" s="178">
        <v>32.1</v>
      </c>
      <c r="D85" s="28">
        <v>7.0000000000000007E-2</v>
      </c>
      <c r="E85" s="146">
        <v>1055.5999999999999</v>
      </c>
      <c r="F85" s="149"/>
      <c r="G85" s="149"/>
      <c r="H85" s="146">
        <v>57.4</v>
      </c>
      <c r="I85" s="63">
        <v>0.04</v>
      </c>
    </row>
    <row r="86" spans="1:9" ht="15">
      <c r="A86" s="51">
        <v>8400</v>
      </c>
      <c r="B86" s="147">
        <v>512.1</v>
      </c>
      <c r="C86" s="40">
        <v>32.799999999999997</v>
      </c>
      <c r="D86" s="30">
        <v>7.0000000000000007E-2</v>
      </c>
      <c r="E86" s="147">
        <v>1044.2</v>
      </c>
      <c r="F86" s="151"/>
      <c r="G86" s="151"/>
      <c r="H86" s="147">
        <v>57</v>
      </c>
      <c r="I86" s="63">
        <v>0.04</v>
      </c>
    </row>
    <row r="87" spans="1:9" ht="15">
      <c r="A87" s="18">
        <v>8500</v>
      </c>
      <c r="B87" s="71">
        <v>524.5</v>
      </c>
      <c r="C87" s="179">
        <v>33.5</v>
      </c>
      <c r="D87" s="29">
        <v>0.06</v>
      </c>
      <c r="E87" s="71">
        <v>1032.3</v>
      </c>
      <c r="F87" s="123">
        <v>1.4330000000000001</v>
      </c>
      <c r="G87" s="123">
        <v>-1.57</v>
      </c>
      <c r="H87" s="71">
        <v>56.6</v>
      </c>
      <c r="I87" s="23">
        <v>0.04</v>
      </c>
    </row>
    <row r="88" spans="1:9" ht="15">
      <c r="A88" s="62">
        <v>8600</v>
      </c>
      <c r="B88" s="146">
        <v>537.4</v>
      </c>
      <c r="C88" s="178">
        <v>34.200000000000003</v>
      </c>
      <c r="D88" s="28">
        <v>0.06</v>
      </c>
      <c r="E88" s="146">
        <v>1019.7</v>
      </c>
      <c r="F88" s="149"/>
      <c r="G88" s="149"/>
      <c r="H88" s="146">
        <v>56.2</v>
      </c>
      <c r="I88" s="63">
        <v>0.04</v>
      </c>
    </row>
    <row r="89" spans="1:9" ht="15">
      <c r="A89" s="19">
        <v>8700</v>
      </c>
      <c r="B89" s="146">
        <v>551</v>
      </c>
      <c r="C89" s="178">
        <v>34.9</v>
      </c>
      <c r="D89" s="28">
        <v>0.06</v>
      </c>
      <c r="E89" s="146">
        <v>1006.5</v>
      </c>
      <c r="F89" s="149"/>
      <c r="G89" s="149"/>
      <c r="H89" s="146">
        <v>55.7</v>
      </c>
      <c r="I89" s="63">
        <v>0.04</v>
      </c>
    </row>
    <row r="90" spans="1:9" ht="15">
      <c r="A90" s="19">
        <v>8800</v>
      </c>
      <c r="B90" s="146">
        <v>565.4</v>
      </c>
      <c r="C90" s="178">
        <v>35.700000000000003</v>
      </c>
      <c r="D90" s="28">
        <v>0.06</v>
      </c>
      <c r="E90" s="146">
        <v>992.4</v>
      </c>
      <c r="F90" s="149"/>
      <c r="G90" s="149"/>
      <c r="H90" s="146">
        <v>55.2</v>
      </c>
      <c r="I90" s="63">
        <v>0.04</v>
      </c>
    </row>
    <row r="91" spans="1:9" ht="15">
      <c r="A91" s="51">
        <v>8900</v>
      </c>
      <c r="B91" s="147">
        <v>580.9</v>
      </c>
      <c r="C91" s="40">
        <v>36.5</v>
      </c>
      <c r="D91" s="30">
        <v>0.06</v>
      </c>
      <c r="E91" s="147">
        <v>977.2</v>
      </c>
      <c r="F91" s="151"/>
      <c r="G91" s="151"/>
      <c r="H91" s="147">
        <v>54.6</v>
      </c>
      <c r="I91" s="63">
        <v>0.04</v>
      </c>
    </row>
    <row r="92" spans="1:9" ht="15">
      <c r="A92" s="18">
        <v>9000</v>
      </c>
      <c r="B92" s="71">
        <v>597.6</v>
      </c>
      <c r="C92" s="179">
        <v>37.4</v>
      </c>
      <c r="D92" s="29">
        <v>0.06</v>
      </c>
      <c r="E92" s="71">
        <v>960.9</v>
      </c>
      <c r="F92" s="123">
        <v>1.69</v>
      </c>
      <c r="G92" s="123">
        <v>-2.177</v>
      </c>
      <c r="H92" s="71">
        <v>54</v>
      </c>
      <c r="I92" s="23">
        <v>0.04</v>
      </c>
    </row>
    <row r="93" spans="1:9" ht="15">
      <c r="A93" s="62">
        <v>9100</v>
      </c>
      <c r="B93" s="146">
        <v>616</v>
      </c>
      <c r="C93" s="178">
        <v>38.200000000000003</v>
      </c>
      <c r="D93" s="28">
        <v>0.06</v>
      </c>
      <c r="E93" s="146">
        <v>942.8</v>
      </c>
      <c r="F93" s="149"/>
      <c r="G93" s="149"/>
      <c r="H93" s="146">
        <v>53.3</v>
      </c>
      <c r="I93" s="63">
        <v>0.04</v>
      </c>
    </row>
    <row r="94" spans="1:9" ht="15">
      <c r="A94" s="19">
        <v>9200</v>
      </c>
      <c r="B94" s="146">
        <v>636.70000000000005</v>
      </c>
      <c r="C94" s="178">
        <v>39.4</v>
      </c>
      <c r="D94" s="28">
        <v>0.06</v>
      </c>
      <c r="E94" s="146">
        <v>922.5</v>
      </c>
      <c r="F94" s="149"/>
      <c r="G94" s="149"/>
      <c r="H94" s="146">
        <v>52.5</v>
      </c>
      <c r="I94" s="63">
        <v>0.04</v>
      </c>
    </row>
    <row r="95" spans="1:9" ht="15">
      <c r="A95" s="19">
        <v>9300</v>
      </c>
      <c r="B95" s="146">
        <v>660.9</v>
      </c>
      <c r="C95" s="178">
        <v>40.700000000000003</v>
      </c>
      <c r="D95" s="28">
        <v>0.05</v>
      </c>
      <c r="E95" s="146">
        <v>898.7</v>
      </c>
      <c r="F95" s="149"/>
      <c r="G95" s="149"/>
      <c r="H95" s="146">
        <v>51.6</v>
      </c>
      <c r="I95" s="63">
        <v>0.04</v>
      </c>
    </row>
    <row r="96" spans="1:9" ht="15">
      <c r="A96" s="51">
        <v>9400</v>
      </c>
      <c r="B96" s="147">
        <v>691.2</v>
      </c>
      <c r="C96" s="40">
        <v>42.2</v>
      </c>
      <c r="D96" s="30">
        <v>0.05</v>
      </c>
      <c r="E96" s="147">
        <v>868.7</v>
      </c>
      <c r="F96" s="151"/>
      <c r="G96" s="151"/>
      <c r="H96" s="147">
        <v>50.3</v>
      </c>
      <c r="I96" s="63">
        <v>0.04</v>
      </c>
    </row>
    <row r="97" spans="1:9" ht="15">
      <c r="A97" s="114">
        <v>9500</v>
      </c>
      <c r="B97" s="160">
        <v>740.1</v>
      </c>
      <c r="C97" s="180">
        <v>44.5</v>
      </c>
      <c r="D97" s="116">
        <v>0.05</v>
      </c>
      <c r="E97" s="160">
        <v>820.2</v>
      </c>
      <c r="F97" s="173">
        <v>2.919</v>
      </c>
      <c r="G97" s="173">
        <v>-2.177</v>
      </c>
      <c r="H97" s="160">
        <v>48.2</v>
      </c>
      <c r="I97" s="115">
        <v>0.05</v>
      </c>
    </row>
    <row r="98" spans="1:9" ht="15">
      <c r="A98" s="19">
        <v>9600</v>
      </c>
      <c r="B98" s="55">
        <v>0</v>
      </c>
      <c r="C98" s="166">
        <v>0</v>
      </c>
      <c r="D98">
        <v>0</v>
      </c>
      <c r="E98" s="55">
        <v>0</v>
      </c>
      <c r="F98" s="73">
        <v>0</v>
      </c>
      <c r="G98" s="73">
        <v>0</v>
      </c>
      <c r="H98" s="166">
        <v>0</v>
      </c>
      <c r="I98">
        <v>0</v>
      </c>
    </row>
  </sheetData>
  <sheetProtection selectLockedCells="1" selectUnlockedCells="1"/>
  <mergeCells count="4">
    <mergeCell ref="A1:I1"/>
    <mergeCell ref="J2:K2"/>
    <mergeCell ref="J16:M17"/>
    <mergeCell ref="J43:R4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M19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opLeftCell="A9" workbookViewId="0">
      <selection activeCell="K19" sqref="K19"/>
    </sheetView>
  </sheetViews>
  <sheetFormatPr defaultRowHeight="14.25"/>
  <cols>
    <col min="2" max="2" width="14.75" bestFit="1" customWidth="1"/>
    <col min="3" max="4" width="9" style="188"/>
    <col min="5" max="5" width="15" bestFit="1" customWidth="1"/>
    <col min="6" max="6" width="13.25" bestFit="1" customWidth="1"/>
    <col min="7" max="7" width="13.75" bestFit="1" customWidth="1"/>
    <col min="8" max="8" width="9" style="148"/>
    <col min="9" max="9" width="9" style="140"/>
    <col min="10" max="10" width="12.25" bestFit="1" customWidth="1"/>
    <col min="11" max="11" width="12.75" bestFit="1" customWidth="1"/>
    <col min="12" max="12" width="14" bestFit="1" customWidth="1"/>
    <col min="13" max="13" width="10.5" bestFit="1" customWidth="1"/>
  </cols>
  <sheetData>
    <row r="1" spans="1:13" ht="26.25">
      <c r="A1" s="312" t="s">
        <v>96</v>
      </c>
      <c r="B1" s="312"/>
      <c r="C1" s="312"/>
      <c r="D1" s="312"/>
      <c r="E1" s="312"/>
      <c r="F1" s="312"/>
      <c r="G1" s="312"/>
      <c r="H1" s="312"/>
      <c r="I1" s="312"/>
    </row>
    <row r="2" spans="1:13" ht="15">
      <c r="A2" s="15" t="s">
        <v>0</v>
      </c>
      <c r="B2" s="145" t="s">
        <v>6</v>
      </c>
      <c r="C2" s="145" t="s">
        <v>1</v>
      </c>
      <c r="D2" s="15" t="s">
        <v>5</v>
      </c>
      <c r="E2" s="145" t="s">
        <v>7</v>
      </c>
      <c r="F2" s="182" t="s">
        <v>2</v>
      </c>
      <c r="G2" s="182" t="s">
        <v>3</v>
      </c>
      <c r="H2" s="145" t="s">
        <v>1</v>
      </c>
      <c r="I2" s="150" t="s">
        <v>5</v>
      </c>
      <c r="J2" s="307" t="s">
        <v>21</v>
      </c>
      <c r="K2" s="307"/>
    </row>
    <row r="3" spans="1:13" ht="15">
      <c r="A3" s="62">
        <v>100</v>
      </c>
      <c r="B3" s="55">
        <v>2.1</v>
      </c>
      <c r="C3" s="55">
        <v>0.2</v>
      </c>
      <c r="D3" s="63">
        <v>1.0900000000000001</v>
      </c>
      <c r="E3" s="55">
        <v>0</v>
      </c>
      <c r="F3" s="55">
        <v>0</v>
      </c>
      <c r="G3" s="55">
        <v>0</v>
      </c>
      <c r="H3" s="55">
        <v>0</v>
      </c>
      <c r="I3" s="63">
        <v>0</v>
      </c>
      <c r="J3" s="172" t="s">
        <v>23</v>
      </c>
      <c r="K3" s="172" t="s">
        <v>24</v>
      </c>
    </row>
    <row r="4" spans="1:13" ht="15">
      <c r="A4" s="19">
        <v>200</v>
      </c>
      <c r="B4" s="177">
        <v>4.0999999999999996</v>
      </c>
      <c r="C4" s="55">
        <v>0.4</v>
      </c>
      <c r="D4" s="63">
        <v>1.0900000000000001</v>
      </c>
      <c r="E4" s="55">
        <v>0</v>
      </c>
      <c r="F4" s="55">
        <v>0</v>
      </c>
      <c r="G4" s="55">
        <v>0</v>
      </c>
      <c r="H4" s="55">
        <v>0</v>
      </c>
      <c r="I4" s="63">
        <v>0</v>
      </c>
      <c r="J4" s="7" t="str">
        <f>IF(K19&lt;100,"Yes",IF(K19&gt;11400,"Yes","No"))</f>
        <v>Yes</v>
      </c>
      <c r="K4" s="45" t="str">
        <f>IF(K19&lt;5848,"Yes",IF(K19&gt;11400,"Yes","No"))</f>
        <v>Yes</v>
      </c>
    </row>
    <row r="5" spans="1:13" ht="15">
      <c r="A5" s="19">
        <v>300</v>
      </c>
      <c r="B5" s="146">
        <v>6.2</v>
      </c>
      <c r="C5" s="146">
        <v>0.6</v>
      </c>
      <c r="D5" s="22">
        <v>1.0900000000000001</v>
      </c>
      <c r="E5" s="146">
        <v>0</v>
      </c>
      <c r="F5" s="146">
        <v>0</v>
      </c>
      <c r="G5" s="146">
        <v>0</v>
      </c>
      <c r="H5" s="146">
        <v>0</v>
      </c>
      <c r="I5" s="22">
        <v>0</v>
      </c>
      <c r="J5" s="7" t="str">
        <f t="shared" ref="J5:J13" si="0">IF(K20&lt;100,"Yes",IF(K20&gt;11400,"Yes","No"))</f>
        <v>Yes</v>
      </c>
      <c r="K5" s="45" t="str">
        <f t="shared" ref="K5:K13" si="1">IF(K20&lt;5848,"Yes",IF(K20&gt;11400,"Yes","No"))</f>
        <v>Yes</v>
      </c>
    </row>
    <row r="6" spans="1:13" ht="15">
      <c r="A6" s="19">
        <v>400</v>
      </c>
      <c r="B6" s="146">
        <v>8.3000000000000007</v>
      </c>
      <c r="C6" s="146">
        <v>0.8</v>
      </c>
      <c r="D6" s="22">
        <v>1.0900000000000001</v>
      </c>
      <c r="E6" s="146">
        <v>0</v>
      </c>
      <c r="F6" s="146">
        <v>0</v>
      </c>
      <c r="G6" s="146">
        <v>0</v>
      </c>
      <c r="H6" s="146">
        <v>0</v>
      </c>
      <c r="I6" s="22">
        <v>0</v>
      </c>
      <c r="J6" s="7" t="str">
        <f t="shared" si="0"/>
        <v>Yes</v>
      </c>
      <c r="K6" s="45" t="str">
        <f t="shared" si="1"/>
        <v>Yes</v>
      </c>
    </row>
    <row r="7" spans="1:13" ht="15">
      <c r="A7" s="184">
        <v>500</v>
      </c>
      <c r="B7" s="185">
        <v>10.5</v>
      </c>
      <c r="C7" s="185">
        <v>1</v>
      </c>
      <c r="D7" s="183">
        <v>1.0900000000000001</v>
      </c>
      <c r="E7" s="185">
        <v>0</v>
      </c>
      <c r="F7" s="185">
        <v>0</v>
      </c>
      <c r="G7" s="185">
        <v>0</v>
      </c>
      <c r="H7" s="185">
        <v>0</v>
      </c>
      <c r="I7" s="183">
        <v>0</v>
      </c>
      <c r="J7" s="7" t="str">
        <f t="shared" si="0"/>
        <v>Yes</v>
      </c>
      <c r="K7" s="45" t="str">
        <f t="shared" si="1"/>
        <v>Yes</v>
      </c>
    </row>
    <row r="8" spans="1:13" ht="15">
      <c r="A8" s="62">
        <v>600</v>
      </c>
      <c r="B8" s="55">
        <v>12.7</v>
      </c>
      <c r="C8" s="55">
        <v>1.3</v>
      </c>
      <c r="D8" s="63">
        <v>1.0900000000000001</v>
      </c>
      <c r="E8" s="55">
        <v>0</v>
      </c>
      <c r="F8" s="55">
        <v>0</v>
      </c>
      <c r="G8" s="55">
        <v>0</v>
      </c>
      <c r="H8" s="55">
        <v>0</v>
      </c>
      <c r="I8" s="63">
        <v>0</v>
      </c>
      <c r="J8" s="7" t="str">
        <f t="shared" si="0"/>
        <v>Yes</v>
      </c>
      <c r="K8" s="45" t="str">
        <f t="shared" si="1"/>
        <v>Yes</v>
      </c>
    </row>
    <row r="9" spans="1:13" ht="15">
      <c r="A9" s="19">
        <v>700</v>
      </c>
      <c r="B9" s="177">
        <v>14.9</v>
      </c>
      <c r="C9" s="55">
        <v>1.5</v>
      </c>
      <c r="D9" s="63">
        <v>1.0900000000000001</v>
      </c>
      <c r="E9" s="55">
        <v>0</v>
      </c>
      <c r="F9" s="55">
        <v>0</v>
      </c>
      <c r="G9" s="55">
        <v>0</v>
      </c>
      <c r="H9" s="55">
        <v>0</v>
      </c>
      <c r="I9" s="63">
        <v>0</v>
      </c>
      <c r="J9" s="7" t="str">
        <f t="shared" si="0"/>
        <v>Yes</v>
      </c>
      <c r="K9" s="45" t="str">
        <f t="shared" si="1"/>
        <v>Yes</v>
      </c>
    </row>
    <row r="10" spans="1:13" ht="15">
      <c r="A10" s="19">
        <v>800</v>
      </c>
      <c r="B10" s="146">
        <v>17.2</v>
      </c>
      <c r="C10" s="146">
        <v>1.7</v>
      </c>
      <c r="D10" s="22">
        <v>1.0900000000000001</v>
      </c>
      <c r="E10" s="146">
        <v>0</v>
      </c>
      <c r="F10" s="146">
        <v>0</v>
      </c>
      <c r="G10" s="146">
        <v>0</v>
      </c>
      <c r="H10" s="146">
        <v>0</v>
      </c>
      <c r="I10" s="22">
        <v>0</v>
      </c>
      <c r="J10" s="7" t="str">
        <f t="shared" si="0"/>
        <v>Yes</v>
      </c>
      <c r="K10" s="45" t="str">
        <f t="shared" si="1"/>
        <v>Yes</v>
      </c>
    </row>
    <row r="11" spans="1:13" ht="15">
      <c r="A11" s="19">
        <v>900</v>
      </c>
      <c r="B11" s="146">
        <v>19.600000000000001</v>
      </c>
      <c r="C11" s="146">
        <v>1.9</v>
      </c>
      <c r="D11" s="22">
        <v>1.0900000000000001</v>
      </c>
      <c r="E11" s="146">
        <v>0</v>
      </c>
      <c r="F11" s="146">
        <v>0</v>
      </c>
      <c r="G11" s="146">
        <v>0</v>
      </c>
      <c r="H11" s="146">
        <v>0</v>
      </c>
      <c r="I11" s="22">
        <v>0</v>
      </c>
      <c r="J11" s="7" t="str">
        <f t="shared" si="0"/>
        <v>Yes</v>
      </c>
      <c r="K11" s="45" t="str">
        <f t="shared" si="1"/>
        <v>Yes</v>
      </c>
    </row>
    <row r="12" spans="1:13" ht="15">
      <c r="A12" s="184">
        <v>1000</v>
      </c>
      <c r="B12" s="185">
        <v>21.9</v>
      </c>
      <c r="C12" s="185">
        <v>2.1</v>
      </c>
      <c r="D12" s="183">
        <v>0.97</v>
      </c>
      <c r="E12" s="185">
        <v>0</v>
      </c>
      <c r="F12" s="185">
        <v>0</v>
      </c>
      <c r="G12" s="185">
        <v>0</v>
      </c>
      <c r="H12" s="185">
        <v>0</v>
      </c>
      <c r="I12" s="183">
        <v>0</v>
      </c>
      <c r="J12" s="7" t="str">
        <f t="shared" si="0"/>
        <v>Yes</v>
      </c>
      <c r="K12" s="45" t="str">
        <f t="shared" si="1"/>
        <v>Yes</v>
      </c>
    </row>
    <row r="13" spans="1:13" ht="15">
      <c r="A13" s="62">
        <v>1100</v>
      </c>
      <c r="B13" s="55">
        <v>24.4</v>
      </c>
      <c r="C13" s="55">
        <v>2.4</v>
      </c>
      <c r="D13" s="63">
        <v>0.88</v>
      </c>
      <c r="E13" s="55">
        <v>0</v>
      </c>
      <c r="F13" s="55">
        <v>0</v>
      </c>
      <c r="G13" s="55">
        <v>0</v>
      </c>
      <c r="H13" s="55">
        <v>0</v>
      </c>
      <c r="I13" s="63">
        <v>0</v>
      </c>
      <c r="J13" s="7" t="str">
        <f t="shared" si="0"/>
        <v>Yes</v>
      </c>
      <c r="K13" s="45" t="str">
        <f t="shared" si="1"/>
        <v>Yes</v>
      </c>
    </row>
    <row r="14" spans="1:13" ht="15">
      <c r="A14" s="19">
        <v>1200</v>
      </c>
      <c r="B14" s="177">
        <v>26.8</v>
      </c>
      <c r="C14" s="55">
        <v>2.6</v>
      </c>
      <c r="D14" s="63">
        <v>0.8</v>
      </c>
      <c r="E14" s="55">
        <v>0</v>
      </c>
      <c r="F14" s="55">
        <v>0</v>
      </c>
      <c r="G14" s="55">
        <v>0</v>
      </c>
      <c r="H14" s="55">
        <v>0</v>
      </c>
      <c r="I14" s="63">
        <v>0</v>
      </c>
    </row>
    <row r="15" spans="1:13" ht="15.75" thickBot="1">
      <c r="A15" s="19">
        <v>1300</v>
      </c>
      <c r="B15" s="146">
        <v>29.3</v>
      </c>
      <c r="C15" s="55">
        <v>2.8</v>
      </c>
      <c r="D15" s="63">
        <v>0.74</v>
      </c>
      <c r="E15" s="146">
        <v>0</v>
      </c>
      <c r="F15" s="146">
        <v>0</v>
      </c>
      <c r="G15" s="146">
        <v>0</v>
      </c>
      <c r="H15" s="146">
        <v>0</v>
      </c>
      <c r="I15" s="22">
        <v>0</v>
      </c>
    </row>
    <row r="16" spans="1:13" ht="15">
      <c r="A16" s="19">
        <v>1400</v>
      </c>
      <c r="B16" s="146">
        <v>31.9</v>
      </c>
      <c r="C16" s="55">
        <v>3.1</v>
      </c>
      <c r="D16" s="63">
        <v>0.8</v>
      </c>
      <c r="E16" s="146">
        <v>0</v>
      </c>
      <c r="F16" s="146">
        <v>0</v>
      </c>
      <c r="G16" s="146">
        <v>0</v>
      </c>
      <c r="H16" s="146">
        <v>0</v>
      </c>
      <c r="I16" s="22">
        <v>0</v>
      </c>
      <c r="J16" s="308" t="s">
        <v>15</v>
      </c>
      <c r="K16" s="309"/>
      <c r="L16" s="309"/>
      <c r="M16" s="310"/>
    </row>
    <row r="17" spans="1:18" ht="15.75" thickBot="1">
      <c r="A17" s="184">
        <v>1500</v>
      </c>
      <c r="B17" s="185">
        <v>34.5</v>
      </c>
      <c r="C17" s="186">
        <v>3.3</v>
      </c>
      <c r="D17" s="183">
        <v>0.63</v>
      </c>
      <c r="E17" s="185">
        <v>0</v>
      </c>
      <c r="F17" s="185">
        <v>0</v>
      </c>
      <c r="G17" s="185">
        <v>0</v>
      </c>
      <c r="H17" s="185">
        <v>0</v>
      </c>
      <c r="I17" s="183">
        <v>0</v>
      </c>
      <c r="J17" s="311"/>
      <c r="K17" s="286"/>
      <c r="L17" s="286"/>
      <c r="M17" s="287"/>
    </row>
    <row r="18" spans="1:18" ht="15">
      <c r="A18" s="62">
        <v>1600</v>
      </c>
      <c r="B18" s="55">
        <v>37.200000000000003</v>
      </c>
      <c r="C18" s="63">
        <v>3.6</v>
      </c>
      <c r="D18" s="63">
        <v>0.59</v>
      </c>
      <c r="E18" s="55">
        <v>0</v>
      </c>
      <c r="F18" s="55">
        <v>0</v>
      </c>
      <c r="G18" s="55">
        <v>0</v>
      </c>
      <c r="H18" s="55">
        <v>0</v>
      </c>
      <c r="I18" s="63">
        <v>0</v>
      </c>
      <c r="J18" s="96" t="s">
        <v>12</v>
      </c>
      <c r="K18" s="94" t="s">
        <v>38</v>
      </c>
      <c r="L18" s="96" t="s">
        <v>39</v>
      </c>
      <c r="M18" s="95" t="s">
        <v>22</v>
      </c>
    </row>
    <row r="19" spans="1:18" ht="15">
      <c r="A19" s="19">
        <v>1700</v>
      </c>
      <c r="B19" s="177">
        <v>39.9</v>
      </c>
      <c r="C19" s="63">
        <v>3.8</v>
      </c>
      <c r="D19" s="63">
        <v>0.55000000000000004</v>
      </c>
      <c r="E19" s="55">
        <v>0</v>
      </c>
      <c r="F19" s="55">
        <v>0</v>
      </c>
      <c r="G19" s="55">
        <v>0</v>
      </c>
      <c r="H19" s="55">
        <v>0</v>
      </c>
      <c r="I19" s="63">
        <v>0</v>
      </c>
      <c r="J19" s="97">
        <v>1</v>
      </c>
      <c r="K19" s="110">
        <f>'1 HE'!K19</f>
        <v>0</v>
      </c>
      <c r="L19" s="108">
        <f>INPUT!C5</f>
        <v>0</v>
      </c>
      <c r="M19" s="111" t="str">
        <f>INPUT!D5</f>
        <v>L/A</v>
      </c>
    </row>
    <row r="20" spans="1:18" ht="15">
      <c r="A20" s="19">
        <v>1800</v>
      </c>
      <c r="B20" s="146">
        <v>42.7</v>
      </c>
      <c r="C20" s="28">
        <v>4.0999999999999996</v>
      </c>
      <c r="D20" s="22">
        <v>0.52</v>
      </c>
      <c r="E20" s="146">
        <v>0</v>
      </c>
      <c r="F20" s="146">
        <v>0</v>
      </c>
      <c r="G20" s="146">
        <v>0</v>
      </c>
      <c r="H20" s="146">
        <v>0</v>
      </c>
      <c r="I20" s="22">
        <v>0</v>
      </c>
      <c r="J20" s="97">
        <v>2</v>
      </c>
      <c r="K20" s="110">
        <f>'1 HE'!K20</f>
        <v>0</v>
      </c>
      <c r="L20" s="108">
        <f>INPUT!C6</f>
        <v>0</v>
      </c>
      <c r="M20" s="112" t="str">
        <f t="shared" ref="M20:M28" si="2">M19</f>
        <v>L/A</v>
      </c>
      <c r="R20">
        <v>0</v>
      </c>
    </row>
    <row r="21" spans="1:18" ht="15">
      <c r="A21" s="19">
        <v>1900</v>
      </c>
      <c r="B21" s="146">
        <v>45.5</v>
      </c>
      <c r="C21" s="28">
        <v>4.4000000000000004</v>
      </c>
      <c r="D21" s="22">
        <v>0.49</v>
      </c>
      <c r="E21" s="146">
        <v>0</v>
      </c>
      <c r="F21" s="146">
        <v>0</v>
      </c>
      <c r="G21" s="146">
        <v>0</v>
      </c>
      <c r="H21" s="146">
        <v>0</v>
      </c>
      <c r="I21" s="22">
        <v>0</v>
      </c>
      <c r="J21" s="97">
        <v>3</v>
      </c>
      <c r="K21" s="110">
        <f>'1 HE'!K21</f>
        <v>0</v>
      </c>
      <c r="L21" s="108">
        <f>INPUT!C7</f>
        <v>0</v>
      </c>
      <c r="M21" s="112" t="str">
        <f t="shared" si="2"/>
        <v>L/A</v>
      </c>
    </row>
    <row r="22" spans="1:18" ht="15">
      <c r="A22" s="184">
        <v>2000</v>
      </c>
      <c r="B22" s="185">
        <v>48.4</v>
      </c>
      <c r="C22" s="186">
        <v>4.5999999999999996</v>
      </c>
      <c r="D22" s="183">
        <v>0.45</v>
      </c>
      <c r="E22" s="185">
        <v>0</v>
      </c>
      <c r="F22" s="185">
        <v>0</v>
      </c>
      <c r="G22" s="185">
        <v>0</v>
      </c>
      <c r="H22" s="185">
        <v>0</v>
      </c>
      <c r="I22" s="183">
        <v>0</v>
      </c>
      <c r="J22" s="97">
        <v>4</v>
      </c>
      <c r="K22" s="110">
        <f>'1 HE'!K22</f>
        <v>0</v>
      </c>
      <c r="L22" s="108">
        <f>INPUT!C8</f>
        <v>0</v>
      </c>
      <c r="M22" s="112" t="str">
        <f t="shared" si="2"/>
        <v>L/A</v>
      </c>
    </row>
    <row r="23" spans="1:18" ht="15">
      <c r="A23" s="62">
        <v>2100</v>
      </c>
      <c r="B23" s="55">
        <v>51.4</v>
      </c>
      <c r="C23" s="63">
        <v>4.9000000000000004</v>
      </c>
      <c r="D23" s="63">
        <v>0.44</v>
      </c>
      <c r="E23" s="55">
        <v>0</v>
      </c>
      <c r="F23" s="55">
        <v>0</v>
      </c>
      <c r="G23" s="55">
        <v>0</v>
      </c>
      <c r="H23" s="55">
        <v>0</v>
      </c>
      <c r="I23" s="63">
        <v>0</v>
      </c>
      <c r="J23" s="97">
        <v>5</v>
      </c>
      <c r="K23" s="110">
        <f>'1 HE'!K23</f>
        <v>0</v>
      </c>
      <c r="L23" s="108">
        <f>INPUT!C9</f>
        <v>0</v>
      </c>
      <c r="M23" s="112" t="str">
        <f t="shared" si="2"/>
        <v>L/A</v>
      </c>
    </row>
    <row r="24" spans="1:18" ht="15">
      <c r="A24" s="19">
        <v>2200</v>
      </c>
      <c r="B24" s="177">
        <v>56.4</v>
      </c>
      <c r="C24" s="63">
        <v>5.2</v>
      </c>
      <c r="D24" s="63">
        <v>0.42</v>
      </c>
      <c r="E24" s="55">
        <v>0</v>
      </c>
      <c r="F24" s="55">
        <v>0</v>
      </c>
      <c r="G24" s="55">
        <v>0</v>
      </c>
      <c r="H24" s="55">
        <v>0</v>
      </c>
      <c r="I24" s="63">
        <v>0</v>
      </c>
      <c r="J24" s="97">
        <v>6</v>
      </c>
      <c r="K24" s="110">
        <f>'1 HE'!K24</f>
        <v>0</v>
      </c>
      <c r="L24" s="108">
        <f>INPUT!C10</f>
        <v>0</v>
      </c>
      <c r="M24" s="112" t="str">
        <f t="shared" si="2"/>
        <v>L/A</v>
      </c>
    </row>
    <row r="25" spans="1:18" ht="15">
      <c r="A25" s="19">
        <v>2300</v>
      </c>
      <c r="B25" s="146">
        <v>57.4</v>
      </c>
      <c r="C25" s="28">
        <v>5.4</v>
      </c>
      <c r="D25" s="22">
        <v>0.4</v>
      </c>
      <c r="E25" s="146">
        <v>0</v>
      </c>
      <c r="F25" s="146">
        <v>0</v>
      </c>
      <c r="G25" s="146">
        <v>0</v>
      </c>
      <c r="H25" s="146">
        <v>0</v>
      </c>
      <c r="I25" s="22">
        <v>0</v>
      </c>
      <c r="J25" s="97">
        <v>7</v>
      </c>
      <c r="K25" s="110">
        <f>'1 HE'!K25</f>
        <v>0</v>
      </c>
      <c r="L25" s="108">
        <f>INPUT!C11</f>
        <v>0</v>
      </c>
      <c r="M25" s="112" t="str">
        <f t="shared" si="2"/>
        <v>L/A</v>
      </c>
    </row>
    <row r="26" spans="1:18" ht="15">
      <c r="A26" s="19">
        <v>2400</v>
      </c>
      <c r="B26" s="146">
        <v>60.6</v>
      </c>
      <c r="C26" s="28">
        <v>5.7</v>
      </c>
      <c r="D26" s="22">
        <v>0.38</v>
      </c>
      <c r="E26" s="146">
        <v>0</v>
      </c>
      <c r="F26" s="146">
        <v>0</v>
      </c>
      <c r="G26" s="146">
        <v>0</v>
      </c>
      <c r="H26" s="146">
        <v>0</v>
      </c>
      <c r="I26" s="22">
        <v>0</v>
      </c>
      <c r="J26" s="97">
        <v>8</v>
      </c>
      <c r="K26" s="110">
        <f>'1 HE'!K26</f>
        <v>0</v>
      </c>
      <c r="L26" s="108">
        <f>INPUT!C12</f>
        <v>0</v>
      </c>
      <c r="M26" s="112" t="str">
        <f t="shared" si="2"/>
        <v>L/A</v>
      </c>
    </row>
    <row r="27" spans="1:18" ht="15">
      <c r="A27" s="184">
        <v>2500</v>
      </c>
      <c r="B27" s="185">
        <v>63.8</v>
      </c>
      <c r="C27" s="186">
        <v>6</v>
      </c>
      <c r="D27" s="183">
        <v>0.36</v>
      </c>
      <c r="E27" s="185">
        <v>0</v>
      </c>
      <c r="F27" s="185">
        <v>0</v>
      </c>
      <c r="G27" s="185">
        <v>0</v>
      </c>
      <c r="H27" s="185">
        <v>0</v>
      </c>
      <c r="I27" s="183">
        <v>0</v>
      </c>
      <c r="J27" s="97">
        <v>9</v>
      </c>
      <c r="K27" s="110">
        <f>'1 HE'!K27</f>
        <v>0</v>
      </c>
      <c r="L27" s="108">
        <f>INPUT!C13</f>
        <v>0</v>
      </c>
      <c r="M27" s="112" t="str">
        <f t="shared" si="2"/>
        <v>L/A</v>
      </c>
    </row>
    <row r="28" spans="1:18" ht="15.75" thickBot="1">
      <c r="A28" s="62">
        <v>2600</v>
      </c>
      <c r="B28" s="55">
        <v>67.099999999999994</v>
      </c>
      <c r="C28" s="63">
        <v>6.3</v>
      </c>
      <c r="D28" s="63">
        <v>0.34</v>
      </c>
      <c r="E28" s="55">
        <v>0</v>
      </c>
      <c r="F28" s="55">
        <v>0</v>
      </c>
      <c r="G28" s="55">
        <v>0</v>
      </c>
      <c r="H28" s="55">
        <v>0</v>
      </c>
      <c r="I28" s="63">
        <v>0</v>
      </c>
      <c r="J28" s="98">
        <v>10</v>
      </c>
      <c r="K28" s="110">
        <f>'1 HE'!K28</f>
        <v>0</v>
      </c>
      <c r="L28" s="108">
        <f>INPUT!C14</f>
        <v>0</v>
      </c>
      <c r="M28" s="113" t="str">
        <f t="shared" si="2"/>
        <v>L/A</v>
      </c>
    </row>
    <row r="29" spans="1:18" ht="15">
      <c r="A29" s="19">
        <v>2700</v>
      </c>
      <c r="B29" s="177">
        <v>70.400000000000006</v>
      </c>
      <c r="C29" s="63">
        <v>6.6</v>
      </c>
      <c r="D29" s="63">
        <v>0.33</v>
      </c>
      <c r="E29" s="55">
        <v>0</v>
      </c>
      <c r="F29" s="55">
        <v>0</v>
      </c>
      <c r="G29" s="55">
        <v>0</v>
      </c>
      <c r="H29" s="55">
        <v>0</v>
      </c>
      <c r="I29" s="63">
        <v>0</v>
      </c>
    </row>
    <row r="30" spans="1:18" ht="15">
      <c r="A30" s="19">
        <v>2800</v>
      </c>
      <c r="B30" s="146">
        <v>73.8</v>
      </c>
      <c r="C30" s="28">
        <v>6.9</v>
      </c>
      <c r="D30" s="22">
        <v>0.31</v>
      </c>
      <c r="E30" s="146">
        <v>0</v>
      </c>
      <c r="F30" s="146">
        <v>0</v>
      </c>
      <c r="G30" s="146">
        <v>0</v>
      </c>
      <c r="H30" s="146">
        <v>0</v>
      </c>
      <c r="I30" s="22">
        <v>0</v>
      </c>
    </row>
    <row r="31" spans="1:18" ht="15">
      <c r="A31" s="19">
        <v>2900</v>
      </c>
      <c r="B31" s="146">
        <v>77.3</v>
      </c>
      <c r="C31" s="146">
        <v>7.2</v>
      </c>
      <c r="D31" s="22">
        <v>0.3</v>
      </c>
      <c r="E31" s="146">
        <v>0</v>
      </c>
      <c r="F31" s="146">
        <v>0</v>
      </c>
      <c r="G31" s="146">
        <v>0</v>
      </c>
      <c r="H31" s="146">
        <v>0</v>
      </c>
      <c r="I31" s="22">
        <v>0</v>
      </c>
      <c r="J31" s="42" t="s">
        <v>72</v>
      </c>
      <c r="K31" s="42" t="s">
        <v>73</v>
      </c>
      <c r="L31" s="42" t="s">
        <v>74</v>
      </c>
      <c r="M31" s="42" t="s">
        <v>88</v>
      </c>
      <c r="N31" s="138" t="s">
        <v>89</v>
      </c>
      <c r="O31" s="138" t="s">
        <v>90</v>
      </c>
    </row>
    <row r="32" spans="1:18" ht="15">
      <c r="A32" s="184">
        <v>3000</v>
      </c>
      <c r="B32" s="185">
        <v>80.8</v>
      </c>
      <c r="C32" s="185">
        <v>7.5</v>
      </c>
      <c r="D32" s="183">
        <v>0.28999999999999998</v>
      </c>
      <c r="E32" s="185">
        <v>0</v>
      </c>
      <c r="F32" s="185">
        <v>0</v>
      </c>
      <c r="G32" s="185">
        <v>0</v>
      </c>
      <c r="H32" s="185">
        <v>0</v>
      </c>
      <c r="I32" s="183">
        <v>0</v>
      </c>
      <c r="J32" s="139" t="e">
        <f>VLOOKUP(J45,$A$3:$I$116,IF(M19="L/A",4,9),FALSE)</f>
        <v>#N/A</v>
      </c>
      <c r="K32">
        <f>VLOOKUP(K45,$A$3:$I$116,IF(M19="L/A",4,9),FALSE)</f>
        <v>1.0900000000000001</v>
      </c>
      <c r="L32" t="e">
        <f t="shared" ref="L32:L41" si="3">IF(K19=8000,J32,((K32-J32)*L45)+J32)</f>
        <v>#N/A</v>
      </c>
      <c r="M32" s="167" t="e">
        <f>VLOOKUP((_xlfn.FLOOR.MATH(K19,500)),$A$3:$I$116,IF(L19&gt;=0,7,6),FALSE)</f>
        <v>#N/A</v>
      </c>
      <c r="N32" s="168">
        <f>VLOOKUP((_xlfn.FLOOR.MATH((K19+500),500)),$A$3:$I$116,IF(L19&gt;=0,7,6),FALSE)</f>
        <v>0</v>
      </c>
      <c r="O32" s="167" t="e">
        <f>IF(K19=9000,M32,(((N32-M32)*((K19-(_xlfn.FLOOR.MATH(K19,500)))/500))+M32))</f>
        <v>#N/A</v>
      </c>
      <c r="P32" s="136">
        <v>1</v>
      </c>
    </row>
    <row r="33" spans="1:18" ht="15">
      <c r="A33" s="62">
        <v>3100</v>
      </c>
      <c r="B33" s="55">
        <v>84.5</v>
      </c>
      <c r="C33" s="55">
        <v>7.8</v>
      </c>
      <c r="D33" s="63">
        <v>0.28000000000000003</v>
      </c>
      <c r="E33" s="55">
        <v>0</v>
      </c>
      <c r="F33" s="55">
        <v>0</v>
      </c>
      <c r="G33" s="55">
        <v>0</v>
      </c>
      <c r="H33" s="55">
        <v>0</v>
      </c>
      <c r="I33" s="63">
        <v>0</v>
      </c>
      <c r="J33" s="139" t="e">
        <f t="shared" ref="J33:J41" si="4">VLOOKUP(J46,$A$3:$I$116,IF(M20="L/A",4,9),FALSE)</f>
        <v>#N/A</v>
      </c>
      <c r="K33">
        <f t="shared" ref="K33:K41" si="5">VLOOKUP(K46,$A$3:$I$116,IF(M20="L/A",4,9),FALSE)</f>
        <v>1.0900000000000001</v>
      </c>
      <c r="L33" t="e">
        <f t="shared" si="3"/>
        <v>#N/A</v>
      </c>
      <c r="M33" s="167" t="e">
        <f t="shared" ref="M33:M41" si="6">VLOOKUP((_xlfn.FLOOR.MATH(K20,500)),$A$3:$I$116,IF(L20&gt;=0,7,6),FALSE)</f>
        <v>#N/A</v>
      </c>
      <c r="N33" s="168">
        <f t="shared" ref="N33:N41" si="7">VLOOKUP((_xlfn.FLOOR.MATH((K20+500),500)),$A$3:$I$116,IF(L20&gt;=0,7,6),FALSE)</f>
        <v>0</v>
      </c>
      <c r="O33" s="167" t="e">
        <f t="shared" ref="O33:O41" si="8">IF(K20=9000,M33,(((N33-M33)*((K20-(_xlfn.FLOOR.MATH(K20,500)))/500))+M33))</f>
        <v>#N/A</v>
      </c>
      <c r="P33" s="136">
        <v>2</v>
      </c>
    </row>
    <row r="34" spans="1:18" ht="15">
      <c r="A34" s="19">
        <v>3200</v>
      </c>
      <c r="B34" s="177">
        <v>88.2</v>
      </c>
      <c r="C34" s="55">
        <v>8.1</v>
      </c>
      <c r="D34" s="63">
        <v>0.26</v>
      </c>
      <c r="E34" s="55">
        <v>0</v>
      </c>
      <c r="F34" s="55">
        <v>0</v>
      </c>
      <c r="G34" s="55">
        <v>0</v>
      </c>
      <c r="H34" s="55">
        <v>0</v>
      </c>
      <c r="I34" s="63">
        <v>0</v>
      </c>
      <c r="J34" s="139" t="e">
        <f t="shared" si="4"/>
        <v>#N/A</v>
      </c>
      <c r="K34">
        <f t="shared" si="5"/>
        <v>1.0900000000000001</v>
      </c>
      <c r="L34" t="e">
        <f t="shared" si="3"/>
        <v>#N/A</v>
      </c>
      <c r="M34" s="167" t="e">
        <f t="shared" si="6"/>
        <v>#N/A</v>
      </c>
      <c r="N34" s="168">
        <f t="shared" si="7"/>
        <v>0</v>
      </c>
      <c r="O34" s="167" t="e">
        <f t="shared" si="8"/>
        <v>#N/A</v>
      </c>
      <c r="P34" s="136">
        <v>3</v>
      </c>
    </row>
    <row r="35" spans="1:18" ht="15">
      <c r="A35" s="19">
        <v>3300</v>
      </c>
      <c r="B35" s="146">
        <v>919</v>
      </c>
      <c r="C35" s="146">
        <v>8.4</v>
      </c>
      <c r="D35" s="22">
        <v>0.25</v>
      </c>
      <c r="E35" s="146">
        <v>0</v>
      </c>
      <c r="F35" s="146">
        <v>0</v>
      </c>
      <c r="G35" s="146">
        <v>0</v>
      </c>
      <c r="H35" s="146">
        <v>0</v>
      </c>
      <c r="I35" s="22">
        <v>0</v>
      </c>
      <c r="J35" s="139" t="e">
        <f t="shared" si="4"/>
        <v>#N/A</v>
      </c>
      <c r="K35">
        <f t="shared" si="5"/>
        <v>1.0900000000000001</v>
      </c>
      <c r="L35" t="e">
        <f t="shared" si="3"/>
        <v>#N/A</v>
      </c>
      <c r="M35" s="167" t="e">
        <f t="shared" si="6"/>
        <v>#N/A</v>
      </c>
      <c r="N35" s="168">
        <f t="shared" si="7"/>
        <v>0</v>
      </c>
      <c r="O35" s="167" t="e">
        <f t="shared" si="8"/>
        <v>#N/A</v>
      </c>
      <c r="P35" s="136">
        <v>4</v>
      </c>
    </row>
    <row r="36" spans="1:18" ht="15">
      <c r="A36" s="19">
        <v>3400</v>
      </c>
      <c r="B36" s="146">
        <v>95.7</v>
      </c>
      <c r="C36" s="146">
        <v>8.6999999999999993</v>
      </c>
      <c r="D36" s="22">
        <v>0.24</v>
      </c>
      <c r="E36" s="146">
        <v>0</v>
      </c>
      <c r="F36" s="146">
        <v>0</v>
      </c>
      <c r="G36" s="146">
        <v>0</v>
      </c>
      <c r="H36" s="146">
        <v>0</v>
      </c>
      <c r="I36" s="22">
        <v>0</v>
      </c>
      <c r="J36" s="139" t="e">
        <f t="shared" si="4"/>
        <v>#N/A</v>
      </c>
      <c r="K36">
        <f t="shared" si="5"/>
        <v>1.0900000000000001</v>
      </c>
      <c r="L36" t="e">
        <f t="shared" si="3"/>
        <v>#N/A</v>
      </c>
      <c r="M36" s="167" t="e">
        <f t="shared" si="6"/>
        <v>#N/A</v>
      </c>
      <c r="N36" s="168">
        <f t="shared" si="7"/>
        <v>0</v>
      </c>
      <c r="O36" s="167" t="e">
        <f t="shared" si="8"/>
        <v>#N/A</v>
      </c>
      <c r="P36" s="136">
        <v>5</v>
      </c>
    </row>
    <row r="37" spans="1:18" ht="15">
      <c r="A37" s="184">
        <v>3500</v>
      </c>
      <c r="B37" s="185">
        <v>99.6</v>
      </c>
      <c r="C37" s="185">
        <v>9</v>
      </c>
      <c r="D37" s="183">
        <v>0.23</v>
      </c>
      <c r="E37" s="185">
        <v>0</v>
      </c>
      <c r="F37" s="185">
        <v>0</v>
      </c>
      <c r="G37" s="185">
        <v>0</v>
      </c>
      <c r="H37" s="185">
        <v>0</v>
      </c>
      <c r="I37" s="183">
        <v>0</v>
      </c>
      <c r="J37" s="139" t="e">
        <f t="shared" si="4"/>
        <v>#N/A</v>
      </c>
      <c r="K37">
        <f t="shared" si="5"/>
        <v>1.0900000000000001</v>
      </c>
      <c r="L37" t="e">
        <f t="shared" si="3"/>
        <v>#N/A</v>
      </c>
      <c r="M37" s="167" t="e">
        <f t="shared" si="6"/>
        <v>#N/A</v>
      </c>
      <c r="N37" s="168">
        <f t="shared" si="7"/>
        <v>0</v>
      </c>
      <c r="O37" s="167" t="e">
        <f t="shared" si="8"/>
        <v>#N/A</v>
      </c>
      <c r="P37" s="136">
        <v>6</v>
      </c>
    </row>
    <row r="38" spans="1:18" ht="15">
      <c r="A38" s="62">
        <v>3600</v>
      </c>
      <c r="B38" s="55">
        <v>103.6</v>
      </c>
      <c r="C38" s="55">
        <v>9.3000000000000007</v>
      </c>
      <c r="D38" s="63">
        <v>0.23</v>
      </c>
      <c r="E38" s="55">
        <v>0</v>
      </c>
      <c r="F38" s="55">
        <v>0</v>
      </c>
      <c r="G38" s="55">
        <v>0</v>
      </c>
      <c r="H38" s="55">
        <v>0</v>
      </c>
      <c r="I38" s="63">
        <v>0</v>
      </c>
      <c r="J38" s="139" t="e">
        <f t="shared" si="4"/>
        <v>#N/A</v>
      </c>
      <c r="K38">
        <f t="shared" si="5"/>
        <v>1.0900000000000001</v>
      </c>
      <c r="L38" t="e">
        <f t="shared" si="3"/>
        <v>#N/A</v>
      </c>
      <c r="M38" s="167" t="e">
        <f t="shared" si="6"/>
        <v>#N/A</v>
      </c>
      <c r="N38" s="168">
        <f t="shared" si="7"/>
        <v>0</v>
      </c>
      <c r="O38" s="167" t="e">
        <f t="shared" si="8"/>
        <v>#N/A</v>
      </c>
      <c r="P38" s="136">
        <v>7</v>
      </c>
    </row>
    <row r="39" spans="1:18" ht="15">
      <c r="A39" s="19">
        <v>3700</v>
      </c>
      <c r="B39" s="177">
        <v>107.6</v>
      </c>
      <c r="C39" s="55">
        <v>9.6999999999999993</v>
      </c>
      <c r="D39" s="63">
        <v>0.22</v>
      </c>
      <c r="E39" s="55">
        <v>0</v>
      </c>
      <c r="F39" s="55">
        <v>0</v>
      </c>
      <c r="G39" s="55">
        <v>0</v>
      </c>
      <c r="H39" s="55">
        <v>0</v>
      </c>
      <c r="I39" s="63">
        <v>0</v>
      </c>
      <c r="J39" s="139" t="e">
        <f t="shared" si="4"/>
        <v>#N/A</v>
      </c>
      <c r="K39">
        <f t="shared" si="5"/>
        <v>1.0900000000000001</v>
      </c>
      <c r="L39" t="e">
        <f t="shared" si="3"/>
        <v>#N/A</v>
      </c>
      <c r="M39" s="167" t="e">
        <f t="shared" si="6"/>
        <v>#N/A</v>
      </c>
      <c r="N39" s="168">
        <f t="shared" si="7"/>
        <v>0</v>
      </c>
      <c r="O39" s="167" t="e">
        <f t="shared" si="8"/>
        <v>#N/A</v>
      </c>
      <c r="P39" s="136">
        <v>8</v>
      </c>
    </row>
    <row r="40" spans="1:18" ht="15">
      <c r="A40" s="19">
        <v>3800</v>
      </c>
      <c r="B40" s="146">
        <v>111.7</v>
      </c>
      <c r="C40" s="146">
        <v>10</v>
      </c>
      <c r="D40" s="22">
        <v>0.21</v>
      </c>
      <c r="E40" s="146">
        <v>0</v>
      </c>
      <c r="F40" s="146">
        <v>0</v>
      </c>
      <c r="G40" s="146">
        <v>0</v>
      </c>
      <c r="H40" s="146">
        <v>0</v>
      </c>
      <c r="I40" s="22">
        <v>0</v>
      </c>
      <c r="J40" s="139" t="e">
        <f t="shared" si="4"/>
        <v>#N/A</v>
      </c>
      <c r="K40">
        <f t="shared" si="5"/>
        <v>1.0900000000000001</v>
      </c>
      <c r="L40" t="e">
        <f t="shared" si="3"/>
        <v>#N/A</v>
      </c>
      <c r="M40" s="167" t="e">
        <f t="shared" si="6"/>
        <v>#N/A</v>
      </c>
      <c r="N40" s="168">
        <f t="shared" si="7"/>
        <v>0</v>
      </c>
      <c r="O40" s="167" t="e">
        <f t="shared" si="8"/>
        <v>#N/A</v>
      </c>
      <c r="P40" s="136">
        <v>9</v>
      </c>
    </row>
    <row r="41" spans="1:18" ht="15">
      <c r="A41" s="19">
        <v>3900</v>
      </c>
      <c r="B41" s="146">
        <v>115.8</v>
      </c>
      <c r="C41" s="146">
        <v>10.3</v>
      </c>
      <c r="D41" s="22">
        <v>0.2</v>
      </c>
      <c r="E41" s="146">
        <v>0</v>
      </c>
      <c r="F41" s="146">
        <v>0</v>
      </c>
      <c r="G41" s="146">
        <v>0</v>
      </c>
      <c r="H41" s="146">
        <v>0</v>
      </c>
      <c r="I41" s="22">
        <v>0</v>
      </c>
      <c r="J41" s="139" t="e">
        <f t="shared" si="4"/>
        <v>#N/A</v>
      </c>
      <c r="K41">
        <f t="shared" si="5"/>
        <v>1.0900000000000001</v>
      </c>
      <c r="L41" t="e">
        <f t="shared" si="3"/>
        <v>#N/A</v>
      </c>
      <c r="M41" s="167" t="e">
        <f t="shared" si="6"/>
        <v>#N/A</v>
      </c>
      <c r="N41" s="168">
        <f t="shared" si="7"/>
        <v>0</v>
      </c>
      <c r="O41" s="167" t="e">
        <f t="shared" si="8"/>
        <v>#N/A</v>
      </c>
      <c r="P41" s="136">
        <v>10</v>
      </c>
    </row>
    <row r="42" spans="1:18" ht="15">
      <c r="A42" s="184">
        <v>4000</v>
      </c>
      <c r="B42" s="185">
        <v>120</v>
      </c>
      <c r="C42" s="185">
        <v>10.6</v>
      </c>
      <c r="D42" s="183">
        <v>0.2</v>
      </c>
      <c r="E42" s="185">
        <v>0</v>
      </c>
      <c r="F42" s="185">
        <v>0</v>
      </c>
      <c r="G42" s="185">
        <v>0</v>
      </c>
      <c r="H42" s="185">
        <v>0</v>
      </c>
      <c r="I42" s="183">
        <v>0</v>
      </c>
    </row>
    <row r="43" spans="1:18" ht="15">
      <c r="A43" s="62">
        <v>4100</v>
      </c>
      <c r="B43" s="55">
        <v>124.2</v>
      </c>
      <c r="C43" s="55">
        <v>11</v>
      </c>
      <c r="D43" s="63">
        <v>0.19</v>
      </c>
      <c r="E43" s="55">
        <v>0</v>
      </c>
      <c r="F43" s="55">
        <v>0</v>
      </c>
      <c r="G43" s="55">
        <v>0</v>
      </c>
      <c r="H43" s="55">
        <v>0</v>
      </c>
      <c r="I43" s="63">
        <v>0</v>
      </c>
      <c r="J43" s="314" t="s">
        <v>98</v>
      </c>
      <c r="K43" s="315"/>
      <c r="L43" s="315"/>
      <c r="M43" s="315"/>
      <c r="N43" s="315"/>
      <c r="O43" s="315"/>
      <c r="P43" s="315"/>
      <c r="Q43" s="315"/>
      <c r="R43" s="315"/>
    </row>
    <row r="44" spans="1:18" ht="15">
      <c r="A44" s="19">
        <v>4200</v>
      </c>
      <c r="B44" s="177">
        <v>128.5</v>
      </c>
      <c r="C44" s="55">
        <v>11.3</v>
      </c>
      <c r="D44" s="63">
        <v>0.19</v>
      </c>
      <c r="E44" s="55">
        <v>0</v>
      </c>
      <c r="F44" s="55">
        <v>0</v>
      </c>
      <c r="G44" s="55">
        <v>0</v>
      </c>
      <c r="H44" s="55">
        <v>0</v>
      </c>
      <c r="I44" s="63">
        <v>0</v>
      </c>
      <c r="J44" s="44" t="s">
        <v>17</v>
      </c>
      <c r="K44" s="44" t="s">
        <v>18</v>
      </c>
      <c r="L44" s="44" t="s">
        <v>16</v>
      </c>
      <c r="M44" s="44" t="s">
        <v>26</v>
      </c>
      <c r="N44" s="44" t="s">
        <v>27</v>
      </c>
      <c r="O44" s="77" t="s">
        <v>31</v>
      </c>
      <c r="P44" s="44" t="s">
        <v>19</v>
      </c>
      <c r="Q44" s="44" t="s">
        <v>20</v>
      </c>
      <c r="R44" s="11" t="s">
        <v>25</v>
      </c>
    </row>
    <row r="45" spans="1:18" ht="15">
      <c r="A45" s="19">
        <v>4300</v>
      </c>
      <c r="B45" s="146">
        <v>132.9</v>
      </c>
      <c r="C45" s="146">
        <v>11.6</v>
      </c>
      <c r="D45" s="22">
        <v>0.18</v>
      </c>
      <c r="E45" s="146">
        <v>0</v>
      </c>
      <c r="F45" s="146">
        <v>0</v>
      </c>
      <c r="G45" s="146">
        <v>0</v>
      </c>
      <c r="H45" s="146">
        <v>0</v>
      </c>
      <c r="I45" s="22">
        <v>0</v>
      </c>
      <c r="J45" s="45">
        <f>_xlfn.FLOOR.MATH(K19,100)</f>
        <v>0</v>
      </c>
      <c r="K45" s="46">
        <f t="shared" ref="K45:K54" si="9">J45+100</f>
        <v>100</v>
      </c>
      <c r="L45" s="45">
        <f>(K19-J45)/100</f>
        <v>0</v>
      </c>
      <c r="M45" s="45" t="e">
        <f>VLOOKUP(J45,$A$2:$I$116,IF(M19="l/a",3,8),FALSE)</f>
        <v>#N/A</v>
      </c>
      <c r="N45" s="45">
        <f>VLOOKUP(K45,$A$2:$I$116,IF(M19="l/a",3,8),FALSE)</f>
        <v>0.2</v>
      </c>
      <c r="O45" s="78" t="e">
        <f>IF(J45=11400,M45,(M45+((N45-M45)*L45)))</f>
        <v>#N/A</v>
      </c>
      <c r="P45" s="45" t="e">
        <f>VLOOKUP(J45,$A$2:$I$116,(IF(M19="L/A",2,5)),FALSE)</f>
        <v>#N/A</v>
      </c>
      <c r="Q45" s="45">
        <f>VLOOKUP(K45,$A$2:$I$116,(IF(M19="L/A",2,5)),FALSE)</f>
        <v>2.1</v>
      </c>
      <c r="R45" s="12" t="e">
        <f>IF(J45=11400,P45,((Q45-P45)*L45)+P45)</f>
        <v>#N/A</v>
      </c>
    </row>
    <row r="46" spans="1:18" ht="15">
      <c r="A46" s="19">
        <v>4400</v>
      </c>
      <c r="B46" s="146">
        <v>137.30000000000001</v>
      </c>
      <c r="C46" s="146">
        <v>12</v>
      </c>
      <c r="D46" s="22">
        <v>0.17</v>
      </c>
      <c r="E46" s="146">
        <v>0</v>
      </c>
      <c r="F46" s="146">
        <v>0</v>
      </c>
      <c r="G46" s="146">
        <v>0</v>
      </c>
      <c r="H46" s="146">
        <v>0</v>
      </c>
      <c r="I46" s="22">
        <v>0</v>
      </c>
      <c r="J46" s="45">
        <f t="shared" ref="J46:J54" si="10">_xlfn.FLOOR.MATH(K20,100)</f>
        <v>0</v>
      </c>
      <c r="K46" s="46">
        <f t="shared" si="9"/>
        <v>100</v>
      </c>
      <c r="L46" s="45">
        <f t="shared" ref="L46:L54" si="11">(K20-J46)/100</f>
        <v>0</v>
      </c>
      <c r="M46" s="45" t="e">
        <f t="shared" ref="M46:M54" si="12">VLOOKUP(J46,$A$2:$I$116,IF(M20="l/a",3,8),FALSE)</f>
        <v>#N/A</v>
      </c>
      <c r="N46" s="45">
        <f t="shared" ref="N46:N54" si="13">VLOOKUP(K46,$A$2:$I$116,IF(M20="l/a",3,8),FALSE)</f>
        <v>0.2</v>
      </c>
      <c r="O46" s="78" t="e">
        <f t="shared" ref="O46:O54" si="14">IF(J46=11400,M46,(M46+((N46-M46)*L46)))</f>
        <v>#N/A</v>
      </c>
      <c r="P46" s="45" t="e">
        <f t="shared" ref="P46:P54" si="15">VLOOKUP(J46,$A$2:$I$116,(IF(M20="L/A",2,5)),FALSE)</f>
        <v>#N/A</v>
      </c>
      <c r="Q46" s="45">
        <f t="shared" ref="Q46:Q54" si="16">VLOOKUP(K46,$A$2:$I$116,(IF(M20="L/A",2,5)),FALSE)</f>
        <v>2.1</v>
      </c>
      <c r="R46" s="12" t="e">
        <f t="shared" ref="R46:R54" si="17">IF(J46=11400,P46,((Q46-P46)*L46)+P46)</f>
        <v>#N/A</v>
      </c>
    </row>
    <row r="47" spans="1:18" ht="15">
      <c r="A47" s="184">
        <v>4500</v>
      </c>
      <c r="B47" s="185">
        <v>141.80000000000001</v>
      </c>
      <c r="C47" s="185">
        <v>12.3</v>
      </c>
      <c r="D47" s="183">
        <v>0.17</v>
      </c>
      <c r="E47" s="185">
        <v>0</v>
      </c>
      <c r="F47" s="185">
        <v>0</v>
      </c>
      <c r="G47" s="185">
        <v>0</v>
      </c>
      <c r="H47" s="185">
        <v>0</v>
      </c>
      <c r="I47" s="183">
        <v>0</v>
      </c>
      <c r="J47" s="45">
        <f t="shared" si="10"/>
        <v>0</v>
      </c>
      <c r="K47" s="46">
        <f t="shared" si="9"/>
        <v>100</v>
      </c>
      <c r="L47" s="45">
        <f t="shared" si="11"/>
        <v>0</v>
      </c>
      <c r="M47" s="45" t="e">
        <f t="shared" si="12"/>
        <v>#N/A</v>
      </c>
      <c r="N47" s="45">
        <f t="shared" si="13"/>
        <v>0.2</v>
      </c>
      <c r="O47" s="78" t="e">
        <f t="shared" si="14"/>
        <v>#N/A</v>
      </c>
      <c r="P47" s="45" t="e">
        <f t="shared" si="15"/>
        <v>#N/A</v>
      </c>
      <c r="Q47" s="45">
        <f t="shared" si="16"/>
        <v>2.1</v>
      </c>
      <c r="R47" s="12" t="e">
        <f t="shared" si="17"/>
        <v>#N/A</v>
      </c>
    </row>
    <row r="48" spans="1:18" ht="15">
      <c r="A48" s="62">
        <v>4600</v>
      </c>
      <c r="B48" s="55">
        <v>146.30000000000001</v>
      </c>
      <c r="C48" s="55">
        <v>12.6</v>
      </c>
      <c r="D48" s="63">
        <v>0.17</v>
      </c>
      <c r="E48" s="55">
        <v>0</v>
      </c>
      <c r="F48" s="55">
        <v>0</v>
      </c>
      <c r="G48" s="55">
        <v>0</v>
      </c>
      <c r="H48" s="55">
        <v>0</v>
      </c>
      <c r="I48" s="63">
        <v>0</v>
      </c>
      <c r="J48" s="45">
        <f t="shared" si="10"/>
        <v>0</v>
      </c>
      <c r="K48" s="46">
        <f t="shared" si="9"/>
        <v>100</v>
      </c>
      <c r="L48" s="45">
        <f t="shared" si="11"/>
        <v>0</v>
      </c>
      <c r="M48" s="45" t="e">
        <f t="shared" si="12"/>
        <v>#N/A</v>
      </c>
      <c r="N48" s="45">
        <f t="shared" si="13"/>
        <v>0.2</v>
      </c>
      <c r="O48" s="78" t="e">
        <f t="shared" si="14"/>
        <v>#N/A</v>
      </c>
      <c r="P48" s="45" t="e">
        <f t="shared" si="15"/>
        <v>#N/A</v>
      </c>
      <c r="Q48" s="45">
        <f t="shared" si="16"/>
        <v>2.1</v>
      </c>
      <c r="R48" s="12" t="e">
        <f t="shared" si="17"/>
        <v>#N/A</v>
      </c>
    </row>
    <row r="49" spans="1:18" ht="15">
      <c r="A49" s="19">
        <v>4700</v>
      </c>
      <c r="B49" s="177">
        <v>150.9</v>
      </c>
      <c r="C49" s="55">
        <v>13</v>
      </c>
      <c r="D49" s="63">
        <v>0.16</v>
      </c>
      <c r="E49" s="55">
        <v>0</v>
      </c>
      <c r="F49" s="55">
        <v>0</v>
      </c>
      <c r="G49" s="55">
        <v>0</v>
      </c>
      <c r="H49" s="55">
        <v>0</v>
      </c>
      <c r="I49" s="63">
        <v>0</v>
      </c>
      <c r="J49" s="45">
        <f t="shared" si="10"/>
        <v>0</v>
      </c>
      <c r="K49" s="46">
        <f t="shared" si="9"/>
        <v>100</v>
      </c>
      <c r="L49" s="45">
        <f t="shared" si="11"/>
        <v>0</v>
      </c>
      <c r="M49" s="45" t="e">
        <f t="shared" si="12"/>
        <v>#N/A</v>
      </c>
      <c r="N49" s="45">
        <f t="shared" si="13"/>
        <v>0.2</v>
      </c>
      <c r="O49" s="78" t="e">
        <f t="shared" si="14"/>
        <v>#N/A</v>
      </c>
      <c r="P49" s="45" t="e">
        <f t="shared" si="15"/>
        <v>#N/A</v>
      </c>
      <c r="Q49" s="45">
        <f t="shared" si="16"/>
        <v>2.1</v>
      </c>
      <c r="R49" s="12" t="e">
        <f t="shared" si="17"/>
        <v>#N/A</v>
      </c>
    </row>
    <row r="50" spans="1:18" ht="15">
      <c r="A50" s="19">
        <v>4800</v>
      </c>
      <c r="B50" s="146">
        <v>155.5</v>
      </c>
      <c r="C50" s="146">
        <v>13.3</v>
      </c>
      <c r="D50" s="22">
        <v>0.16</v>
      </c>
      <c r="E50" s="146">
        <v>0</v>
      </c>
      <c r="F50" s="146">
        <v>0</v>
      </c>
      <c r="G50" s="146">
        <v>0</v>
      </c>
      <c r="H50" s="146">
        <v>0</v>
      </c>
      <c r="I50" s="22">
        <v>0</v>
      </c>
      <c r="J50" s="45">
        <f t="shared" si="10"/>
        <v>0</v>
      </c>
      <c r="K50" s="46">
        <f t="shared" si="9"/>
        <v>100</v>
      </c>
      <c r="L50" s="45">
        <f t="shared" si="11"/>
        <v>0</v>
      </c>
      <c r="M50" s="45" t="e">
        <f t="shared" si="12"/>
        <v>#N/A</v>
      </c>
      <c r="N50" s="45">
        <f t="shared" si="13"/>
        <v>0.2</v>
      </c>
      <c r="O50" s="78" t="e">
        <f t="shared" si="14"/>
        <v>#N/A</v>
      </c>
      <c r="P50" s="45" t="e">
        <f t="shared" si="15"/>
        <v>#N/A</v>
      </c>
      <c r="Q50" s="45">
        <f t="shared" si="16"/>
        <v>2.1</v>
      </c>
      <c r="R50" s="12" t="e">
        <f t="shared" si="17"/>
        <v>#N/A</v>
      </c>
    </row>
    <row r="51" spans="1:18" ht="15">
      <c r="A51" s="19">
        <v>4900</v>
      </c>
      <c r="B51" s="146">
        <v>160.19999999999999</v>
      </c>
      <c r="C51" s="146">
        <v>13.7</v>
      </c>
      <c r="D51" s="22">
        <v>0.15</v>
      </c>
      <c r="E51" s="146">
        <v>0</v>
      </c>
      <c r="F51" s="146">
        <v>0</v>
      </c>
      <c r="G51" s="146">
        <v>0</v>
      </c>
      <c r="H51" s="146">
        <v>0</v>
      </c>
      <c r="I51" s="22">
        <v>0</v>
      </c>
      <c r="J51" s="45">
        <f t="shared" si="10"/>
        <v>0</v>
      </c>
      <c r="K51" s="46">
        <f t="shared" si="9"/>
        <v>100</v>
      </c>
      <c r="L51" s="45">
        <f t="shared" si="11"/>
        <v>0</v>
      </c>
      <c r="M51" s="45" t="e">
        <f t="shared" si="12"/>
        <v>#N/A</v>
      </c>
      <c r="N51" s="45">
        <f t="shared" si="13"/>
        <v>0.2</v>
      </c>
      <c r="O51" s="78" t="e">
        <f t="shared" si="14"/>
        <v>#N/A</v>
      </c>
      <c r="P51" s="45" t="e">
        <f t="shared" si="15"/>
        <v>#N/A</v>
      </c>
      <c r="Q51" s="45">
        <f t="shared" si="16"/>
        <v>2.1</v>
      </c>
      <c r="R51" s="12" t="e">
        <f t="shared" si="17"/>
        <v>#N/A</v>
      </c>
    </row>
    <row r="52" spans="1:18" ht="15">
      <c r="A52" s="184">
        <v>5000</v>
      </c>
      <c r="B52" s="185">
        <v>164.9</v>
      </c>
      <c r="C52" s="185">
        <v>14</v>
      </c>
      <c r="D52" s="183">
        <v>0.15</v>
      </c>
      <c r="E52" s="185">
        <v>0</v>
      </c>
      <c r="F52" s="185">
        <v>0</v>
      </c>
      <c r="G52" s="185">
        <v>0</v>
      </c>
      <c r="H52" s="185">
        <v>0</v>
      </c>
      <c r="I52" s="183">
        <v>0</v>
      </c>
      <c r="J52" s="45">
        <f t="shared" si="10"/>
        <v>0</v>
      </c>
      <c r="K52" s="46">
        <f t="shared" si="9"/>
        <v>100</v>
      </c>
      <c r="L52" s="45">
        <f t="shared" si="11"/>
        <v>0</v>
      </c>
      <c r="M52" s="45" t="e">
        <f t="shared" si="12"/>
        <v>#N/A</v>
      </c>
      <c r="N52" s="45">
        <f t="shared" si="13"/>
        <v>0.2</v>
      </c>
      <c r="O52" s="78" t="e">
        <f t="shared" si="14"/>
        <v>#N/A</v>
      </c>
      <c r="P52" s="45" t="e">
        <f t="shared" si="15"/>
        <v>#N/A</v>
      </c>
      <c r="Q52" s="45">
        <f t="shared" si="16"/>
        <v>2.1</v>
      </c>
      <c r="R52" s="12" t="e">
        <f t="shared" si="17"/>
        <v>#N/A</v>
      </c>
    </row>
    <row r="53" spans="1:18" ht="15">
      <c r="A53" s="62">
        <v>5100</v>
      </c>
      <c r="B53" s="55">
        <v>169.7</v>
      </c>
      <c r="C53" s="55">
        <v>14.4</v>
      </c>
      <c r="D53" s="63">
        <v>0.14000000000000001</v>
      </c>
      <c r="E53" s="55">
        <v>0</v>
      </c>
      <c r="F53" s="55">
        <v>0</v>
      </c>
      <c r="G53" s="55">
        <v>0</v>
      </c>
      <c r="H53" s="55">
        <v>0</v>
      </c>
      <c r="I53" s="63">
        <v>0</v>
      </c>
      <c r="J53" s="45">
        <f t="shared" si="10"/>
        <v>0</v>
      </c>
      <c r="K53" s="46">
        <f t="shared" si="9"/>
        <v>100</v>
      </c>
      <c r="L53" s="45">
        <f t="shared" si="11"/>
        <v>0</v>
      </c>
      <c r="M53" s="45" t="e">
        <f t="shared" si="12"/>
        <v>#N/A</v>
      </c>
      <c r="N53" s="45">
        <f t="shared" si="13"/>
        <v>0.2</v>
      </c>
      <c r="O53" s="78" t="e">
        <f t="shared" si="14"/>
        <v>#N/A</v>
      </c>
      <c r="P53" s="45" t="e">
        <f t="shared" si="15"/>
        <v>#N/A</v>
      </c>
      <c r="Q53" s="45">
        <f t="shared" si="16"/>
        <v>2.1</v>
      </c>
      <c r="R53" s="12" t="e">
        <f t="shared" si="17"/>
        <v>#N/A</v>
      </c>
    </row>
    <row r="54" spans="1:18" ht="15">
      <c r="A54" s="19">
        <v>5200</v>
      </c>
      <c r="B54" s="177">
        <v>174.6</v>
      </c>
      <c r="C54" s="55">
        <v>14.7</v>
      </c>
      <c r="D54" s="63">
        <v>0.14000000000000001</v>
      </c>
      <c r="E54" s="55">
        <v>0</v>
      </c>
      <c r="F54" s="55">
        <v>0</v>
      </c>
      <c r="G54" s="55">
        <v>0</v>
      </c>
      <c r="H54" s="55">
        <v>0</v>
      </c>
      <c r="I54" s="63">
        <v>0</v>
      </c>
      <c r="J54" s="45">
        <f t="shared" si="10"/>
        <v>0</v>
      </c>
      <c r="K54" s="10">
        <f t="shared" si="9"/>
        <v>100</v>
      </c>
      <c r="L54" s="45">
        <f t="shared" si="11"/>
        <v>0</v>
      </c>
      <c r="M54" s="45" t="e">
        <f t="shared" si="12"/>
        <v>#N/A</v>
      </c>
      <c r="N54" s="45">
        <f t="shared" si="13"/>
        <v>0.2</v>
      </c>
      <c r="O54" s="78" t="e">
        <f t="shared" si="14"/>
        <v>#N/A</v>
      </c>
      <c r="P54" s="45" t="e">
        <f t="shared" si="15"/>
        <v>#N/A</v>
      </c>
      <c r="Q54" s="45">
        <f t="shared" si="16"/>
        <v>2.1</v>
      </c>
      <c r="R54" s="12" t="e">
        <f t="shared" si="17"/>
        <v>#N/A</v>
      </c>
    </row>
    <row r="55" spans="1:18" ht="15">
      <c r="A55" s="19">
        <v>5300</v>
      </c>
      <c r="B55" s="146">
        <v>179.5</v>
      </c>
      <c r="C55" s="146">
        <v>15.1</v>
      </c>
      <c r="D55" s="22">
        <v>0.14000000000000001</v>
      </c>
      <c r="E55" s="146">
        <v>0</v>
      </c>
      <c r="F55" s="146">
        <v>0</v>
      </c>
      <c r="G55" s="146">
        <v>0</v>
      </c>
      <c r="H55" s="146">
        <v>0</v>
      </c>
      <c r="I55" s="22">
        <v>0</v>
      </c>
    </row>
    <row r="56" spans="1:18" ht="15">
      <c r="A56" s="19">
        <v>5400</v>
      </c>
      <c r="B56" s="146">
        <v>184.1</v>
      </c>
      <c r="C56" s="146">
        <v>15.4</v>
      </c>
      <c r="D56" s="22">
        <v>0.13</v>
      </c>
      <c r="E56" s="146">
        <v>0</v>
      </c>
      <c r="F56" s="146">
        <v>0</v>
      </c>
      <c r="G56" s="146">
        <v>0</v>
      </c>
      <c r="H56" s="146">
        <v>0</v>
      </c>
      <c r="I56" s="22">
        <v>0</v>
      </c>
    </row>
    <row r="57" spans="1:18" ht="15">
      <c r="A57" s="184">
        <v>5500</v>
      </c>
      <c r="B57" s="185">
        <v>189.4</v>
      </c>
      <c r="C57" s="185">
        <v>15.8</v>
      </c>
      <c r="D57" s="183">
        <v>0.13</v>
      </c>
      <c r="E57" s="185">
        <v>0</v>
      </c>
      <c r="F57" s="187">
        <v>1.04</v>
      </c>
      <c r="G57" s="187">
        <v>-1.0609999999999999</v>
      </c>
      <c r="H57" s="185">
        <v>0</v>
      </c>
      <c r="I57" s="183">
        <v>0</v>
      </c>
    </row>
    <row r="58" spans="1:18" ht="15">
      <c r="A58" s="19">
        <v>5600</v>
      </c>
      <c r="B58" s="146">
        <v>194.5</v>
      </c>
      <c r="C58" s="146">
        <v>16.100000000000001</v>
      </c>
      <c r="D58" s="22">
        <v>0.1</v>
      </c>
      <c r="E58" s="146">
        <v>0</v>
      </c>
      <c r="F58" s="146"/>
      <c r="G58" s="146"/>
      <c r="H58" s="146"/>
      <c r="I58" s="22"/>
    </row>
    <row r="59" spans="1:18" ht="15">
      <c r="A59" s="19">
        <v>5700</v>
      </c>
      <c r="B59" s="146">
        <v>199.6</v>
      </c>
      <c r="C59" s="146">
        <v>16.5</v>
      </c>
      <c r="D59" s="22">
        <v>0.13</v>
      </c>
      <c r="E59" s="146">
        <v>0</v>
      </c>
      <c r="F59" s="146"/>
      <c r="G59" s="146"/>
      <c r="H59" s="146"/>
      <c r="I59" s="22"/>
      <c r="K59" s="167"/>
    </row>
    <row r="60" spans="1:18" ht="15">
      <c r="A60" s="19">
        <v>5800</v>
      </c>
      <c r="B60" s="146">
        <v>204.8</v>
      </c>
      <c r="C60" s="146">
        <v>16.899999999999999</v>
      </c>
      <c r="D60" s="22">
        <v>0.12</v>
      </c>
      <c r="E60" s="55">
        <v>1306.9000000000001</v>
      </c>
      <c r="F60" s="122"/>
      <c r="G60" s="122"/>
      <c r="H60" s="55">
        <v>73</v>
      </c>
      <c r="I60" s="63">
        <v>0.03</v>
      </c>
      <c r="J60" s="64"/>
      <c r="K60" s="64"/>
    </row>
    <row r="61" spans="1:18" ht="15">
      <c r="A61" s="19">
        <v>5900</v>
      </c>
      <c r="B61" s="146">
        <v>210</v>
      </c>
      <c r="C61" s="146">
        <v>17.2</v>
      </c>
      <c r="D61" s="22">
        <v>0.12</v>
      </c>
      <c r="E61" s="146">
        <v>1303.2</v>
      </c>
      <c r="F61" s="122"/>
      <c r="G61" s="122"/>
      <c r="H61" s="55">
        <v>72.8</v>
      </c>
      <c r="I61" s="63">
        <v>0.03</v>
      </c>
    </row>
    <row r="62" spans="1:18" ht="15">
      <c r="A62" s="184">
        <v>6000</v>
      </c>
      <c r="B62" s="185">
        <v>215.3</v>
      </c>
      <c r="C62" s="185">
        <v>17.600000000000001</v>
      </c>
      <c r="D62" s="183">
        <v>0.12</v>
      </c>
      <c r="E62" s="185">
        <v>1299.5999999999999</v>
      </c>
      <c r="F62" s="187">
        <v>1.04</v>
      </c>
      <c r="G62" s="187">
        <v>-1.0609999999999999</v>
      </c>
      <c r="H62" s="185">
        <v>72.599999999999994</v>
      </c>
      <c r="I62" s="183">
        <v>0.03</v>
      </c>
    </row>
    <row r="63" spans="1:18" ht="15">
      <c r="A63" s="62">
        <v>6100</v>
      </c>
      <c r="B63" s="146">
        <v>220.6</v>
      </c>
      <c r="C63" s="146">
        <v>18</v>
      </c>
      <c r="D63" s="22">
        <v>0.12</v>
      </c>
      <c r="E63" s="146">
        <v>1295.8</v>
      </c>
      <c r="F63" s="149"/>
      <c r="G63" s="149"/>
      <c r="H63" s="146">
        <v>72.400000000000006</v>
      </c>
      <c r="I63" s="22">
        <v>0.03</v>
      </c>
    </row>
    <row r="64" spans="1:18" ht="15">
      <c r="A64" s="19">
        <v>6200</v>
      </c>
      <c r="B64" s="146">
        <v>226</v>
      </c>
      <c r="C64" s="146">
        <v>18.3</v>
      </c>
      <c r="D64" s="22">
        <v>0.11</v>
      </c>
      <c r="E64" s="146">
        <v>1292</v>
      </c>
      <c r="F64" s="149"/>
      <c r="G64" s="149"/>
      <c r="H64" s="146">
        <v>72.2</v>
      </c>
      <c r="I64" s="22">
        <v>0.03</v>
      </c>
    </row>
    <row r="65" spans="1:9" ht="15">
      <c r="A65" s="19">
        <v>6300</v>
      </c>
      <c r="B65" s="146">
        <v>231.4</v>
      </c>
      <c r="C65" s="146">
        <v>18.7</v>
      </c>
      <c r="D65" s="22">
        <v>0.11</v>
      </c>
      <c r="E65" s="146">
        <v>1288</v>
      </c>
      <c r="F65" s="149"/>
      <c r="G65" s="149"/>
      <c r="H65" s="146">
        <v>72</v>
      </c>
      <c r="I65" s="22">
        <v>0.03</v>
      </c>
    </row>
    <row r="66" spans="1:9" ht="15">
      <c r="A66" s="51">
        <v>6400</v>
      </c>
      <c r="B66" s="147">
        <v>236.9</v>
      </c>
      <c r="C66" s="147">
        <v>19.100000000000001</v>
      </c>
      <c r="D66" s="26">
        <v>0.11</v>
      </c>
      <c r="E66" s="147">
        <v>1283.9000000000001</v>
      </c>
      <c r="F66" s="151"/>
      <c r="G66" s="151"/>
      <c r="H66" s="147">
        <v>71.8</v>
      </c>
      <c r="I66" s="26">
        <v>0.03</v>
      </c>
    </row>
    <row r="67" spans="1:9" ht="15">
      <c r="A67" s="18">
        <v>6500</v>
      </c>
      <c r="B67" s="71">
        <v>242.5</v>
      </c>
      <c r="C67" s="71">
        <v>19.5</v>
      </c>
      <c r="D67" s="23">
        <v>0.11</v>
      </c>
      <c r="E67" s="71">
        <v>1279.7</v>
      </c>
      <c r="F67" s="123">
        <v>1.056</v>
      </c>
      <c r="G67" s="123">
        <v>-1.0609999999999999</v>
      </c>
      <c r="H67" s="71">
        <v>71.599999999999994</v>
      </c>
      <c r="I67" s="23">
        <v>0.03</v>
      </c>
    </row>
    <row r="68" spans="1:9" ht="15">
      <c r="A68" s="62">
        <v>6600</v>
      </c>
      <c r="B68" s="146">
        <v>248.1</v>
      </c>
      <c r="C68" s="146">
        <v>19.899999999999999</v>
      </c>
      <c r="D68" s="22">
        <v>0.11</v>
      </c>
      <c r="E68" s="146">
        <v>1275.4000000000001</v>
      </c>
      <c r="F68" s="149"/>
      <c r="G68" s="149"/>
      <c r="H68" s="146">
        <v>71.5</v>
      </c>
      <c r="I68" s="22">
        <v>0.03</v>
      </c>
    </row>
    <row r="69" spans="1:9" ht="15">
      <c r="A69" s="19">
        <v>6700</v>
      </c>
      <c r="B69" s="146">
        <v>253.8</v>
      </c>
      <c r="C69" s="146">
        <v>20.3</v>
      </c>
      <c r="D69" s="22">
        <v>0.1</v>
      </c>
      <c r="E69" s="146">
        <v>1270.9000000000001</v>
      </c>
      <c r="F69" s="149"/>
      <c r="G69" s="149"/>
      <c r="H69" s="146">
        <v>71.3</v>
      </c>
      <c r="I69" s="22">
        <v>0.03</v>
      </c>
    </row>
    <row r="70" spans="1:9" ht="15">
      <c r="A70" s="19">
        <v>6800</v>
      </c>
      <c r="B70" s="146">
        <v>259.60000000000002</v>
      </c>
      <c r="C70" s="146">
        <v>20.7</v>
      </c>
      <c r="D70" s="22">
        <v>0.1</v>
      </c>
      <c r="E70" s="146">
        <v>1266.0999999999999</v>
      </c>
      <c r="F70" s="149"/>
      <c r="G70" s="149"/>
      <c r="H70" s="146">
        <v>71.099999999999994</v>
      </c>
      <c r="I70" s="22">
        <v>0.03</v>
      </c>
    </row>
    <row r="71" spans="1:9" ht="15">
      <c r="A71" s="51">
        <v>6900</v>
      </c>
      <c r="B71" s="147">
        <v>265.39999999999998</v>
      </c>
      <c r="C71" s="147">
        <v>21</v>
      </c>
      <c r="D71" s="26">
        <v>0.1</v>
      </c>
      <c r="E71" s="147">
        <v>1261.8</v>
      </c>
      <c r="F71" s="151"/>
      <c r="G71" s="151"/>
      <c r="H71" s="147">
        <v>71</v>
      </c>
      <c r="I71" s="26">
        <v>0.03</v>
      </c>
    </row>
    <row r="72" spans="1:9" ht="15">
      <c r="A72" s="18">
        <v>7000</v>
      </c>
      <c r="B72" s="71">
        <v>271.2</v>
      </c>
      <c r="C72" s="71">
        <v>21.4</v>
      </c>
      <c r="D72" s="23">
        <v>0.1</v>
      </c>
      <c r="E72" s="71">
        <v>1257</v>
      </c>
      <c r="F72" s="123">
        <v>1.0760000000000001</v>
      </c>
      <c r="G72" s="123">
        <v>-1.083</v>
      </c>
      <c r="H72" s="71">
        <v>70.8</v>
      </c>
      <c r="I72" s="23">
        <v>0.03</v>
      </c>
    </row>
    <row r="73" spans="1:9" ht="15">
      <c r="A73" s="62">
        <v>7100</v>
      </c>
      <c r="B73" s="146">
        <v>277.2</v>
      </c>
      <c r="C73" s="146">
        <v>21.8</v>
      </c>
      <c r="D73" s="22">
        <v>0.1</v>
      </c>
      <c r="E73" s="146">
        <v>1252.2</v>
      </c>
      <c r="F73" s="149"/>
      <c r="G73" s="149"/>
      <c r="H73" s="146">
        <v>70.7</v>
      </c>
      <c r="I73" s="22">
        <v>0.03</v>
      </c>
    </row>
    <row r="74" spans="1:9" ht="15">
      <c r="A74" s="19">
        <v>7200</v>
      </c>
      <c r="B74" s="146">
        <v>283.2</v>
      </c>
      <c r="C74" s="146">
        <v>22.2</v>
      </c>
      <c r="D74" s="22">
        <v>0.09</v>
      </c>
      <c r="E74" s="146">
        <v>1247.3</v>
      </c>
      <c r="F74" s="149"/>
      <c r="G74" s="149"/>
      <c r="H74" s="146">
        <v>70.5</v>
      </c>
      <c r="I74" s="22">
        <v>0.03</v>
      </c>
    </row>
    <row r="75" spans="1:9" ht="15">
      <c r="A75" s="19">
        <v>7300</v>
      </c>
      <c r="B75" s="146">
        <v>289.3</v>
      </c>
      <c r="C75" s="146">
        <v>22.7</v>
      </c>
      <c r="D75" s="22">
        <v>0.09</v>
      </c>
      <c r="E75" s="146">
        <v>1242.3</v>
      </c>
      <c r="F75" s="149"/>
      <c r="G75" s="149"/>
      <c r="H75" s="146">
        <v>70.3</v>
      </c>
      <c r="I75" s="22">
        <v>0.03</v>
      </c>
    </row>
    <row r="76" spans="1:9" ht="15">
      <c r="A76" s="51">
        <v>7400</v>
      </c>
      <c r="B76" s="147">
        <v>295.39999999999998</v>
      </c>
      <c r="C76" s="147">
        <v>23.1</v>
      </c>
      <c r="D76" s="26">
        <v>0.09</v>
      </c>
      <c r="E76" s="147">
        <v>1237.0999999999999</v>
      </c>
      <c r="F76" s="151"/>
      <c r="G76" s="151"/>
      <c r="H76" s="147">
        <v>70.2</v>
      </c>
      <c r="I76" s="26">
        <v>0.03</v>
      </c>
    </row>
    <row r="77" spans="1:9" ht="15">
      <c r="A77" s="18">
        <v>7500</v>
      </c>
      <c r="B77" s="71">
        <v>301.7</v>
      </c>
      <c r="C77" s="71">
        <v>235</v>
      </c>
      <c r="D77" s="23">
        <v>0.09</v>
      </c>
      <c r="E77" s="71">
        <v>131.9</v>
      </c>
      <c r="F77" s="123">
        <v>1.099</v>
      </c>
      <c r="G77" s="123">
        <v>-1.109</v>
      </c>
      <c r="H77" s="71">
        <v>70</v>
      </c>
      <c r="I77" s="23">
        <v>0.03</v>
      </c>
    </row>
    <row r="78" spans="1:9" ht="15">
      <c r="A78" s="62">
        <v>7600</v>
      </c>
      <c r="B78" s="146">
        <v>308</v>
      </c>
      <c r="C78" s="146">
        <v>23.9</v>
      </c>
      <c r="D78" s="22">
        <v>0.09</v>
      </c>
      <c r="E78" s="146">
        <v>1226.5999999999999</v>
      </c>
      <c r="F78" s="149"/>
      <c r="G78" s="149"/>
      <c r="H78" s="146">
        <v>69.8</v>
      </c>
      <c r="I78" s="22">
        <v>0.03</v>
      </c>
    </row>
    <row r="79" spans="1:9" ht="15">
      <c r="A79" s="19">
        <v>7700</v>
      </c>
      <c r="B79" s="146">
        <v>314.3</v>
      </c>
      <c r="C79" s="146">
        <v>24.3</v>
      </c>
      <c r="D79" s="22">
        <v>0.09</v>
      </c>
      <c r="E79" s="146">
        <v>1221.2</v>
      </c>
      <c r="F79" s="149"/>
      <c r="G79" s="149"/>
      <c r="H79" s="146">
        <v>69.7</v>
      </c>
      <c r="I79" s="22">
        <v>0.03</v>
      </c>
    </row>
    <row r="80" spans="1:9" ht="15">
      <c r="A80" s="19">
        <v>7800</v>
      </c>
      <c r="B80" s="146">
        <v>320.8</v>
      </c>
      <c r="C80" s="146">
        <v>24.7</v>
      </c>
      <c r="D80" s="22">
        <v>0.08</v>
      </c>
      <c r="E80" s="146">
        <v>1215.7</v>
      </c>
      <c r="F80" s="149"/>
      <c r="G80" s="149"/>
      <c r="H80" s="146">
        <v>69.5</v>
      </c>
      <c r="I80" s="22">
        <v>0.03</v>
      </c>
    </row>
    <row r="81" spans="1:9" ht="15">
      <c r="A81" s="51">
        <v>7900</v>
      </c>
      <c r="B81" s="147">
        <v>327.39999999999998</v>
      </c>
      <c r="C81" s="147">
        <v>25.2</v>
      </c>
      <c r="D81" s="26">
        <v>0.08</v>
      </c>
      <c r="E81" s="147">
        <v>1210</v>
      </c>
      <c r="F81" s="151"/>
      <c r="G81" s="151"/>
      <c r="H81" s="147">
        <v>69.3</v>
      </c>
      <c r="I81" s="26">
        <v>0.03</v>
      </c>
    </row>
    <row r="82" spans="1:9" ht="15">
      <c r="A82" s="18">
        <v>8000</v>
      </c>
      <c r="B82" s="71">
        <v>334</v>
      </c>
      <c r="C82" s="71">
        <v>25.6</v>
      </c>
      <c r="D82" s="23">
        <v>0.08</v>
      </c>
      <c r="E82" s="71">
        <v>1204.3</v>
      </c>
      <c r="F82" s="123">
        <v>1.1259999999999999</v>
      </c>
      <c r="G82" s="123">
        <v>-1.1399999999999999</v>
      </c>
      <c r="H82" s="71">
        <v>69.099999999999994</v>
      </c>
      <c r="I82" s="23">
        <v>0.03</v>
      </c>
    </row>
    <row r="83" spans="1:9" ht="15">
      <c r="A83" s="62">
        <v>8100</v>
      </c>
      <c r="B83" s="146">
        <v>340.7</v>
      </c>
      <c r="C83" s="146">
        <v>26</v>
      </c>
      <c r="D83" s="22">
        <v>0.08</v>
      </c>
      <c r="E83" s="146">
        <v>1198.5</v>
      </c>
      <c r="F83" s="149"/>
      <c r="G83" s="149"/>
      <c r="H83" s="146">
        <v>69</v>
      </c>
      <c r="I83" s="22">
        <v>0.03</v>
      </c>
    </row>
    <row r="84" spans="1:9" ht="15">
      <c r="A84" s="19">
        <v>8200</v>
      </c>
      <c r="B84" s="146">
        <v>347.5</v>
      </c>
      <c r="C84" s="146">
        <v>26.5</v>
      </c>
      <c r="D84" s="22">
        <v>0.08</v>
      </c>
      <c r="E84" s="146">
        <v>1192.5999999999999</v>
      </c>
      <c r="F84" s="149"/>
      <c r="G84" s="149"/>
      <c r="H84" s="146">
        <v>68.8</v>
      </c>
      <c r="I84" s="22">
        <v>0.03</v>
      </c>
    </row>
    <row r="85" spans="1:9" ht="15">
      <c r="A85" s="19">
        <v>8300</v>
      </c>
      <c r="B85" s="146">
        <v>354.5</v>
      </c>
      <c r="C85" s="146">
        <v>26.9</v>
      </c>
      <c r="D85" s="22">
        <v>0.08</v>
      </c>
      <c r="E85" s="146">
        <v>1186.5</v>
      </c>
      <c r="F85" s="149"/>
      <c r="G85" s="149"/>
      <c r="H85" s="146">
        <v>68.599999999999994</v>
      </c>
      <c r="I85" s="22">
        <v>0.03</v>
      </c>
    </row>
    <row r="86" spans="1:9" ht="15">
      <c r="A86" s="51">
        <v>8400</v>
      </c>
      <c r="B86" s="147">
        <v>361.5</v>
      </c>
      <c r="C86" s="147">
        <v>27.4</v>
      </c>
      <c r="D86" s="26">
        <v>0.08</v>
      </c>
      <c r="E86" s="147">
        <v>1180.4000000000001</v>
      </c>
      <c r="F86" s="151"/>
      <c r="G86" s="151"/>
      <c r="H86" s="147">
        <v>68.400000000000006</v>
      </c>
      <c r="I86" s="26">
        <v>0.03</v>
      </c>
    </row>
    <row r="87" spans="1:9" ht="15">
      <c r="A87" s="18">
        <v>8500</v>
      </c>
      <c r="B87" s="71">
        <v>368.6</v>
      </c>
      <c r="C87" s="71">
        <v>27.9</v>
      </c>
      <c r="D87" s="23">
        <v>0.08</v>
      </c>
      <c r="E87" s="71">
        <v>1174.0999999999999</v>
      </c>
      <c r="F87" s="123">
        <v>1.1599999999999999</v>
      </c>
      <c r="G87" s="123">
        <v>-1.181</v>
      </c>
      <c r="H87" s="71">
        <v>68.2</v>
      </c>
      <c r="I87" s="23">
        <v>0.03</v>
      </c>
    </row>
    <row r="88" spans="1:9" ht="15">
      <c r="A88" s="62">
        <v>8600</v>
      </c>
      <c r="B88" s="146">
        <v>375.9</v>
      </c>
      <c r="C88" s="146">
        <v>28.3</v>
      </c>
      <c r="D88" s="22">
        <v>7.0000000000000007E-2</v>
      </c>
      <c r="E88" s="146">
        <v>1167.7</v>
      </c>
      <c r="F88" s="149"/>
      <c r="G88" s="149"/>
      <c r="H88" s="146">
        <v>68</v>
      </c>
      <c r="I88" s="22">
        <v>0.03</v>
      </c>
    </row>
    <row r="89" spans="1:9" ht="15">
      <c r="A89" s="19">
        <v>8700</v>
      </c>
      <c r="B89" s="146">
        <v>383.3</v>
      </c>
      <c r="C89" s="146">
        <v>28.8</v>
      </c>
      <c r="D89" s="22">
        <v>7.0000000000000007E-2</v>
      </c>
      <c r="E89" s="146">
        <v>1161.2</v>
      </c>
      <c r="F89" s="149"/>
      <c r="G89" s="149"/>
      <c r="H89" s="146">
        <v>67.8</v>
      </c>
      <c r="I89" s="22">
        <v>0.03</v>
      </c>
    </row>
    <row r="90" spans="1:9" ht="15">
      <c r="A90" s="19">
        <v>8800</v>
      </c>
      <c r="B90" s="146">
        <v>390.8</v>
      </c>
      <c r="C90" s="146">
        <v>29.3</v>
      </c>
      <c r="D90" s="22">
        <v>7.0000000000000007E-2</v>
      </c>
      <c r="E90" s="146">
        <v>1154.5</v>
      </c>
      <c r="F90" s="149"/>
      <c r="G90" s="149"/>
      <c r="H90" s="146">
        <v>67.5</v>
      </c>
      <c r="I90" s="22">
        <v>0.03</v>
      </c>
    </row>
    <row r="91" spans="1:9" ht="15">
      <c r="A91" s="51">
        <v>8900</v>
      </c>
      <c r="B91" s="147">
        <v>398.4</v>
      </c>
      <c r="C91" s="147">
        <v>29.8</v>
      </c>
      <c r="D91" s="26">
        <v>7.0000000000000007E-2</v>
      </c>
      <c r="E91" s="147">
        <v>1147.7</v>
      </c>
      <c r="F91" s="151"/>
      <c r="G91" s="151"/>
      <c r="H91" s="147">
        <v>67.3</v>
      </c>
      <c r="I91" s="26">
        <v>0.03</v>
      </c>
    </row>
    <row r="92" spans="1:9" ht="15">
      <c r="A92" s="18">
        <v>9000</v>
      </c>
      <c r="B92" s="71">
        <v>406.2</v>
      </c>
      <c r="C92" s="71">
        <v>30.3</v>
      </c>
      <c r="D92" s="23">
        <v>7.0000000000000007E-2</v>
      </c>
      <c r="E92" s="71">
        <v>1140.8</v>
      </c>
      <c r="F92" s="123">
        <v>1.2030000000000001</v>
      </c>
      <c r="G92" s="123">
        <v>-1.234</v>
      </c>
      <c r="H92" s="71">
        <v>67.099999999999994</v>
      </c>
      <c r="I92" s="23">
        <v>0.03</v>
      </c>
    </row>
    <row r="93" spans="1:9" ht="15">
      <c r="A93" s="62">
        <v>9100</v>
      </c>
      <c r="B93" s="146">
        <v>414.1</v>
      </c>
      <c r="C93" s="146">
        <v>30.8</v>
      </c>
      <c r="D93" s="22">
        <v>7.0000000000000007E-2</v>
      </c>
      <c r="E93" s="146">
        <v>1133.7</v>
      </c>
      <c r="F93" s="149"/>
      <c r="G93" s="149"/>
      <c r="H93" s="146">
        <v>66.8</v>
      </c>
      <c r="I93" s="22">
        <v>0.03</v>
      </c>
    </row>
    <row r="94" spans="1:9" ht="15">
      <c r="A94" s="19">
        <v>9200</v>
      </c>
      <c r="B94" s="146">
        <v>422.2</v>
      </c>
      <c r="C94" s="146">
        <v>31.3</v>
      </c>
      <c r="D94" s="22">
        <v>7.0000000000000007E-2</v>
      </c>
      <c r="E94" s="146">
        <v>1126.5</v>
      </c>
      <c r="F94" s="149"/>
      <c r="G94" s="149"/>
      <c r="H94" s="146">
        <v>66.599999999999994</v>
      </c>
      <c r="I94" s="22">
        <v>0.03</v>
      </c>
    </row>
    <row r="95" spans="1:9" ht="15">
      <c r="A95" s="19">
        <v>9300</v>
      </c>
      <c r="B95" s="146">
        <v>430.5</v>
      </c>
      <c r="C95" s="146">
        <v>31.8</v>
      </c>
      <c r="D95" s="22">
        <v>7.0000000000000007E-2</v>
      </c>
      <c r="E95" s="146">
        <v>1119.0999999999999</v>
      </c>
      <c r="F95" s="149"/>
      <c r="G95" s="149"/>
      <c r="H95" s="146">
        <v>66.3</v>
      </c>
      <c r="I95" s="22">
        <v>0.03</v>
      </c>
    </row>
    <row r="96" spans="1:9" ht="15">
      <c r="A96" s="51">
        <v>9400</v>
      </c>
      <c r="B96" s="147">
        <v>438.9</v>
      </c>
      <c r="C96" s="147">
        <v>32.299999999999997</v>
      </c>
      <c r="D96" s="26">
        <v>7.0000000000000007E-2</v>
      </c>
      <c r="E96" s="147">
        <v>1111.5</v>
      </c>
      <c r="F96" s="151"/>
      <c r="G96" s="151"/>
      <c r="H96" s="147">
        <v>66.099999999999994</v>
      </c>
      <c r="I96" s="26">
        <v>0.03</v>
      </c>
    </row>
    <row r="97" spans="1:9" ht="15">
      <c r="A97" s="18">
        <v>9500</v>
      </c>
      <c r="B97" s="71">
        <v>447.5</v>
      </c>
      <c r="C97" s="71">
        <v>32.799999999999997</v>
      </c>
      <c r="D97" s="23">
        <v>7.0000000000000007E-2</v>
      </c>
      <c r="E97" s="71">
        <v>1103.7</v>
      </c>
      <c r="F97" s="123">
        <v>1.2609999999999999</v>
      </c>
      <c r="G97" s="123">
        <v>-1.31</v>
      </c>
      <c r="H97" s="71">
        <v>65.8</v>
      </c>
      <c r="I97" s="23">
        <v>0.03</v>
      </c>
    </row>
    <row r="98" spans="1:9" ht="15">
      <c r="A98" s="62">
        <v>9600</v>
      </c>
      <c r="B98" s="146">
        <v>456.4</v>
      </c>
      <c r="C98" s="146">
        <v>33.4</v>
      </c>
      <c r="D98" s="22">
        <v>0.06</v>
      </c>
      <c r="E98" s="146">
        <v>1095.7</v>
      </c>
      <c r="F98" s="149"/>
      <c r="G98" s="149"/>
      <c r="H98" s="146">
        <v>65.5</v>
      </c>
      <c r="I98" s="22">
        <v>0.04</v>
      </c>
    </row>
    <row r="99" spans="1:9" ht="15">
      <c r="A99" s="19">
        <v>9700</v>
      </c>
      <c r="B99" s="146">
        <v>465.5</v>
      </c>
      <c r="C99" s="146">
        <v>34</v>
      </c>
      <c r="D99" s="22">
        <v>0.06</v>
      </c>
      <c r="E99" s="146">
        <v>1087.4000000000001</v>
      </c>
      <c r="F99" s="149"/>
      <c r="G99" s="149"/>
      <c r="H99" s="146">
        <v>65.2</v>
      </c>
      <c r="I99" s="22">
        <v>0.04</v>
      </c>
    </row>
    <row r="100" spans="1:9" ht="15">
      <c r="A100" s="19">
        <v>9800</v>
      </c>
      <c r="B100" s="146">
        <v>474.8</v>
      </c>
      <c r="C100" s="146">
        <v>34.5</v>
      </c>
      <c r="D100" s="22">
        <v>0.06</v>
      </c>
      <c r="E100" s="146">
        <v>1079</v>
      </c>
      <c r="F100" s="149"/>
      <c r="G100" s="149"/>
      <c r="H100" s="146">
        <v>64.900000000000006</v>
      </c>
      <c r="I100" s="22">
        <v>0.04</v>
      </c>
    </row>
    <row r="101" spans="1:9" ht="15">
      <c r="A101" s="51">
        <v>9900</v>
      </c>
      <c r="B101" s="147">
        <v>484.4</v>
      </c>
      <c r="C101" s="147">
        <v>35.1</v>
      </c>
      <c r="D101" s="26">
        <v>0.06</v>
      </c>
      <c r="E101" s="147">
        <v>1070.3</v>
      </c>
      <c r="F101" s="151"/>
      <c r="G101" s="151"/>
      <c r="H101" s="147">
        <v>64.599999999999994</v>
      </c>
      <c r="I101" s="26">
        <v>0.04</v>
      </c>
    </row>
    <row r="102" spans="1:9" ht="15">
      <c r="A102" s="18">
        <v>10000</v>
      </c>
      <c r="B102" s="71">
        <v>494.2</v>
      </c>
      <c r="C102" s="71">
        <v>35.700000000000003</v>
      </c>
      <c r="D102" s="23">
        <v>0.06</v>
      </c>
      <c r="E102" s="71">
        <v>1061.3</v>
      </c>
      <c r="F102" s="123">
        <v>1.3440000000000001</v>
      </c>
      <c r="G102" s="123">
        <v>-1.431</v>
      </c>
      <c r="H102" s="71">
        <v>64.2</v>
      </c>
      <c r="I102" s="23">
        <v>0.04</v>
      </c>
    </row>
    <row r="103" spans="1:9" ht="15">
      <c r="A103" s="62">
        <v>10100</v>
      </c>
      <c r="B103" s="146">
        <v>504.4</v>
      </c>
      <c r="C103" s="146">
        <v>36.299999999999997</v>
      </c>
      <c r="D103" s="22">
        <v>0.06</v>
      </c>
      <c r="E103" s="146">
        <v>1051.9000000000001</v>
      </c>
      <c r="F103" s="149"/>
      <c r="G103" s="149"/>
      <c r="H103" s="146">
        <v>63.9</v>
      </c>
      <c r="I103" s="22">
        <v>0.04</v>
      </c>
    </row>
    <row r="104" spans="1:9" ht="15">
      <c r="A104" s="19">
        <v>10200</v>
      </c>
      <c r="B104" s="146">
        <v>515</v>
      </c>
      <c r="C104" s="146">
        <v>37</v>
      </c>
      <c r="D104" s="22">
        <v>0.06</v>
      </c>
      <c r="E104" s="146">
        <v>1042.2</v>
      </c>
      <c r="F104" s="149"/>
      <c r="G104" s="149"/>
      <c r="H104" s="146">
        <v>63.5</v>
      </c>
      <c r="I104" s="22">
        <v>0.04</v>
      </c>
    </row>
    <row r="105" spans="1:9" ht="15">
      <c r="A105" s="19">
        <v>10300</v>
      </c>
      <c r="B105" s="146">
        <v>525.9</v>
      </c>
      <c r="C105" s="146">
        <v>37.6</v>
      </c>
      <c r="D105" s="22">
        <v>0.06</v>
      </c>
      <c r="E105" s="146">
        <v>1032.0999999999999</v>
      </c>
      <c r="F105" s="149"/>
      <c r="G105" s="149"/>
      <c r="H105" s="146">
        <v>63.1</v>
      </c>
      <c r="I105" s="22">
        <v>0.04</v>
      </c>
    </row>
    <row r="106" spans="1:9" ht="15">
      <c r="A106" s="51">
        <v>10400</v>
      </c>
      <c r="B106" s="147">
        <v>537.29999999999995</v>
      </c>
      <c r="C106" s="147">
        <v>38.299999999999997</v>
      </c>
      <c r="D106" s="26">
        <v>0.06</v>
      </c>
      <c r="E106" s="147">
        <v>1021.5</v>
      </c>
      <c r="F106" s="151"/>
      <c r="G106" s="151"/>
      <c r="H106" s="147">
        <v>62.7</v>
      </c>
      <c r="I106" s="26">
        <v>0.04</v>
      </c>
    </row>
    <row r="107" spans="1:9" ht="15">
      <c r="A107" s="18">
        <v>10500</v>
      </c>
      <c r="B107" s="71">
        <v>549.20000000000005</v>
      </c>
      <c r="C107" s="71">
        <v>39</v>
      </c>
      <c r="D107" s="23">
        <v>0.06</v>
      </c>
      <c r="E107" s="71">
        <v>1010.4</v>
      </c>
      <c r="F107" s="123">
        <v>1.482</v>
      </c>
      <c r="G107" s="123">
        <v>-1.6639999999999999</v>
      </c>
      <c r="H107" s="71">
        <v>62.2</v>
      </c>
      <c r="I107" s="23">
        <v>0.04</v>
      </c>
    </row>
    <row r="108" spans="1:9" ht="15">
      <c r="A108" s="62">
        <v>10600</v>
      </c>
      <c r="B108" s="146">
        <v>561.79999999999995</v>
      </c>
      <c r="C108" s="146">
        <v>39.700000000000003</v>
      </c>
      <c r="D108" s="22">
        <v>0.05</v>
      </c>
      <c r="E108" s="146">
        <v>998.7</v>
      </c>
      <c r="F108" s="149"/>
      <c r="G108" s="149"/>
      <c r="H108" s="146">
        <v>61.8</v>
      </c>
      <c r="I108" s="22">
        <v>0.04</v>
      </c>
    </row>
    <row r="109" spans="1:9" ht="15">
      <c r="A109" s="19">
        <v>10700</v>
      </c>
      <c r="B109" s="146">
        <v>575</v>
      </c>
      <c r="C109" s="146">
        <v>40.5</v>
      </c>
      <c r="D109" s="22">
        <v>0.05</v>
      </c>
      <c r="E109" s="146">
        <v>986.3</v>
      </c>
      <c r="F109" s="149"/>
      <c r="G109" s="149"/>
      <c r="H109" s="146">
        <v>61.2</v>
      </c>
      <c r="I109" s="22">
        <v>0.04</v>
      </c>
    </row>
    <row r="110" spans="1:9" ht="15">
      <c r="A110" s="19">
        <v>10800</v>
      </c>
      <c r="B110" s="146">
        <v>589</v>
      </c>
      <c r="C110" s="146">
        <v>41.3</v>
      </c>
      <c r="D110" s="22">
        <v>0.05</v>
      </c>
      <c r="E110" s="146">
        <v>973.1</v>
      </c>
      <c r="F110" s="149"/>
      <c r="G110" s="149"/>
      <c r="H110" s="146">
        <v>60.7</v>
      </c>
      <c r="I110" s="22">
        <v>0.04</v>
      </c>
    </row>
    <row r="111" spans="1:9" ht="15">
      <c r="A111" s="51">
        <v>10900</v>
      </c>
      <c r="B111" s="147">
        <v>604.1</v>
      </c>
      <c r="C111" s="147">
        <v>42.2</v>
      </c>
      <c r="D111" s="26">
        <v>0.05</v>
      </c>
      <c r="E111" s="147">
        <v>958.8</v>
      </c>
      <c r="F111" s="151"/>
      <c r="G111" s="151"/>
      <c r="H111" s="191">
        <v>60.1</v>
      </c>
      <c r="I111" s="192">
        <v>0.04</v>
      </c>
    </row>
    <row r="112" spans="1:9" ht="15">
      <c r="A112" s="18">
        <v>11000</v>
      </c>
      <c r="B112" s="71">
        <v>620.6</v>
      </c>
      <c r="C112" s="71">
        <v>43.1</v>
      </c>
      <c r="D112" s="23">
        <v>0.05</v>
      </c>
      <c r="E112" s="71">
        <v>943.1</v>
      </c>
      <c r="F112" s="123">
        <v>1.762</v>
      </c>
      <c r="G112" s="123">
        <v>-2.5339999999999998</v>
      </c>
      <c r="H112" s="71">
        <v>59.4</v>
      </c>
      <c r="I112" s="23">
        <v>0.04</v>
      </c>
    </row>
    <row r="113" spans="1:9" ht="15">
      <c r="A113" s="62">
        <v>11100</v>
      </c>
      <c r="B113" s="146">
        <v>638.79999999999995</v>
      </c>
      <c r="C113" s="146">
        <v>44.2</v>
      </c>
      <c r="D113" s="22">
        <v>0.05</v>
      </c>
      <c r="E113" s="146">
        <v>925.8</v>
      </c>
      <c r="F113" s="149"/>
      <c r="G113" s="149"/>
      <c r="H113" s="191">
        <v>58.6</v>
      </c>
      <c r="I113" s="192">
        <v>0.04</v>
      </c>
    </row>
    <row r="114" spans="1:9" ht="15">
      <c r="A114" s="19">
        <v>11200</v>
      </c>
      <c r="B114" s="146">
        <v>659.6</v>
      </c>
      <c r="C114" s="146">
        <v>45.3</v>
      </c>
      <c r="D114" s="22">
        <v>0.05</v>
      </c>
      <c r="E114" s="146">
        <v>905.8</v>
      </c>
      <c r="F114" s="149"/>
      <c r="G114" s="149"/>
      <c r="H114" s="148">
        <v>57.7</v>
      </c>
      <c r="I114" s="140">
        <v>0.04</v>
      </c>
    </row>
    <row r="115" spans="1:9" ht="15">
      <c r="A115" s="19">
        <v>11300</v>
      </c>
      <c r="B115" s="146">
        <v>684.4</v>
      </c>
      <c r="C115" s="146">
        <v>45.7</v>
      </c>
      <c r="D115" s="22">
        <v>0.05</v>
      </c>
      <c r="E115" s="146">
        <v>881.8</v>
      </c>
      <c r="F115" s="149"/>
      <c r="G115" s="149"/>
      <c r="H115" s="148">
        <v>56.6</v>
      </c>
      <c r="I115" s="140">
        <v>0.04</v>
      </c>
    </row>
    <row r="116" spans="1:9" ht="15">
      <c r="A116" s="51">
        <v>11400</v>
      </c>
      <c r="B116" s="147">
        <v>717.7</v>
      </c>
      <c r="C116" s="147">
        <v>48.5</v>
      </c>
      <c r="D116" s="26">
        <v>0.05</v>
      </c>
      <c r="E116" s="147">
        <v>849.4</v>
      </c>
      <c r="F116" s="151"/>
      <c r="G116" s="151"/>
      <c r="H116" s="147">
        <v>55.1</v>
      </c>
      <c r="I116" s="26">
        <v>0.04</v>
      </c>
    </row>
  </sheetData>
  <sheetProtection selectLockedCells="1" selectUnlockedCells="1"/>
  <mergeCells count="4">
    <mergeCell ref="A1:I1"/>
    <mergeCell ref="J2:K2"/>
    <mergeCell ref="J16:M17"/>
    <mergeCell ref="J43:R4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M19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sqref="A1:E1"/>
    </sheetView>
  </sheetViews>
  <sheetFormatPr defaultRowHeight="14.25"/>
  <cols>
    <col min="1" max="1" width="7.5" bestFit="1" customWidth="1"/>
    <col min="2" max="2" width="14.75" bestFit="1" customWidth="1"/>
    <col min="3" max="3" width="6.625" customWidth="1"/>
    <col min="4" max="4" width="15" bestFit="1" customWidth="1"/>
    <col min="7" max="7" width="15" bestFit="1" customWidth="1"/>
    <col min="8" max="8" width="13.25" bestFit="1" customWidth="1"/>
    <col min="9" max="9" width="13.75" bestFit="1" customWidth="1"/>
    <col min="10" max="10" width="12.75" bestFit="1" customWidth="1"/>
    <col min="11" max="11" width="17.875" bestFit="1" customWidth="1"/>
  </cols>
  <sheetData>
    <row r="1" spans="1:18" ht="26.25">
      <c r="A1" s="312" t="s">
        <v>28</v>
      </c>
      <c r="B1" s="312"/>
      <c r="C1" s="312"/>
      <c r="D1" s="312"/>
      <c r="E1" s="312"/>
      <c r="F1" s="50"/>
      <c r="G1" s="50"/>
      <c r="H1" s="50"/>
      <c r="I1" s="50"/>
      <c r="J1" s="50"/>
      <c r="K1" s="3"/>
    </row>
    <row r="2" spans="1:18" ht="15">
      <c r="A2" s="15" t="s">
        <v>0</v>
      </c>
      <c r="B2" s="15" t="s">
        <v>6</v>
      </c>
      <c r="C2" s="15" t="s">
        <v>1</v>
      </c>
      <c r="D2" s="15" t="s">
        <v>7</v>
      </c>
      <c r="E2" s="15" t="s">
        <v>1</v>
      </c>
      <c r="F2" s="307" t="s">
        <v>21</v>
      </c>
      <c r="G2" s="307"/>
      <c r="H2" s="304" t="s">
        <v>29</v>
      </c>
      <c r="I2" s="305"/>
      <c r="J2" s="305"/>
      <c r="K2" s="305"/>
      <c r="L2" s="305"/>
      <c r="M2" s="305"/>
      <c r="N2" s="305"/>
      <c r="O2" s="305"/>
      <c r="P2" s="305"/>
      <c r="Q2" s="305"/>
    </row>
    <row r="3" spans="1:18" ht="15">
      <c r="A3" s="17">
        <v>400</v>
      </c>
      <c r="B3" s="27">
        <v>0</v>
      </c>
      <c r="C3" s="13">
        <v>0</v>
      </c>
      <c r="D3" s="22">
        <v>1165.0999999999999</v>
      </c>
      <c r="E3" s="22">
        <v>20.6</v>
      </c>
      <c r="F3" s="14" t="s">
        <v>23</v>
      </c>
      <c r="G3" s="14" t="s">
        <v>24</v>
      </c>
      <c r="H3" s="6" t="s">
        <v>13</v>
      </c>
      <c r="I3" s="44" t="s">
        <v>17</v>
      </c>
      <c r="J3" s="44" t="s">
        <v>18</v>
      </c>
      <c r="K3" s="44" t="s">
        <v>16</v>
      </c>
      <c r="L3" s="44" t="s">
        <v>26</v>
      </c>
      <c r="M3" s="44" t="s">
        <v>27</v>
      </c>
      <c r="N3" s="77" t="s">
        <v>31</v>
      </c>
      <c r="O3" s="44" t="s">
        <v>19</v>
      </c>
      <c r="P3" s="44" t="s">
        <v>20</v>
      </c>
      <c r="Q3" s="11" t="s">
        <v>25</v>
      </c>
    </row>
    <row r="4" spans="1:18" ht="15">
      <c r="A4" s="18">
        <v>500</v>
      </c>
      <c r="B4" s="29">
        <v>0</v>
      </c>
      <c r="C4" s="68">
        <v>0</v>
      </c>
      <c r="D4" s="23">
        <v>1081.7</v>
      </c>
      <c r="E4" s="23">
        <v>18.399999999999999</v>
      </c>
      <c r="F4" s="7" t="str">
        <f>IF('1 IM'!G17&gt;2300,"Yes",IF('1 IM'!G17&lt;1000, "Yes","No"))</f>
        <v>Yes</v>
      </c>
      <c r="G4" s="45" t="str">
        <f>IF('1 IM'!G17&gt;2300,"Yes",IF('1 IM'!G17&gt;=1800,"No",IF('1 IM'!G17&gt;1100,"Yes",IF('1 IM'!G17&lt;400,"Yes","No"))))</f>
        <v>Yes</v>
      </c>
      <c r="H4" s="7" t="str">
        <f>IF(I4-'1 IM'!G17=0,"NO","YES")</f>
        <v>NO</v>
      </c>
      <c r="I4" s="45">
        <f>_xlfn.FLOOR.MATH('1 IM'!G17,100)</f>
        <v>0</v>
      </c>
      <c r="J4" s="46">
        <f t="shared" ref="J4:J13" si="0">I4+100</f>
        <v>100</v>
      </c>
      <c r="K4" s="45">
        <f>('1 IM'!G17-I4)/(J4-I4)</f>
        <v>0</v>
      </c>
      <c r="L4" s="45" t="e">
        <f>VLOOKUP(I4,'1 IM'!A:E,IF('1 IM'!I17="l/a",3,5),FALSE)</f>
        <v>#N/A</v>
      </c>
      <c r="M4" s="45" t="e">
        <f>VLOOKUP(J4,'1 IM'!A:E,IF('1 IM'!I17="L/a",3,5),FALSE)</f>
        <v>#N/A</v>
      </c>
      <c r="N4" s="78" t="e">
        <f t="shared" ref="N4:N13" si="1">L4+((M4-L4)*K4)</f>
        <v>#N/A</v>
      </c>
      <c r="O4" s="45" t="e">
        <f>VLOOKUP(I4,A:E,(IF('1 IM'!I17="L/A", 2,4)),FALSE)</f>
        <v>#N/A</v>
      </c>
      <c r="P4" s="45" t="e">
        <f>VLOOKUP(J4,'1 IM'!A:E,IF('1 IM'!I17="L/A",2,4),FALSE)</f>
        <v>#N/A</v>
      </c>
      <c r="Q4" s="12" t="e">
        <f t="shared" ref="Q4:Q13" si="2">((P4-O4)*K4)+O4</f>
        <v>#N/A</v>
      </c>
      <c r="R4">
        <v>1</v>
      </c>
    </row>
    <row r="5" spans="1:18" ht="15">
      <c r="A5" s="17">
        <v>600</v>
      </c>
      <c r="B5" s="28">
        <v>0</v>
      </c>
      <c r="C5" s="13">
        <v>0</v>
      </c>
      <c r="D5" s="22">
        <v>1010.1</v>
      </c>
      <c r="E5" s="22">
        <v>16.899999999999999</v>
      </c>
      <c r="F5" s="7" t="str">
        <f>IF('1 IM'!G18&gt;2300,"Yes",IF('1 IM'!G18&lt;1000, "Yes","No"))</f>
        <v>Yes</v>
      </c>
      <c r="G5" s="45" t="str">
        <f>IF('1 IM'!G18&gt;2300,"Yes",IF('1 IM'!G18&gt;=1800,"No",IF('1 IM'!G18&gt;1100,"Yes",IF('1 IM'!G18&lt;400,"Yes","No"))))</f>
        <v>Yes</v>
      </c>
      <c r="H5" s="7" t="str">
        <f>IF(I5-'1 IM'!G18=0,"NO","YES")</f>
        <v>NO</v>
      </c>
      <c r="I5" s="45">
        <f>_xlfn.FLOOR.MATH('1 IM'!G18,100)</f>
        <v>0</v>
      </c>
      <c r="J5" s="46">
        <f t="shared" si="0"/>
        <v>100</v>
      </c>
      <c r="K5" s="45">
        <f>('1 IM'!G18-I5)/(J5-I5)</f>
        <v>0</v>
      </c>
      <c r="L5" s="45" t="e">
        <f>VLOOKUP(I5,'1 IM'!A:E,IF('1 IM'!I18="l/a",3,5),FALSE)</f>
        <v>#N/A</v>
      </c>
      <c r="M5" s="45" t="e">
        <f>VLOOKUP(J5,'1 IM'!A:E,IF('1 IM'!I18="L/a",3,5),FALSE)</f>
        <v>#N/A</v>
      </c>
      <c r="N5" s="78" t="e">
        <f t="shared" si="1"/>
        <v>#N/A</v>
      </c>
      <c r="O5" s="45" t="e">
        <f>VLOOKUP(I5,A:E,(IF('1 IM'!I18="L/A", 2,4)),FALSE)</f>
        <v>#N/A</v>
      </c>
      <c r="P5" s="45" t="e">
        <f>VLOOKUP(J5,'1 IM'!A:E,IF('1 IM'!I18="L/A",2,4),FALSE)</f>
        <v>#N/A</v>
      </c>
      <c r="Q5" s="12" t="e">
        <f t="shared" si="2"/>
        <v>#N/A</v>
      </c>
      <c r="R5">
        <v>2</v>
      </c>
    </row>
    <row r="6" spans="1:18" ht="15">
      <c r="A6" s="17">
        <v>700</v>
      </c>
      <c r="B6" s="28">
        <v>0</v>
      </c>
      <c r="C6" s="13">
        <v>0</v>
      </c>
      <c r="D6" s="22">
        <v>949.6</v>
      </c>
      <c r="E6" s="22">
        <v>15.7</v>
      </c>
      <c r="F6" s="7" t="str">
        <f>IF('1 IM'!G19&gt;2300,"Yes",IF('1 IM'!G19&lt;1000, "Yes","No"))</f>
        <v>Yes</v>
      </c>
      <c r="G6" s="45" t="str">
        <f>IF('1 IM'!G19&gt;2300,"Yes",IF('1 IM'!G19&gt;=1800,"No",IF('1 IM'!G19&gt;1100,"Yes",IF('1 IM'!G19&lt;400,"Yes","No"))))</f>
        <v>Yes</v>
      </c>
      <c r="H6" s="7" t="str">
        <f>IF(I6-'1 IM'!G19=0,"NO","YES")</f>
        <v>NO</v>
      </c>
      <c r="I6" s="45">
        <f>_xlfn.FLOOR.MATH('1 IM'!G19,100)</f>
        <v>0</v>
      </c>
      <c r="J6" s="46">
        <f t="shared" si="0"/>
        <v>100</v>
      </c>
      <c r="K6" s="45">
        <f>('1 IM'!G19-I6)/(J6-I6)</f>
        <v>0</v>
      </c>
      <c r="L6" s="45" t="e">
        <f>VLOOKUP(I6,'1 IM'!A:E,IF('1 IM'!I19="l/a",3,5),FALSE)</f>
        <v>#N/A</v>
      </c>
      <c r="M6" s="45" t="e">
        <f>VLOOKUP(J6,'1 IM'!A:E,IF('1 IM'!I19="L/a",3,5),FALSE)</f>
        <v>#N/A</v>
      </c>
      <c r="N6" s="78" t="e">
        <f t="shared" si="1"/>
        <v>#N/A</v>
      </c>
      <c r="O6" s="45" t="e">
        <f>VLOOKUP(I6,A:E,(IF('1 IM'!I19="L/A", 2,4)),FALSE)</f>
        <v>#N/A</v>
      </c>
      <c r="P6" s="45" t="e">
        <f>VLOOKUP(J6,'1 IM'!A:E,IF('1 IM'!I19="L/A",2,4),FALSE)</f>
        <v>#N/A</v>
      </c>
      <c r="Q6" s="12" t="e">
        <f t="shared" si="2"/>
        <v>#N/A</v>
      </c>
      <c r="R6">
        <v>3</v>
      </c>
    </row>
    <row r="7" spans="1:18" ht="15">
      <c r="A7" s="17">
        <v>800</v>
      </c>
      <c r="B7" s="28">
        <v>0</v>
      </c>
      <c r="C7" s="13">
        <v>0</v>
      </c>
      <c r="D7" s="22">
        <v>899.1</v>
      </c>
      <c r="E7" s="22">
        <v>14.6</v>
      </c>
      <c r="F7" s="7" t="str">
        <f>IF('1 IM'!G20&gt;2300,"Yes",IF('1 IM'!G20&lt;1000, "Yes","No"))</f>
        <v>Yes</v>
      </c>
      <c r="G7" s="45" t="str">
        <f>IF('1 IM'!G20&gt;2300,"Yes",IF('1 IM'!G20&gt;=1800,"No",IF('1 IM'!G20&gt;1100,"Yes",IF('1 IM'!G20&lt;400,"Yes","No"))))</f>
        <v>Yes</v>
      </c>
      <c r="H7" s="7" t="str">
        <f>IF(I7-'1 IM'!G20=0,"NO","YES")</f>
        <v>NO</v>
      </c>
      <c r="I7" s="45">
        <f>_xlfn.FLOOR.MATH('1 IM'!G20,100)</f>
        <v>0</v>
      </c>
      <c r="J7" s="46">
        <f t="shared" si="0"/>
        <v>100</v>
      </c>
      <c r="K7" s="45">
        <f>('1 IM'!G20-I7)/(J7-I7)</f>
        <v>0</v>
      </c>
      <c r="L7" s="45" t="e">
        <f>VLOOKUP(I7,'1 IM'!A:E,IF('1 IM'!I20="l/a",3,5),FALSE)</f>
        <v>#N/A</v>
      </c>
      <c r="M7" s="45" t="e">
        <f>VLOOKUP(J7,'1 IM'!A:E,IF('1 IM'!I20="L/a",3,5),FALSE)</f>
        <v>#N/A</v>
      </c>
      <c r="N7" s="78" t="e">
        <f t="shared" si="1"/>
        <v>#N/A</v>
      </c>
      <c r="O7" s="45" t="e">
        <f>VLOOKUP(I7,A:E,(IF('1 IM'!I20="L/A", 2,4)),FALSE)</f>
        <v>#N/A</v>
      </c>
      <c r="P7" s="45" t="e">
        <f>VLOOKUP(J7,'1 IM'!A:E,IF('1 IM'!I20="L/A",2,4),FALSE)</f>
        <v>#N/A</v>
      </c>
      <c r="Q7" s="12" t="e">
        <f t="shared" si="2"/>
        <v>#N/A</v>
      </c>
      <c r="R7">
        <v>4</v>
      </c>
    </row>
    <row r="8" spans="1:18" ht="15">
      <c r="A8" s="17">
        <v>900</v>
      </c>
      <c r="B8" s="28">
        <v>0</v>
      </c>
      <c r="C8" s="13">
        <v>0</v>
      </c>
      <c r="D8" s="22">
        <v>857.4</v>
      </c>
      <c r="E8" s="22">
        <v>13.7</v>
      </c>
      <c r="F8" s="7" t="str">
        <f>IF('1 IM'!G21&gt;2300,"Yes",IF('1 IM'!G21&lt;1000, "Yes","No"))</f>
        <v>Yes</v>
      </c>
      <c r="G8" s="45" t="str">
        <f>IF('1 IM'!G21&gt;2300,"Yes",IF('1 IM'!G21&gt;=1800,"No",IF('1 IM'!G21&gt;1100,"Yes",IF('1 IM'!G21&lt;400,"Yes","No"))))</f>
        <v>Yes</v>
      </c>
      <c r="H8" s="7" t="str">
        <f>IF(I8-'1 IM'!G21=0,"NO","YES")</f>
        <v>NO</v>
      </c>
      <c r="I8" s="45">
        <f>_xlfn.FLOOR.MATH('1 IM'!G21,100)</f>
        <v>0</v>
      </c>
      <c r="J8" s="46">
        <f t="shared" si="0"/>
        <v>100</v>
      </c>
      <c r="K8" s="45">
        <f>('1 IM'!G21-I8)/(J8-I8)</f>
        <v>0</v>
      </c>
      <c r="L8" s="45" t="e">
        <f>VLOOKUP(I8,'1 IM'!A:E,IF('1 IM'!I21="l/a",3,5),FALSE)</f>
        <v>#N/A</v>
      </c>
      <c r="M8" s="45" t="e">
        <f>VLOOKUP(J8,'1 IM'!A:E,IF('1 IM'!I21="L/a",3,5),FALSE)</f>
        <v>#N/A</v>
      </c>
      <c r="N8" s="78" t="e">
        <f t="shared" si="1"/>
        <v>#N/A</v>
      </c>
      <c r="O8" s="45" t="e">
        <f>VLOOKUP(I8,A:E,(IF('1 IM'!I21="L/A", 2,4)),FALSE)</f>
        <v>#N/A</v>
      </c>
      <c r="P8" s="45" t="e">
        <f>VLOOKUP(J8,'1 IM'!A:E,IF('1 IM'!I21="L/A",2,4),FALSE)</f>
        <v>#N/A</v>
      </c>
      <c r="Q8" s="12" t="e">
        <f t="shared" si="2"/>
        <v>#N/A</v>
      </c>
      <c r="R8">
        <v>5</v>
      </c>
    </row>
    <row r="9" spans="1:18" ht="15">
      <c r="A9" s="18">
        <v>1000</v>
      </c>
      <c r="B9" s="29">
        <v>823.6</v>
      </c>
      <c r="C9" s="68">
        <v>12.8</v>
      </c>
      <c r="D9" s="23">
        <v>823.6</v>
      </c>
      <c r="E9" s="23">
        <v>12.8</v>
      </c>
      <c r="F9" s="7" t="str">
        <f>IF('1 IM'!G22&gt;2300,"Yes",IF('1 IM'!G22&lt;1000, "Yes","No"))</f>
        <v>Yes</v>
      </c>
      <c r="G9" s="45" t="str">
        <f>IF('1 IM'!G22&gt;2300,"Yes",IF('1 IM'!G22&gt;=1800,"No",IF('1 IM'!G22&gt;1100,"Yes",IF('1 IM'!G22&lt;400,"Yes","No"))))</f>
        <v>Yes</v>
      </c>
      <c r="H9" s="7" t="str">
        <f>IF(I9-'1 IM'!G22=0,"NO","YES")</f>
        <v>NO</v>
      </c>
      <c r="I9" s="45">
        <f>_xlfn.FLOOR.MATH('1 IM'!G22,100)</f>
        <v>0</v>
      </c>
      <c r="J9" s="46">
        <f t="shared" si="0"/>
        <v>100</v>
      </c>
      <c r="K9" s="45">
        <f>('1 IM'!G22-I9)/(J9-I9)</f>
        <v>0</v>
      </c>
      <c r="L9" s="45" t="e">
        <f>VLOOKUP(I9,'1 IM'!A:E,IF('1 IM'!I22="l/a",3,5),FALSE)</f>
        <v>#N/A</v>
      </c>
      <c r="M9" s="45" t="e">
        <f>VLOOKUP(J9,'1 IM'!A:E,IF('1 IM'!I22="L/a",3,5),FALSE)</f>
        <v>#N/A</v>
      </c>
      <c r="N9" s="78" t="e">
        <f t="shared" si="1"/>
        <v>#N/A</v>
      </c>
      <c r="O9" s="45" t="e">
        <f>VLOOKUP(I9,A:E,(IF('1 IM'!I22="L/A", 2,4)),FALSE)</f>
        <v>#N/A</v>
      </c>
      <c r="P9" s="45" t="e">
        <f>VLOOKUP(J9,'1 IM'!A:E,IF('1 IM'!I22="L/A",2,4),FALSE)</f>
        <v>#N/A</v>
      </c>
      <c r="Q9" s="12" t="e">
        <f t="shared" si="2"/>
        <v>#N/A</v>
      </c>
      <c r="R9">
        <v>6</v>
      </c>
    </row>
    <row r="10" spans="1:18" ht="15">
      <c r="A10" s="17">
        <v>1100</v>
      </c>
      <c r="B10" s="22">
        <v>796.5</v>
      </c>
      <c r="C10" s="53">
        <v>11.9</v>
      </c>
      <c r="D10" s="53">
        <v>196.5</v>
      </c>
      <c r="E10" s="53">
        <v>11.9</v>
      </c>
      <c r="F10" s="7" t="str">
        <f>IF('1 IM'!G23&gt;2300,"Yes",IF('1 IM'!G23&lt;1000, "Yes","No"))</f>
        <v>Yes</v>
      </c>
      <c r="G10" s="45" t="str">
        <f>IF('1 IM'!G23&gt;2300,"Yes",IF('1 IM'!G23&gt;=1800,"No",IF('1 IM'!G23&gt;1100,"Yes",IF('1 IM'!G23&lt;400,"Yes","No"))))</f>
        <v>Yes</v>
      </c>
      <c r="H10" s="7" t="str">
        <f>IF(I10-'1 IM'!G23=0,"NO","YES")</f>
        <v>NO</v>
      </c>
      <c r="I10" s="45">
        <f>_xlfn.FLOOR.MATH('1 IM'!G23,100)</f>
        <v>0</v>
      </c>
      <c r="J10" s="46">
        <f t="shared" si="0"/>
        <v>100</v>
      </c>
      <c r="K10" s="45">
        <f>('1 IM'!G23-I10)/(J10-I10)</f>
        <v>0</v>
      </c>
      <c r="L10" s="45" t="e">
        <f>VLOOKUP(I10,'1 IM'!A:E,IF('1 IM'!I23="l/a",3,5),FALSE)</f>
        <v>#N/A</v>
      </c>
      <c r="M10" s="45" t="e">
        <f>VLOOKUP(J10,'1 IM'!A:E,IF('1 IM'!I23="L/a",3,5),FALSE)</f>
        <v>#N/A</v>
      </c>
      <c r="N10" s="78" t="e">
        <f t="shared" si="1"/>
        <v>#N/A</v>
      </c>
      <c r="O10" s="45" t="e">
        <f>VLOOKUP(I10,A:E,(IF('1 IM'!I23="L/A", 2,4)),FALSE)</f>
        <v>#N/A</v>
      </c>
      <c r="P10" s="45" t="e">
        <f>VLOOKUP(J10,'1 IM'!A:E,IF('1 IM'!I23="L/A",2,4),FALSE)</f>
        <v>#N/A</v>
      </c>
      <c r="Q10" s="12" t="e">
        <f t="shared" si="2"/>
        <v>#N/A</v>
      </c>
      <c r="R10">
        <v>7</v>
      </c>
    </row>
    <row r="11" spans="1:18" ht="15">
      <c r="A11" s="17">
        <v>1200</v>
      </c>
      <c r="B11" s="22">
        <v>775.5</v>
      </c>
      <c r="C11" s="53">
        <v>11.2</v>
      </c>
      <c r="D11" s="53">
        <v>0</v>
      </c>
      <c r="E11" s="53">
        <v>0</v>
      </c>
      <c r="F11" s="7" t="str">
        <f>IF('1 IM'!G24&gt;2300,"Yes",IF('1 IM'!G24&lt;1000, "Yes","No"))</f>
        <v>Yes</v>
      </c>
      <c r="G11" s="45" t="str">
        <f>IF('1 IM'!G24&gt;2300,"Yes",IF('1 IM'!G24&gt;=1800,"No",IF('1 IM'!G24&gt;1100,"Yes",IF('1 IM'!G24&lt;400,"Yes","No"))))</f>
        <v>Yes</v>
      </c>
      <c r="H11" s="7" t="str">
        <f>IF(I11-'1 IM'!G24=0,"NO","YES")</f>
        <v>NO</v>
      </c>
      <c r="I11" s="45">
        <f>_xlfn.FLOOR.MATH('1 IM'!G24,100)</f>
        <v>0</v>
      </c>
      <c r="J11" s="46">
        <f t="shared" si="0"/>
        <v>100</v>
      </c>
      <c r="K11" s="45">
        <f>('1 IM'!G24-I11)/(J11-I11)</f>
        <v>0</v>
      </c>
      <c r="L11" s="45" t="e">
        <f>VLOOKUP(I11,'1 IM'!A:E,IF('1 IM'!I24="l/a",3,5),FALSE)</f>
        <v>#N/A</v>
      </c>
      <c r="M11" s="45" t="e">
        <f>VLOOKUP(J11,'1 IM'!A:E,IF('1 IM'!I24="L/a",3,5),FALSE)</f>
        <v>#N/A</v>
      </c>
      <c r="N11" s="78" t="e">
        <f t="shared" si="1"/>
        <v>#N/A</v>
      </c>
      <c r="O11" s="45" t="e">
        <f>VLOOKUP(I11,A:E,(IF('1 IM'!I24="L/A", 2,4)),FALSE)</f>
        <v>#N/A</v>
      </c>
      <c r="P11" s="45" t="e">
        <f>VLOOKUP(J11,'1 IM'!A:E,IF('1 IM'!I24="L/A",2,4),FALSE)</f>
        <v>#N/A</v>
      </c>
      <c r="Q11" s="12" t="e">
        <f t="shared" si="2"/>
        <v>#N/A</v>
      </c>
      <c r="R11">
        <v>8</v>
      </c>
    </row>
    <row r="12" spans="1:18" ht="15">
      <c r="A12" s="17">
        <v>1300</v>
      </c>
      <c r="B12" s="22">
        <v>759.7</v>
      </c>
      <c r="C12" s="53">
        <v>10.4</v>
      </c>
      <c r="D12" s="53">
        <v>0</v>
      </c>
      <c r="E12" s="53">
        <v>0</v>
      </c>
      <c r="F12" s="7" t="str">
        <f>IF('1 IM'!G25&gt;2300,"Yes",IF('1 IM'!G25&lt;1000, "Yes","No"))</f>
        <v>Yes</v>
      </c>
      <c r="G12" s="45" t="str">
        <f>IF('1 IM'!G25&gt;2300,"Yes",IF('1 IM'!G25&gt;=1800,"No",IF('1 IM'!G25&gt;1100,"Yes",IF('1 IM'!G25&lt;400,"Yes","No"))))</f>
        <v>Yes</v>
      </c>
      <c r="H12" s="7" t="str">
        <f>IF(I12-'1 IM'!G25=0,"NO","YES")</f>
        <v>NO</v>
      </c>
      <c r="I12" s="45">
        <f>_xlfn.FLOOR.MATH('1 IM'!G25,100)</f>
        <v>0</v>
      </c>
      <c r="J12" s="46">
        <f t="shared" si="0"/>
        <v>100</v>
      </c>
      <c r="K12" s="45">
        <f>('1 IM'!G25-I12)/(J12-I12)</f>
        <v>0</v>
      </c>
      <c r="L12" s="45" t="e">
        <f>VLOOKUP(I12,'1 IM'!A:E,IF('1 IM'!I25="l/a",3,5),FALSE)</f>
        <v>#N/A</v>
      </c>
      <c r="M12" s="45" t="e">
        <f>VLOOKUP(J12,'1 IM'!A:E,IF('1 IM'!I25="L/a",3,5),FALSE)</f>
        <v>#N/A</v>
      </c>
      <c r="N12" s="78" t="e">
        <f t="shared" si="1"/>
        <v>#N/A</v>
      </c>
      <c r="O12" s="45" t="e">
        <f>VLOOKUP(I12,A:E,(IF('1 IM'!I25="L/A", 2,4)),FALSE)</f>
        <v>#N/A</v>
      </c>
      <c r="P12" s="45" t="e">
        <f>VLOOKUP(J12,'1 IM'!A:E,IF('1 IM'!I25="L/A",2,4),FALSE)</f>
        <v>#N/A</v>
      </c>
      <c r="Q12" s="12" t="e">
        <f t="shared" si="2"/>
        <v>#N/A</v>
      </c>
      <c r="R12">
        <v>9</v>
      </c>
    </row>
    <row r="13" spans="1:18" ht="15">
      <c r="A13" s="17">
        <v>1400</v>
      </c>
      <c r="B13" s="22">
        <v>748.7</v>
      </c>
      <c r="C13" s="53">
        <v>9.8000000000000007</v>
      </c>
      <c r="D13" s="53">
        <v>0</v>
      </c>
      <c r="E13" s="53">
        <v>0</v>
      </c>
      <c r="F13" s="7" t="str">
        <f>IF('1 IM'!G26&gt;2300,"Yes",IF('1 IM'!G26&lt;1000, "Yes","No"))</f>
        <v>Yes</v>
      </c>
      <c r="G13" s="45" t="str">
        <f>IF('1 IM'!G26&gt;2300,"Yes",IF('1 IM'!G26&gt;=1800,"No",IF('1 IM'!G26&gt;1100,"Yes",IF('1 IM'!G26&lt;400,"Yes","No"))))</f>
        <v>Yes</v>
      </c>
      <c r="H13" s="8" t="str">
        <f>IF(I13-'1 IM'!G26=0,"NO","YES")</f>
        <v>NO</v>
      </c>
      <c r="I13" s="9">
        <f>_xlfn.FLOOR.MATH('1 IM'!G26,100)</f>
        <v>0</v>
      </c>
      <c r="J13" s="10">
        <f t="shared" si="0"/>
        <v>100</v>
      </c>
      <c r="K13" s="9">
        <f>('1 IM'!G26-I13)/(J13-I13)</f>
        <v>0</v>
      </c>
      <c r="L13" s="9" t="e">
        <f>VLOOKUP(I13,'1 IM'!A:E,IF('1 IM'!I26="l/a",3,5),FALSE)</f>
        <v>#N/A</v>
      </c>
      <c r="M13" s="9" t="e">
        <f>VLOOKUP(J13,'1 IM'!A:E,IF('1 IM'!I26="L/a",3,5),FALSE)</f>
        <v>#N/A</v>
      </c>
      <c r="N13" s="78" t="e">
        <f t="shared" si="1"/>
        <v>#N/A</v>
      </c>
      <c r="O13" s="45" t="e">
        <f>VLOOKUP(I13,A:E,(IF('1 IM'!I26="L/A", 2,4)),FALSE)</f>
        <v>#N/A</v>
      </c>
      <c r="P13" s="45" t="e">
        <f>VLOOKUP(J13,'1 IM'!A:E,IF('1 IM'!I26="L/A",2,4),FALSE)</f>
        <v>#N/A</v>
      </c>
      <c r="Q13" s="47" t="e">
        <f t="shared" si="2"/>
        <v>#N/A</v>
      </c>
      <c r="R13">
        <v>10</v>
      </c>
    </row>
    <row r="14" spans="1:18" ht="15">
      <c r="A14" s="18">
        <v>1500</v>
      </c>
      <c r="B14" s="23">
        <v>742.1</v>
      </c>
      <c r="C14" s="29">
        <v>9.1</v>
      </c>
      <c r="D14" s="29">
        <v>0</v>
      </c>
      <c r="E14" s="29">
        <v>0</v>
      </c>
    </row>
    <row r="15" spans="1:18" ht="15">
      <c r="A15" s="17">
        <v>1600</v>
      </c>
      <c r="B15" s="22">
        <v>739.5</v>
      </c>
      <c r="C15" s="53">
        <v>8.5</v>
      </c>
      <c r="D15" s="53">
        <v>0</v>
      </c>
      <c r="E15" s="53">
        <v>0</v>
      </c>
      <c r="F15" s="317" t="s">
        <v>15</v>
      </c>
      <c r="G15" s="317"/>
      <c r="H15" s="317"/>
      <c r="I15" s="317"/>
    </row>
    <row r="16" spans="1:18" ht="15">
      <c r="A16" s="17">
        <v>1700</v>
      </c>
      <c r="B16" s="22">
        <v>740.9</v>
      </c>
      <c r="C16" s="53">
        <v>7.9</v>
      </c>
      <c r="D16" s="53">
        <v>0</v>
      </c>
      <c r="E16" s="53">
        <v>0</v>
      </c>
      <c r="F16" s="57" t="s">
        <v>12</v>
      </c>
      <c r="G16" s="58" t="s">
        <v>0</v>
      </c>
      <c r="H16" s="58" t="s">
        <v>4</v>
      </c>
      <c r="I16" s="59" t="s">
        <v>22</v>
      </c>
    </row>
    <row r="17" spans="1:9" ht="15">
      <c r="A17" s="17">
        <v>1800</v>
      </c>
      <c r="B17" s="22">
        <v>746.3</v>
      </c>
      <c r="C17" s="28">
        <v>7.3</v>
      </c>
      <c r="D17" s="28">
        <v>1188.9000000000001</v>
      </c>
      <c r="E17" s="53">
        <v>28.6</v>
      </c>
      <c r="F17" s="60">
        <v>1</v>
      </c>
      <c r="G17" s="60">
        <f>'1 HE'!K19</f>
        <v>0</v>
      </c>
      <c r="H17" s="61">
        <f>INPUT!C5</f>
        <v>0</v>
      </c>
      <c r="I17" s="5" t="str">
        <f>INPUT!D5</f>
        <v>L/A</v>
      </c>
    </row>
    <row r="18" spans="1:9" ht="15">
      <c r="A18" s="17">
        <v>1900</v>
      </c>
      <c r="B18" s="22">
        <v>755.8</v>
      </c>
      <c r="C18" s="28">
        <v>6.8</v>
      </c>
      <c r="D18" s="28">
        <v>1163.3</v>
      </c>
      <c r="E18" s="53">
        <v>28.1</v>
      </c>
      <c r="F18" s="60">
        <v>2</v>
      </c>
      <c r="G18" s="60">
        <f>'1 HE'!K20</f>
        <v>0</v>
      </c>
      <c r="H18" s="61">
        <f>INPUT!C6</f>
        <v>0</v>
      </c>
      <c r="I18" s="60" t="str">
        <f t="shared" ref="I18:I26" si="3">I17</f>
        <v>L/A</v>
      </c>
    </row>
    <row r="19" spans="1:9" ht="15">
      <c r="A19" s="18">
        <v>2000</v>
      </c>
      <c r="B19" s="23">
        <v>770.3</v>
      </c>
      <c r="C19" s="29">
        <v>6.3</v>
      </c>
      <c r="D19" s="29">
        <v>1133.5999999999999</v>
      </c>
      <c r="E19" s="29">
        <v>27.5</v>
      </c>
      <c r="F19" s="60">
        <v>3</v>
      </c>
      <c r="G19" s="60">
        <f>'1 HE'!K21</f>
        <v>0</v>
      </c>
      <c r="H19" s="61">
        <f>INPUT!C7</f>
        <v>0</v>
      </c>
      <c r="I19" s="60" t="str">
        <f t="shared" si="3"/>
        <v>L/A</v>
      </c>
    </row>
    <row r="20" spans="1:9" ht="15">
      <c r="A20" s="19">
        <v>2100</v>
      </c>
      <c r="B20" s="25">
        <v>791.1</v>
      </c>
      <c r="C20" s="53">
        <v>5.9</v>
      </c>
      <c r="D20" s="53">
        <v>1098.5999999999999</v>
      </c>
      <c r="E20" s="55">
        <v>26.8</v>
      </c>
      <c r="F20" s="60">
        <v>4</v>
      </c>
      <c r="G20" s="60">
        <f>'1 HE'!K22</f>
        <v>0</v>
      </c>
      <c r="H20" s="61">
        <f>INPUT!C8</f>
        <v>0</v>
      </c>
      <c r="I20" s="60" t="str">
        <f t="shared" si="3"/>
        <v>L/A</v>
      </c>
    </row>
    <row r="21" spans="1:9" ht="15">
      <c r="A21" s="19">
        <v>2200</v>
      </c>
      <c r="B21" s="25">
        <v>821.8</v>
      </c>
      <c r="C21" s="53">
        <v>5.5</v>
      </c>
      <c r="D21" s="53">
        <v>1054.4000000000001</v>
      </c>
      <c r="E21" s="55">
        <v>25.7</v>
      </c>
      <c r="F21" s="60">
        <v>5</v>
      </c>
      <c r="G21" s="60">
        <f>'1 HE'!K23</f>
        <v>0</v>
      </c>
      <c r="H21" s="61">
        <f>INPUT!C9</f>
        <v>0</v>
      </c>
      <c r="I21" s="60" t="str">
        <f t="shared" si="3"/>
        <v>L/A</v>
      </c>
    </row>
    <row r="22" spans="1:9" ht="15">
      <c r="A22" s="51">
        <v>2300</v>
      </c>
      <c r="B22" s="52">
        <v>879.3</v>
      </c>
      <c r="C22" s="54">
        <v>5.0999999999999996</v>
      </c>
      <c r="D22" s="54">
        <v>984.3</v>
      </c>
      <c r="E22" s="56">
        <v>23.9</v>
      </c>
      <c r="F22" s="60">
        <v>6</v>
      </c>
      <c r="G22" s="60">
        <f>'1 HE'!K24</f>
        <v>0</v>
      </c>
      <c r="H22" s="61">
        <f>INPUT!C10</f>
        <v>0</v>
      </c>
      <c r="I22" s="60" t="str">
        <f t="shared" si="3"/>
        <v>L/A</v>
      </c>
    </row>
    <row r="23" spans="1:9" ht="15">
      <c r="A23" s="19">
        <v>2400</v>
      </c>
      <c r="B23" s="25">
        <v>0</v>
      </c>
      <c r="C23" s="53">
        <v>0</v>
      </c>
      <c r="D23" s="53">
        <v>0</v>
      </c>
      <c r="E23" s="55">
        <v>0</v>
      </c>
      <c r="F23" s="60">
        <v>7</v>
      </c>
      <c r="G23" s="60">
        <f>'1 HE'!K25</f>
        <v>0</v>
      </c>
      <c r="H23" s="61">
        <f>INPUT!C11</f>
        <v>0</v>
      </c>
      <c r="I23" s="60" t="str">
        <f t="shared" si="3"/>
        <v>L/A</v>
      </c>
    </row>
    <row r="24" spans="1:9">
      <c r="F24" s="60">
        <v>8</v>
      </c>
      <c r="G24" s="60">
        <f>'1 HE'!K26</f>
        <v>0</v>
      </c>
      <c r="H24" s="61">
        <f>INPUT!C12</f>
        <v>0</v>
      </c>
      <c r="I24" s="60" t="str">
        <f t="shared" si="3"/>
        <v>L/A</v>
      </c>
    </row>
    <row r="25" spans="1:9">
      <c r="F25" s="60">
        <v>9</v>
      </c>
      <c r="G25" s="60">
        <f>'1 HE'!K27</f>
        <v>0</v>
      </c>
      <c r="H25" s="61">
        <f>INPUT!C13</f>
        <v>0</v>
      </c>
      <c r="I25" s="60" t="str">
        <f t="shared" si="3"/>
        <v>L/A</v>
      </c>
    </row>
    <row r="26" spans="1:9">
      <c r="F26" s="60">
        <v>10</v>
      </c>
      <c r="G26" s="60">
        <f>'1 HE'!K28</f>
        <v>0</v>
      </c>
      <c r="H26" s="61">
        <f>INPUT!C14</f>
        <v>0</v>
      </c>
      <c r="I26" s="60" t="str">
        <f t="shared" si="3"/>
        <v>L/A</v>
      </c>
    </row>
  </sheetData>
  <sheetProtection selectLockedCells="1" selectUnlockedCells="1"/>
  <sortState ref="C3:C21">
    <sortCondition descending="1" ref="C3"/>
  </sortState>
  <mergeCells count="4">
    <mergeCell ref="A1:E1"/>
    <mergeCell ref="F2:G2"/>
    <mergeCell ref="F15:I15"/>
    <mergeCell ref="H2:Q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I17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E1"/>
    </sheetView>
  </sheetViews>
  <sheetFormatPr defaultRowHeight="14.25"/>
  <cols>
    <col min="2" max="2" width="14.75" bestFit="1" customWidth="1"/>
    <col min="4" max="4" width="15" bestFit="1" customWidth="1"/>
    <col min="8" max="10" width="12.25" bestFit="1" customWidth="1"/>
    <col min="11" max="11" width="12.75" bestFit="1" customWidth="1"/>
    <col min="12" max="12" width="14" bestFit="1" customWidth="1"/>
    <col min="13" max="13" width="9.5" bestFit="1" customWidth="1"/>
    <col min="14" max="14" width="10" bestFit="1" customWidth="1"/>
  </cols>
  <sheetData>
    <row r="1" spans="1:16" ht="26.25">
      <c r="A1" s="312" t="s">
        <v>32</v>
      </c>
      <c r="B1" s="312"/>
      <c r="C1" s="312"/>
      <c r="D1" s="312"/>
      <c r="E1" s="312"/>
    </row>
    <row r="2" spans="1:16" ht="15">
      <c r="A2" s="16" t="s">
        <v>0</v>
      </c>
      <c r="B2" s="16" t="s">
        <v>6</v>
      </c>
      <c r="C2" s="15" t="s">
        <v>1</v>
      </c>
      <c r="D2" s="15" t="s">
        <v>7</v>
      </c>
      <c r="E2" s="15" t="s">
        <v>1</v>
      </c>
      <c r="F2" s="307" t="s">
        <v>21</v>
      </c>
      <c r="G2" s="307"/>
      <c r="H2" s="314" t="s">
        <v>34</v>
      </c>
      <c r="I2" s="315"/>
      <c r="J2" s="315"/>
      <c r="K2" s="315"/>
      <c r="L2" s="315"/>
      <c r="M2" s="315"/>
      <c r="N2" s="315"/>
      <c r="O2" s="315"/>
      <c r="P2" s="315"/>
    </row>
    <row r="3" spans="1:16" ht="15">
      <c r="A3" s="84">
        <v>400</v>
      </c>
      <c r="B3" s="27">
        <v>0</v>
      </c>
      <c r="C3" s="27">
        <v>0</v>
      </c>
      <c r="D3" s="89">
        <v>1151.5999999999999</v>
      </c>
      <c r="E3" s="21">
        <v>4.5</v>
      </c>
      <c r="F3" s="76" t="s">
        <v>23</v>
      </c>
      <c r="G3" s="76" t="s">
        <v>24</v>
      </c>
      <c r="H3" s="44" t="s">
        <v>17</v>
      </c>
      <c r="I3" s="44" t="s">
        <v>18</v>
      </c>
      <c r="J3" s="44" t="s">
        <v>16</v>
      </c>
      <c r="K3" s="44" t="s">
        <v>26</v>
      </c>
      <c r="L3" s="44" t="s">
        <v>27</v>
      </c>
      <c r="M3" s="77" t="s">
        <v>31</v>
      </c>
      <c r="N3" s="44" t="s">
        <v>19</v>
      </c>
      <c r="O3" s="44" t="s">
        <v>20</v>
      </c>
      <c r="P3" s="11" t="s">
        <v>25</v>
      </c>
    </row>
    <row r="4" spans="1:16" ht="15">
      <c r="A4" s="85">
        <v>500</v>
      </c>
      <c r="B4" s="29">
        <v>0</v>
      </c>
      <c r="C4" s="29">
        <v>0</v>
      </c>
      <c r="D4" s="83">
        <v>1064.7</v>
      </c>
      <c r="E4" s="23">
        <v>4.8</v>
      </c>
      <c r="F4" s="7" t="str">
        <f>IF('2 IM'!G17&lt;900,"Yes",IF('2 IM'!G17&gt;2900,"Yes","No"))</f>
        <v>Yes</v>
      </c>
      <c r="G4" s="45" t="str">
        <f>IF('2 IM'!G17&gt;2900, "Yes", IF('2 IM'!G17&lt;400,"Yes",IF('2 IM'!G17&gt;1000,IF('2 IM'!G17&lt;2100,"Yes","No"))))</f>
        <v>Yes</v>
      </c>
      <c r="H4" s="45">
        <f>_xlfn.FLOOR.MATH('2 IM'!G17,100)</f>
        <v>0</v>
      </c>
      <c r="I4" s="46">
        <f t="shared" ref="I4:I13" si="0">H4+100</f>
        <v>100</v>
      </c>
      <c r="J4" s="45">
        <f>('2 IM'!G17-H4)/100</f>
        <v>0</v>
      </c>
      <c r="K4" s="45" t="e">
        <f>VLOOKUP(H4,'2 IM'!A:E,IF('2 IM'!I17="l/a",3,5),FALSE)</f>
        <v>#N/A</v>
      </c>
      <c r="L4" s="45" t="e">
        <f>VLOOKUP(I4,'2 IM'!A:EI,IF('2 IM'!I17="L/a",3,5),FALSE)</f>
        <v>#N/A</v>
      </c>
      <c r="M4" s="78" t="e">
        <f t="shared" ref="M4:M13" si="1">K4+((L4-K4)*J4)</f>
        <v>#N/A</v>
      </c>
      <c r="N4" s="45" t="e">
        <f>VLOOKUP(H4,'2 IM'!A:E,(IF('2 IM'!I17="L/A", 2,4)),FALSE)</f>
        <v>#N/A</v>
      </c>
      <c r="O4" s="45">
        <f>VLOOKUP(I4,'2 HE'!A:I,IF('2 IM'!I17="L/A",2,5),FALSE)</f>
        <v>9.8000000000000007</v>
      </c>
      <c r="P4" s="12" t="e">
        <f t="shared" ref="P4:P13" si="2">((O4-N4)*J4)+N4</f>
        <v>#N/A</v>
      </c>
    </row>
    <row r="5" spans="1:16" ht="15">
      <c r="A5" s="6">
        <v>600</v>
      </c>
      <c r="B5" s="28">
        <v>0</v>
      </c>
      <c r="C5" s="28">
        <v>0</v>
      </c>
      <c r="D5" s="82">
        <v>989.4</v>
      </c>
      <c r="E5" s="22">
        <v>5.0999999999999996</v>
      </c>
      <c r="F5" s="7" t="str">
        <f>IF('2 IM'!G18&lt;9000,"Yes",IF('2 IM'!G18&gt;2900,"Yes","No"))</f>
        <v>Yes</v>
      </c>
      <c r="G5" s="45" t="str">
        <f>IF('2 IM'!G18&gt;2900, "Yes", IF('2 IM'!G18&lt;400,"Yes",IF('2 IM'!G18&gt;1000,IF('2 IM'!G18&lt;2100,"Yes","No"))))</f>
        <v>Yes</v>
      </c>
      <c r="H5" s="45">
        <f>_xlfn.FLOOR.MATH('2 IM'!G18,100)</f>
        <v>0</v>
      </c>
      <c r="I5" s="46">
        <f t="shared" si="0"/>
        <v>100</v>
      </c>
      <c r="J5" s="45">
        <f>('2 IM'!G18-H5)/100</f>
        <v>0</v>
      </c>
      <c r="K5" s="45" t="e">
        <f>VLOOKUP(H5,'2 IM'!A:E,IF('2 IM'!I18="l/a",3,5),FALSE)</f>
        <v>#N/A</v>
      </c>
      <c r="L5" s="45" t="e">
        <f>VLOOKUP(I5,'2 IM'!A:EI,IF('2 IM'!I18="L/a",3,5),FALSE)</f>
        <v>#N/A</v>
      </c>
      <c r="M5" s="78" t="e">
        <f t="shared" si="1"/>
        <v>#N/A</v>
      </c>
      <c r="N5" s="45" t="e">
        <f>VLOOKUP(H5,'2 IM'!A:E,(IF('2 IM'!I18="L/A", 2,4)),FALSE)</f>
        <v>#N/A</v>
      </c>
      <c r="O5" s="45">
        <f>VLOOKUP(I5,'2 HE'!A:I,IF('2 IM'!I18="L/A",2,5),FALSE)</f>
        <v>9.8000000000000007</v>
      </c>
      <c r="P5" s="12" t="e">
        <f t="shared" si="2"/>
        <v>#N/A</v>
      </c>
    </row>
    <row r="6" spans="1:16" ht="15">
      <c r="A6" s="6">
        <v>700</v>
      </c>
      <c r="B6" s="28">
        <v>0</v>
      </c>
      <c r="C6" s="28">
        <v>0</v>
      </c>
      <c r="D6" s="82">
        <v>925.1</v>
      </c>
      <c r="E6" s="22">
        <v>5.5</v>
      </c>
      <c r="F6" s="7" t="str">
        <f>IF('2 IM'!G19&lt;9000,"Yes",IF('2 IM'!G19&gt;2900,"Yes","No"))</f>
        <v>Yes</v>
      </c>
      <c r="G6" s="45" t="str">
        <f>IF('2 IM'!G19&gt;2900, "Yes", IF('2 IM'!G19&lt;400,"Yes",IF('2 IM'!G19&gt;1000,IF('2 IM'!G19&lt;2100,"Yes","No"))))</f>
        <v>Yes</v>
      </c>
      <c r="H6" s="45">
        <f>_xlfn.FLOOR.MATH('2 IM'!G19,100)</f>
        <v>0</v>
      </c>
      <c r="I6" s="46">
        <f t="shared" si="0"/>
        <v>100</v>
      </c>
      <c r="J6" s="45">
        <f>('2 IM'!G19-H6)/100</f>
        <v>0</v>
      </c>
      <c r="K6" s="45" t="e">
        <f>VLOOKUP(H6,'2 IM'!A:E,IF('2 IM'!I19="l/a",3,5),FALSE)</f>
        <v>#N/A</v>
      </c>
      <c r="L6" s="45" t="e">
        <f>VLOOKUP(I6,'2 IM'!A:EI,IF('2 IM'!I19="L/a",3,5),FALSE)</f>
        <v>#N/A</v>
      </c>
      <c r="M6" s="78" t="e">
        <f t="shared" si="1"/>
        <v>#N/A</v>
      </c>
      <c r="N6" s="45" t="e">
        <f>VLOOKUP(H6,'2 IM'!A:E,(IF('2 IM'!I19="L/A", 2,4)),FALSE)</f>
        <v>#N/A</v>
      </c>
      <c r="O6" s="45">
        <f>VLOOKUP(I6,'2 HE'!A:I,IF('2 IM'!I19="L/A",2,5),FALSE)</f>
        <v>9.8000000000000007</v>
      </c>
      <c r="P6" s="12" t="e">
        <f t="shared" si="2"/>
        <v>#N/A</v>
      </c>
    </row>
    <row r="7" spans="1:16" ht="15">
      <c r="A7" s="6">
        <v>800</v>
      </c>
      <c r="B7" s="28">
        <v>0</v>
      </c>
      <c r="C7" s="28">
        <v>0</v>
      </c>
      <c r="D7" s="82">
        <v>870.7</v>
      </c>
      <c r="E7" s="22">
        <v>5.9</v>
      </c>
      <c r="F7" s="7" t="str">
        <f>IF('2 IM'!G20&lt;9000,"Yes",IF('2 IM'!G20&gt;2900,"Yes","No"))</f>
        <v>Yes</v>
      </c>
      <c r="G7" s="45" t="str">
        <f>IF('2 IM'!G20&gt;2900, "Yes", IF('2 IM'!G20&lt;400,"Yes",IF('2 IM'!G20&gt;1000,IF('2 IM'!G20&lt;2100,"Yes","No"))))</f>
        <v>Yes</v>
      </c>
      <c r="H7" s="45">
        <f>_xlfn.FLOOR.MATH('2 IM'!G20,100)</f>
        <v>0</v>
      </c>
      <c r="I7" s="46">
        <f t="shared" si="0"/>
        <v>100</v>
      </c>
      <c r="J7" s="45">
        <f>('2 IM'!G20-H7)/100</f>
        <v>0</v>
      </c>
      <c r="K7" s="45" t="e">
        <f>VLOOKUP(H7,'2 IM'!A:E,IF('2 IM'!I20="l/a",3,5),FALSE)</f>
        <v>#N/A</v>
      </c>
      <c r="L7" s="45" t="e">
        <f>VLOOKUP(I7,'2 IM'!A:EI,IF('2 IM'!I20="L/a",3,5),FALSE)</f>
        <v>#N/A</v>
      </c>
      <c r="M7" s="78" t="e">
        <f t="shared" si="1"/>
        <v>#N/A</v>
      </c>
      <c r="N7" s="45" t="e">
        <f>VLOOKUP(H7,'2 IM'!A:E,(IF('2 IM'!I20="L/A", 2,4)),FALSE)</f>
        <v>#N/A</v>
      </c>
      <c r="O7" s="45">
        <f>VLOOKUP(I7,'2 HE'!A:I,IF('2 IM'!I20="L/A",2,5),FALSE)</f>
        <v>9.8000000000000007</v>
      </c>
      <c r="P7" s="12" t="e">
        <f t="shared" si="2"/>
        <v>#N/A</v>
      </c>
    </row>
    <row r="8" spans="1:16" ht="15">
      <c r="A8" s="6">
        <v>900</v>
      </c>
      <c r="B8" s="28">
        <v>824.9</v>
      </c>
      <c r="C8" s="28">
        <v>6.4</v>
      </c>
      <c r="D8" s="82">
        <v>824.9</v>
      </c>
      <c r="E8" s="22">
        <v>6.4</v>
      </c>
      <c r="F8" s="7" t="str">
        <f>IF('2 IM'!G21&lt;9000,"Yes",IF('2 IM'!G21&gt;2900,"Yes","No"))</f>
        <v>Yes</v>
      </c>
      <c r="G8" s="45" t="str">
        <f>IF('2 IM'!G21&gt;2900, "Yes", IF('2 IM'!G21&lt;400,"Yes",IF('2 IM'!G21&gt;1000,IF('2 IM'!G21&lt;2100,"Yes","No"))))</f>
        <v>Yes</v>
      </c>
      <c r="H8" s="45">
        <f>_xlfn.FLOOR.MATH('2 IM'!G21,100)</f>
        <v>0</v>
      </c>
      <c r="I8" s="46">
        <f t="shared" si="0"/>
        <v>100</v>
      </c>
      <c r="J8" s="45">
        <f>('2 IM'!G21-H8)/100</f>
        <v>0</v>
      </c>
      <c r="K8" s="45" t="e">
        <f>VLOOKUP(H8,'2 IM'!A:E,IF('2 IM'!I21="l/a",3,5),FALSE)</f>
        <v>#N/A</v>
      </c>
      <c r="L8" s="45" t="e">
        <f>VLOOKUP(I8,'2 IM'!A:EI,IF('2 IM'!I21="L/a",3,5),FALSE)</f>
        <v>#N/A</v>
      </c>
      <c r="M8" s="78" t="e">
        <f t="shared" si="1"/>
        <v>#N/A</v>
      </c>
      <c r="N8" s="45" t="e">
        <f>VLOOKUP(H8,'2 IM'!A:E,(IF('2 IM'!I21="L/A", 2,4)),FALSE)</f>
        <v>#N/A</v>
      </c>
      <c r="O8" s="45">
        <f>VLOOKUP(I8,'2 HE'!A:I,IF('2 IM'!I21="L/A",2,5),FALSE)</f>
        <v>9.8000000000000007</v>
      </c>
      <c r="P8" s="12" t="e">
        <f t="shared" si="2"/>
        <v>#N/A</v>
      </c>
    </row>
    <row r="9" spans="1:16" ht="15">
      <c r="A9" s="85">
        <v>1000</v>
      </c>
      <c r="B9" s="23">
        <v>786.8</v>
      </c>
      <c r="C9" s="29">
        <v>6.8</v>
      </c>
      <c r="D9" s="68">
        <v>786.8</v>
      </c>
      <c r="E9" s="23">
        <v>6.8</v>
      </c>
      <c r="F9" s="7" t="str">
        <f>IF('2 IM'!G22&lt;9000,"Yes",IF('2 IM'!G22&gt;2900,"Yes","No"))</f>
        <v>Yes</v>
      </c>
      <c r="G9" s="45" t="str">
        <f>IF('2 IM'!G22&gt;2900, "Yes", IF('2 IM'!G22&lt;400,"Yes",IF('2 IM'!G22&gt;1000,IF('2 IM'!G22&lt;2100,"Yes","No"))))</f>
        <v>Yes</v>
      </c>
      <c r="H9" s="45">
        <f>_xlfn.FLOOR.MATH('2 IM'!G22,100)</f>
        <v>0</v>
      </c>
      <c r="I9" s="46">
        <f t="shared" si="0"/>
        <v>100</v>
      </c>
      <c r="J9" s="45">
        <f>('2 IM'!G22-H9)/100</f>
        <v>0</v>
      </c>
      <c r="K9" s="45" t="e">
        <f>VLOOKUP(H9,'2 IM'!A:E,IF('2 IM'!I22="l/a",3,5),FALSE)</f>
        <v>#N/A</v>
      </c>
      <c r="L9" s="45" t="e">
        <f>VLOOKUP(I9,'2 IM'!A:EI,IF('2 IM'!I22="L/a",3,5),FALSE)</f>
        <v>#N/A</v>
      </c>
      <c r="M9" s="78" t="e">
        <f t="shared" si="1"/>
        <v>#N/A</v>
      </c>
      <c r="N9" s="45" t="e">
        <f>VLOOKUP(H9,'2 IM'!A:E,(IF('2 IM'!I22="L/A", 2,4)),FALSE)</f>
        <v>#N/A</v>
      </c>
      <c r="O9" s="45">
        <f>VLOOKUP(I9,'2 HE'!A:I,IF('2 IM'!I22="L/A",2,5),FALSE)</f>
        <v>9.8000000000000007</v>
      </c>
      <c r="P9" s="12" t="e">
        <f t="shared" si="2"/>
        <v>#N/A</v>
      </c>
    </row>
    <row r="10" spans="1:16" ht="15">
      <c r="A10" s="6">
        <v>1100</v>
      </c>
      <c r="B10" s="53">
        <v>755.2</v>
      </c>
      <c r="C10" s="53">
        <v>7.3</v>
      </c>
      <c r="D10" s="13">
        <v>0</v>
      </c>
      <c r="E10" s="53">
        <v>0</v>
      </c>
      <c r="F10" s="7" t="str">
        <f>IF('2 IM'!G23&lt;9000,"Yes",IF('2 IM'!G23&gt;2900,"Yes","No"))</f>
        <v>Yes</v>
      </c>
      <c r="G10" s="45" t="str">
        <f>IF('2 IM'!G23&gt;2900, "Yes", IF('2 IM'!G23&lt;400,"Yes",IF('2 IM'!G23&gt;1000,IF('2 IM'!G23&lt;2100,"Yes","No"))))</f>
        <v>Yes</v>
      </c>
      <c r="H10" s="45">
        <f>_xlfn.FLOOR.MATH('2 IM'!G23,100)</f>
        <v>0</v>
      </c>
      <c r="I10" s="46">
        <f t="shared" si="0"/>
        <v>100</v>
      </c>
      <c r="J10" s="45">
        <f>('2 IM'!G23-H10)/100</f>
        <v>0</v>
      </c>
      <c r="K10" s="45" t="e">
        <f>VLOOKUP(H10,'2 IM'!A:E,IF('2 IM'!I23="l/a",3,5),FALSE)</f>
        <v>#N/A</v>
      </c>
      <c r="L10" s="45" t="e">
        <f>VLOOKUP(I10,'2 IM'!A:EI,IF('2 IM'!I23="L/a",3,5),FALSE)</f>
        <v>#N/A</v>
      </c>
      <c r="M10" s="78" t="e">
        <f t="shared" si="1"/>
        <v>#N/A</v>
      </c>
      <c r="N10" s="45" t="e">
        <f>VLOOKUP(H10,'2 IM'!A:E,(IF('2 IM'!I23="L/A", 2,4)),FALSE)</f>
        <v>#N/A</v>
      </c>
      <c r="O10" s="45">
        <f>VLOOKUP(I10,'2 HE'!A:I,IF('2 IM'!I23="L/A",2,5),FALSE)</f>
        <v>9.8000000000000007</v>
      </c>
      <c r="P10" s="12" t="e">
        <f t="shared" si="2"/>
        <v>#N/A</v>
      </c>
    </row>
    <row r="11" spans="1:16" ht="15">
      <c r="A11" s="6">
        <v>1200</v>
      </c>
      <c r="B11" s="53">
        <v>723.3</v>
      </c>
      <c r="C11" s="53">
        <v>7.9</v>
      </c>
      <c r="D11" s="13">
        <v>0</v>
      </c>
      <c r="E11" s="53">
        <v>0</v>
      </c>
      <c r="F11" s="7" t="str">
        <f>IF('2 IM'!G24&lt;9000,"Yes",IF('2 IM'!G24&gt;2900,"Yes","No"))</f>
        <v>Yes</v>
      </c>
      <c r="G11" s="45" t="str">
        <f>IF('2 IM'!G24&gt;2900, "Yes", IF('2 IM'!G24&lt;400,"Yes",IF('2 IM'!G24&gt;1000,IF('2 IM'!G24&lt;2100,"Yes","No"))))</f>
        <v>Yes</v>
      </c>
      <c r="H11" s="45">
        <f>_xlfn.FLOOR.MATH('2 IM'!G24,100)</f>
        <v>0</v>
      </c>
      <c r="I11" s="46">
        <f t="shared" si="0"/>
        <v>100</v>
      </c>
      <c r="J11" s="45">
        <f>('2 IM'!G24-H11)/100</f>
        <v>0</v>
      </c>
      <c r="K11" s="45" t="e">
        <f>VLOOKUP(H11,'2 IM'!A:E,IF('2 IM'!I24="l/a",3,5),FALSE)</f>
        <v>#N/A</v>
      </c>
      <c r="L11" s="45" t="e">
        <f>VLOOKUP(I11,'2 IM'!A:EI,IF('2 IM'!I24="L/a",3,5),FALSE)</f>
        <v>#N/A</v>
      </c>
      <c r="M11" s="78" t="e">
        <f t="shared" si="1"/>
        <v>#N/A</v>
      </c>
      <c r="N11" s="45" t="e">
        <f>VLOOKUP(H11,'2 IM'!A:E,(IF('2 IM'!I24="L/A", 2,4)),FALSE)</f>
        <v>#N/A</v>
      </c>
      <c r="O11" s="45">
        <f>VLOOKUP(I11,'2 HE'!A:I,IF('2 IM'!I24="L/A",2,5),FALSE)</f>
        <v>9.8000000000000007</v>
      </c>
      <c r="P11" s="12" t="e">
        <f t="shared" si="2"/>
        <v>#N/A</v>
      </c>
    </row>
    <row r="12" spans="1:16" ht="15">
      <c r="A12" s="6">
        <v>1300</v>
      </c>
      <c r="B12" s="53">
        <v>708.4</v>
      </c>
      <c r="C12" s="53">
        <v>8.4</v>
      </c>
      <c r="D12" s="13">
        <v>0</v>
      </c>
      <c r="E12" s="53">
        <v>0</v>
      </c>
      <c r="F12" s="7" t="str">
        <f>IF('2 IM'!G25&lt;9000,"Yes",IF('2 IM'!G25&gt;2900,"Yes","No"))</f>
        <v>Yes</v>
      </c>
      <c r="G12" s="45" t="str">
        <f>IF('2 IM'!G25&gt;2900, "Yes", IF('2 IM'!G25&lt;400,"Yes",IF('2 IM'!G25&gt;1000,IF('2 IM'!G25&lt;2100,"Yes","No"))))</f>
        <v>Yes</v>
      </c>
      <c r="H12" s="45">
        <f>_xlfn.FLOOR.MATH('2 IM'!G25,100)</f>
        <v>0</v>
      </c>
      <c r="I12" s="46">
        <f t="shared" si="0"/>
        <v>100</v>
      </c>
      <c r="J12" s="45">
        <f>('2 IM'!G25-H12)/100</f>
        <v>0</v>
      </c>
      <c r="K12" s="45" t="e">
        <f>VLOOKUP(H12,'2 IM'!A:E,IF('2 IM'!I25="l/a",3,5),FALSE)</f>
        <v>#N/A</v>
      </c>
      <c r="L12" s="45" t="e">
        <f>VLOOKUP(I12,'2 IM'!A:EI,IF('2 IM'!I25="L/a",3,5),FALSE)</f>
        <v>#N/A</v>
      </c>
      <c r="M12" s="78" t="e">
        <f t="shared" si="1"/>
        <v>#N/A</v>
      </c>
      <c r="N12" s="45" t="e">
        <f>VLOOKUP(H12,'2 IM'!A:E,(IF('2 IM'!I25="L/A", 2,4)),FALSE)</f>
        <v>#N/A</v>
      </c>
      <c r="O12" s="45">
        <f>VLOOKUP(I12,'2 HE'!A:I,IF('2 IM'!I25="L/A",2,5),FALSE)</f>
        <v>9.8000000000000007</v>
      </c>
      <c r="P12" s="12" t="e">
        <f t="shared" si="2"/>
        <v>#N/A</v>
      </c>
    </row>
    <row r="13" spans="1:16" ht="15">
      <c r="A13" s="6">
        <v>1400</v>
      </c>
      <c r="B13" s="53">
        <v>691.7</v>
      </c>
      <c r="C13" s="53">
        <v>9</v>
      </c>
      <c r="D13" s="13">
        <v>0</v>
      </c>
      <c r="E13" s="53">
        <v>0</v>
      </c>
      <c r="F13" s="7" t="str">
        <f>IF('2 IM'!G26&lt;9000,"Yes",IF('2 IM'!G26&gt;2900,"Yes","No"))</f>
        <v>Yes</v>
      </c>
      <c r="G13" s="45" t="str">
        <f>IF('2 IM'!G26&gt;2900, "Yes", IF('2 IM'!G26&lt;400,"Yes",IF('2 IM'!G26&gt;1000,IF('2 IM'!G26&lt;2100,"Yes","No"))))</f>
        <v>Yes</v>
      </c>
      <c r="H13" s="9">
        <f>_xlfn.FLOOR.MATH('2 IM'!G26,100)</f>
        <v>0</v>
      </c>
      <c r="I13" s="10">
        <f t="shared" si="0"/>
        <v>100</v>
      </c>
      <c r="J13" s="9">
        <f>('2 IM'!G26-H13)/100</f>
        <v>0</v>
      </c>
      <c r="K13" s="45" t="e">
        <f>VLOOKUP(H13,'2 IM'!A:E,IF('2 IM'!I26="l/a",3,5),FALSE)</f>
        <v>#N/A</v>
      </c>
      <c r="L13" s="45" t="e">
        <f>VLOOKUP(I13,'2 IM'!A:EI,IF('2 IM'!I26="L/a",3,5),FALSE)</f>
        <v>#N/A</v>
      </c>
      <c r="M13" s="78" t="e">
        <f t="shared" si="1"/>
        <v>#N/A</v>
      </c>
      <c r="N13" s="45" t="e">
        <f>VLOOKUP(H13,'2 IM'!A:E,(IF('2 IM'!I26="L/A", 2,4)),FALSE)</f>
        <v>#N/A</v>
      </c>
      <c r="O13" s="9">
        <f>VLOOKUP(I13,'2 HE'!A:I,IF('2 IM'!I26="L/A",2,5),FALSE)</f>
        <v>9.8000000000000007</v>
      </c>
      <c r="P13" s="47" t="e">
        <f t="shared" si="2"/>
        <v>#N/A</v>
      </c>
    </row>
    <row r="14" spans="1:16" ht="15">
      <c r="A14" s="85">
        <v>1500</v>
      </c>
      <c r="B14" s="23">
        <v>678.9</v>
      </c>
      <c r="C14" s="29">
        <v>9.6</v>
      </c>
      <c r="D14" s="80">
        <v>0</v>
      </c>
      <c r="E14" s="29">
        <v>0</v>
      </c>
    </row>
    <row r="15" spans="1:16" ht="15">
      <c r="A15" s="6">
        <v>1600</v>
      </c>
      <c r="B15" s="22">
        <v>669.5</v>
      </c>
      <c r="C15" s="53">
        <v>10.199999999999999</v>
      </c>
      <c r="D15" s="88">
        <v>0</v>
      </c>
      <c r="E15" s="53">
        <v>0</v>
      </c>
      <c r="F15" s="317" t="s">
        <v>15</v>
      </c>
      <c r="G15" s="317"/>
      <c r="H15" s="317"/>
      <c r="I15" s="317"/>
    </row>
    <row r="16" spans="1:16" ht="15">
      <c r="A16" s="6">
        <v>1700</v>
      </c>
      <c r="B16" s="22">
        <v>663.1</v>
      </c>
      <c r="C16" s="53">
        <v>10.8</v>
      </c>
      <c r="D16" s="88">
        <v>0</v>
      </c>
      <c r="E16" s="53">
        <v>0</v>
      </c>
      <c r="F16" s="57" t="s">
        <v>12</v>
      </c>
      <c r="G16" s="58" t="s">
        <v>0</v>
      </c>
      <c r="H16" s="58" t="s">
        <v>4</v>
      </c>
      <c r="I16" s="59" t="s">
        <v>22</v>
      </c>
    </row>
    <row r="17" spans="1:9" ht="15">
      <c r="A17" s="6">
        <v>1800</v>
      </c>
      <c r="B17" s="22">
        <v>659.5</v>
      </c>
      <c r="C17" s="28">
        <v>11.4</v>
      </c>
      <c r="D17" s="81">
        <v>0</v>
      </c>
      <c r="E17" s="53">
        <v>0</v>
      </c>
      <c r="F17" s="60">
        <v>1</v>
      </c>
      <c r="G17" s="60">
        <f>'2 HE'!K18</f>
        <v>0</v>
      </c>
      <c r="H17" s="61">
        <f>'2 HE'!L18</f>
        <v>0</v>
      </c>
      <c r="I17" s="5" t="str">
        <f>INPUT!D5</f>
        <v>L/A</v>
      </c>
    </row>
    <row r="18" spans="1:9" ht="15">
      <c r="A18" s="6">
        <v>1900</v>
      </c>
      <c r="B18" s="22">
        <v>658.5</v>
      </c>
      <c r="C18" s="28">
        <v>12.1</v>
      </c>
      <c r="D18" s="81">
        <v>0</v>
      </c>
      <c r="E18" s="53">
        <v>0</v>
      </c>
      <c r="F18" s="60">
        <v>2</v>
      </c>
      <c r="G18" s="60">
        <f>'2 HE'!K19</f>
        <v>0</v>
      </c>
      <c r="H18" s="61">
        <f>'2 HE'!L19</f>
        <v>0</v>
      </c>
      <c r="I18" s="5" t="str">
        <f>'1 HE'!N3</f>
        <v>L/A</v>
      </c>
    </row>
    <row r="19" spans="1:9" ht="15">
      <c r="A19" s="85">
        <v>2000</v>
      </c>
      <c r="B19" s="23">
        <v>660</v>
      </c>
      <c r="C19" s="29">
        <v>12.8</v>
      </c>
      <c r="D19" s="80">
        <v>0</v>
      </c>
      <c r="E19" s="29">
        <v>0</v>
      </c>
      <c r="F19" s="60">
        <v>3</v>
      </c>
      <c r="G19" s="60">
        <f>'2 HE'!K20</f>
        <v>0</v>
      </c>
      <c r="H19" s="61">
        <f>'2 HE'!L20</f>
        <v>0</v>
      </c>
      <c r="I19" s="5" t="str">
        <f>'1 HE'!N4</f>
        <v>L/A</v>
      </c>
    </row>
    <row r="20" spans="1:9" ht="15">
      <c r="A20" s="86">
        <v>2100</v>
      </c>
      <c r="B20" s="63">
        <v>663.9</v>
      </c>
      <c r="C20" s="53">
        <v>13.6</v>
      </c>
      <c r="D20" s="88">
        <v>1211.0999999999999</v>
      </c>
      <c r="E20" s="55">
        <v>33.1</v>
      </c>
      <c r="F20" s="60">
        <v>4</v>
      </c>
      <c r="G20" s="60">
        <f>'2 HE'!K21</f>
        <v>0</v>
      </c>
      <c r="H20" s="61">
        <f>'2 HE'!L21</f>
        <v>0</v>
      </c>
      <c r="I20" s="5" t="str">
        <f>'1 HE'!N5</f>
        <v>L/A</v>
      </c>
    </row>
    <row r="21" spans="1:9" ht="15">
      <c r="A21" s="86">
        <v>2200</v>
      </c>
      <c r="B21" s="63">
        <v>670.2</v>
      </c>
      <c r="C21" s="53">
        <v>14.4</v>
      </c>
      <c r="D21" s="88">
        <v>1192.9000000000001</v>
      </c>
      <c r="E21" s="55">
        <v>32.700000000000003</v>
      </c>
      <c r="F21" s="60">
        <v>5</v>
      </c>
      <c r="G21" s="60">
        <f>'2 HE'!K22</f>
        <v>0</v>
      </c>
      <c r="H21" s="61">
        <f>'2 HE'!L22</f>
        <v>0</v>
      </c>
      <c r="I21" s="5" t="str">
        <f>'1 HE'!N6</f>
        <v>L/A</v>
      </c>
    </row>
    <row r="22" spans="1:9" ht="15">
      <c r="A22" s="86">
        <v>2300</v>
      </c>
      <c r="B22" s="63">
        <v>679</v>
      </c>
      <c r="C22" s="28">
        <v>15.2</v>
      </c>
      <c r="D22" s="25">
        <v>1172.8</v>
      </c>
      <c r="E22" s="55">
        <v>32.299999999999997</v>
      </c>
      <c r="F22" s="60">
        <v>6</v>
      </c>
      <c r="G22" s="60">
        <f>'2 HE'!K23</f>
        <v>0</v>
      </c>
      <c r="H22" s="61">
        <f>'2 HE'!L23</f>
        <v>0</v>
      </c>
      <c r="I22" s="5" t="str">
        <f>'1 HE'!N7</f>
        <v>L/A</v>
      </c>
    </row>
    <row r="23" spans="1:9" ht="15">
      <c r="A23" s="86">
        <v>2400</v>
      </c>
      <c r="B23" s="53">
        <v>690.5</v>
      </c>
      <c r="C23" s="28">
        <v>16.100000000000001</v>
      </c>
      <c r="D23" s="28">
        <v>1150.5999999999999</v>
      </c>
      <c r="E23" s="55">
        <v>31.8</v>
      </c>
      <c r="F23" s="60">
        <v>7</v>
      </c>
      <c r="G23" s="60">
        <f>'2 HE'!K24</f>
        <v>0</v>
      </c>
      <c r="H23" s="61">
        <f>'2 HE'!L24</f>
        <v>0</v>
      </c>
      <c r="I23" s="5" t="str">
        <f>'1 HE'!N8</f>
        <v>L/A</v>
      </c>
    </row>
    <row r="24" spans="1:9" ht="15">
      <c r="A24" s="85">
        <v>2500</v>
      </c>
      <c r="B24" s="29">
        <v>705</v>
      </c>
      <c r="C24" s="29">
        <v>17</v>
      </c>
      <c r="D24" s="29">
        <v>1125.8</v>
      </c>
      <c r="E24" s="71">
        <v>31.3</v>
      </c>
      <c r="F24" s="60">
        <v>8</v>
      </c>
      <c r="G24" s="60">
        <f>'2 HE'!K25</f>
        <v>0</v>
      </c>
      <c r="H24" s="61">
        <f>'2 HE'!L25</f>
        <v>0</v>
      </c>
      <c r="I24" s="5" t="str">
        <f>'1 HE'!N9</f>
        <v>L/A</v>
      </c>
    </row>
    <row r="25" spans="1:9" ht="15">
      <c r="A25" s="86">
        <v>2600</v>
      </c>
      <c r="B25" s="28">
        <v>723.2</v>
      </c>
      <c r="C25" s="28">
        <v>18.100000000000001</v>
      </c>
      <c r="D25" s="28">
        <v>1097.8</v>
      </c>
      <c r="E25" s="81">
        <v>30.7</v>
      </c>
      <c r="F25" s="60">
        <v>9</v>
      </c>
      <c r="G25" s="60">
        <f>'2 HE'!K26</f>
        <v>0</v>
      </c>
      <c r="H25" s="61">
        <f>'2 HE'!L26</f>
        <v>0</v>
      </c>
      <c r="I25" s="5" t="str">
        <f>'1 HE'!N10</f>
        <v>L/A</v>
      </c>
    </row>
    <row r="26" spans="1:9" ht="15">
      <c r="A26" s="86">
        <v>2700</v>
      </c>
      <c r="B26" s="28">
        <v>746.5</v>
      </c>
      <c r="C26" s="28">
        <v>19.3</v>
      </c>
      <c r="D26" s="28">
        <v>1065.3</v>
      </c>
      <c r="E26" s="81">
        <v>29.9</v>
      </c>
      <c r="F26" s="60">
        <v>10</v>
      </c>
      <c r="G26" s="60">
        <f>'2 HE'!K27</f>
        <v>0</v>
      </c>
      <c r="H26" s="61">
        <f>'2 HE'!L27</f>
        <v>0</v>
      </c>
      <c r="I26" s="5" t="str">
        <f>'1 HE'!N11</f>
        <v>L/A</v>
      </c>
    </row>
    <row r="27" spans="1:9" ht="15">
      <c r="A27" s="86">
        <v>2800</v>
      </c>
      <c r="B27" s="28">
        <v>777.7</v>
      </c>
      <c r="C27" s="28">
        <v>20.7</v>
      </c>
      <c r="D27" s="28">
        <v>1025.3</v>
      </c>
      <c r="E27" s="81">
        <v>28.9</v>
      </c>
    </row>
    <row r="28" spans="1:9" ht="15">
      <c r="A28" s="87">
        <v>2900</v>
      </c>
      <c r="B28" s="30">
        <v>827.5</v>
      </c>
      <c r="C28" s="30">
        <v>22.7</v>
      </c>
      <c r="D28" s="30">
        <v>967.1</v>
      </c>
      <c r="E28" s="90">
        <v>27.3</v>
      </c>
    </row>
    <row r="29" spans="1:9" ht="15">
      <c r="A29" s="86">
        <v>3000</v>
      </c>
      <c r="B29" s="53">
        <v>0</v>
      </c>
      <c r="C29" s="53">
        <v>0</v>
      </c>
      <c r="D29" s="53">
        <v>0</v>
      </c>
      <c r="E29" s="88">
        <v>0</v>
      </c>
    </row>
  </sheetData>
  <sheetProtection selectLockedCells="1" selectUnlockedCells="1"/>
  <mergeCells count="4">
    <mergeCell ref="F15:I15"/>
    <mergeCell ref="A1:E1"/>
    <mergeCell ref="F2:G2"/>
    <mergeCell ref="H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I17:I26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E1"/>
    </sheetView>
  </sheetViews>
  <sheetFormatPr defaultRowHeight="14.25"/>
  <cols>
    <col min="2" max="2" width="14.75" bestFit="1" customWidth="1"/>
    <col min="4" max="4" width="15" bestFit="1" customWidth="1"/>
    <col min="7" max="7" width="10.875" bestFit="1" customWidth="1"/>
    <col min="8" max="8" width="12.25" bestFit="1" customWidth="1"/>
    <col min="9" max="9" width="12.75" bestFit="1" customWidth="1"/>
    <col min="10" max="10" width="14" bestFit="1" customWidth="1"/>
  </cols>
  <sheetData>
    <row r="1" spans="1:16" ht="26.25">
      <c r="A1" s="312" t="s">
        <v>41</v>
      </c>
      <c r="B1" s="312"/>
      <c r="C1" s="312"/>
      <c r="D1" s="312"/>
      <c r="E1" s="312"/>
    </row>
    <row r="2" spans="1:16" ht="15">
      <c r="A2" s="15" t="s">
        <v>0</v>
      </c>
      <c r="B2" s="15" t="s">
        <v>6</v>
      </c>
      <c r="C2" s="15" t="s">
        <v>1</v>
      </c>
      <c r="D2" s="15" t="s">
        <v>7</v>
      </c>
      <c r="E2" s="15" t="s">
        <v>1</v>
      </c>
      <c r="F2" s="307" t="s">
        <v>21</v>
      </c>
      <c r="G2" s="307"/>
      <c r="H2" s="314" t="s">
        <v>44</v>
      </c>
      <c r="I2" s="315"/>
      <c r="J2" s="315"/>
      <c r="K2" s="315"/>
      <c r="L2" s="315"/>
      <c r="M2" s="315"/>
      <c r="N2" s="315"/>
      <c r="O2" s="315"/>
      <c r="P2" s="315"/>
    </row>
    <row r="3" spans="1:16" ht="15">
      <c r="A3" s="127">
        <v>400</v>
      </c>
      <c r="B3" s="27">
        <v>0</v>
      </c>
      <c r="C3" s="27">
        <v>0</v>
      </c>
      <c r="D3" s="27">
        <v>1140.5999999999999</v>
      </c>
      <c r="E3" s="27">
        <v>3.9</v>
      </c>
      <c r="F3" s="131" t="s">
        <v>23</v>
      </c>
      <c r="G3" s="131" t="s">
        <v>24</v>
      </c>
      <c r="H3" s="44" t="s">
        <v>17</v>
      </c>
      <c r="I3" s="44" t="s">
        <v>18</v>
      </c>
      <c r="J3" s="44" t="s">
        <v>16</v>
      </c>
      <c r="K3" s="44" t="s">
        <v>26</v>
      </c>
      <c r="L3" s="44" t="s">
        <v>27</v>
      </c>
      <c r="M3" s="77" t="s">
        <v>31</v>
      </c>
      <c r="N3" s="44" t="s">
        <v>19</v>
      </c>
      <c r="O3" s="44" t="s">
        <v>20</v>
      </c>
      <c r="P3" s="11" t="s">
        <v>25</v>
      </c>
    </row>
    <row r="4" spans="1:16" ht="15">
      <c r="A4" s="130">
        <v>500</v>
      </c>
      <c r="B4" s="29">
        <v>0</v>
      </c>
      <c r="C4" s="29">
        <v>0</v>
      </c>
      <c r="D4" s="29">
        <v>1050.8</v>
      </c>
      <c r="E4" s="29">
        <v>4.2</v>
      </c>
      <c r="F4" s="7" t="str">
        <f>IF('3 IM'!G16&gt;3600,"Yes",IF('3 IM'!G16&lt;800,"Yes","No"))</f>
        <v>Yes</v>
      </c>
      <c r="G4" s="45" t="str">
        <f>IF('3 IM'!G16&gt;3600,"Yes",IF('3 IM'!G16&lt;400,"Yes",IF('3 IM'!G16&gt;900,IF('3 IM'!G16&lt;2400,"Yes","No"),"No")))</f>
        <v>Yes</v>
      </c>
      <c r="H4" s="45">
        <f>_xlfn.FLOOR.MATH('3 IM'!G16,100)</f>
        <v>0</v>
      </c>
      <c r="I4" s="46">
        <f t="shared" ref="I4:I13" si="0">H4+100</f>
        <v>100</v>
      </c>
      <c r="J4" s="45">
        <f>('3 IM'!G16-H4)/100</f>
        <v>0</v>
      </c>
      <c r="K4" s="45" t="e">
        <f>VLOOKUP(H4,'3 IM'!A:E,IF('3 IM'!I16="L/A",3,5),FALSE)</f>
        <v>#N/A</v>
      </c>
      <c r="L4" s="45" t="e">
        <f>VLOOKUP(I4,'3 IM'!A:E,IF('3 IM'!I16="L/a",3,5),FALSE)</f>
        <v>#N/A</v>
      </c>
      <c r="M4" s="78" t="e">
        <f t="shared" ref="M4:M13" si="1">IF(H4=3600,K4,((L4-K4)*J4)+K4)</f>
        <v>#N/A</v>
      </c>
      <c r="N4" s="45" t="e">
        <f>VLOOKUP(H4,'3 IM'!A:E,IF('3 IM'!I16="L/a",2,4),FALSE)</f>
        <v>#N/A</v>
      </c>
      <c r="O4" s="45" t="e">
        <f>VLOOKUP(I4,'3 IM'!A:E,IF('3 IM'!I16="l/a",2,4),FALSE)</f>
        <v>#N/A</v>
      </c>
      <c r="P4" s="12" t="e">
        <f t="shared" ref="P4:P13" si="2">IF(H4=3600,N4,(((O4-N4)*J4)+N4))</f>
        <v>#N/A</v>
      </c>
    </row>
    <row r="5" spans="1:16" ht="15">
      <c r="A5" s="128">
        <v>600</v>
      </c>
      <c r="B5" s="28">
        <v>0</v>
      </c>
      <c r="C5" s="28">
        <v>0</v>
      </c>
      <c r="D5" s="28">
        <v>972.7</v>
      </c>
      <c r="E5" s="28">
        <v>4.5</v>
      </c>
      <c r="F5" s="7" t="str">
        <f>IF('3 IM'!G17&gt;3600,"Yes",IF('3 IM'!G17&lt;800,"Yes","No"))</f>
        <v>Yes</v>
      </c>
      <c r="G5" s="45" t="str">
        <f>IF('3 IM'!G17&gt;3600,"Yes",IF('3 IM'!G17&lt;400,"Yes",IF('3 IM'!G17&gt;900,IF('3 IM'!G17&lt;2400,"Yes","No"),"No")))</f>
        <v>Yes</v>
      </c>
      <c r="H5" s="45">
        <f>_xlfn.FLOOR.MATH('3 IM'!G17,100)</f>
        <v>0</v>
      </c>
      <c r="I5" s="46">
        <f t="shared" si="0"/>
        <v>100</v>
      </c>
      <c r="J5" s="45">
        <f>('3 IM'!G17-H5)/100</f>
        <v>0</v>
      </c>
      <c r="K5" s="45" t="e">
        <f>VLOOKUP(H5,'3 IM'!A:E,IF('3 IM'!I17="L/A",3,5),FALSE)</f>
        <v>#N/A</v>
      </c>
      <c r="L5" s="45" t="e">
        <f>VLOOKUP(I5,'3 IM'!A:E,IF('3 IM'!I17="L/a",3,5),FALSE)</f>
        <v>#N/A</v>
      </c>
      <c r="M5" s="78" t="e">
        <f t="shared" si="1"/>
        <v>#N/A</v>
      </c>
      <c r="N5" s="45" t="e">
        <f>VLOOKUP(H5,'3 IM'!A:E,IF('3 IM'!I17="L/a",2,4),FALSE)</f>
        <v>#N/A</v>
      </c>
      <c r="O5" s="45" t="e">
        <f>VLOOKUP(I5,'3 IM'!A:E,IF('3 IM'!I17="l/a",2,4),FALSE)</f>
        <v>#N/A</v>
      </c>
      <c r="P5" s="12" t="e">
        <f t="shared" si="2"/>
        <v>#N/A</v>
      </c>
    </row>
    <row r="6" spans="1:16" ht="15">
      <c r="A6" s="128">
        <v>700</v>
      </c>
      <c r="B6" s="28">
        <v>0</v>
      </c>
      <c r="C6" s="28">
        <v>0</v>
      </c>
      <c r="D6" s="28">
        <v>905.4</v>
      </c>
      <c r="E6" s="28">
        <v>4.8</v>
      </c>
      <c r="F6" s="7" t="str">
        <f>IF('3 IM'!G18&gt;3600,"Yes",IF('3 IM'!G18&lt;800,"Yes","No"))</f>
        <v>Yes</v>
      </c>
      <c r="G6" s="45" t="str">
        <f>IF('3 IM'!G18&gt;3600,"Yes",IF('3 IM'!G18&lt;400,"Yes",IF('3 IM'!G18&gt;900,IF('3 IM'!G18&lt;2400,"Yes","No"),"No")))</f>
        <v>Yes</v>
      </c>
      <c r="H6" s="45">
        <f>_xlfn.FLOOR.MATH('3 IM'!G18,100)</f>
        <v>0</v>
      </c>
      <c r="I6" s="46">
        <f t="shared" si="0"/>
        <v>100</v>
      </c>
      <c r="J6" s="45">
        <f>('3 IM'!G18-H6)/100</f>
        <v>0</v>
      </c>
      <c r="K6" s="45" t="e">
        <f>VLOOKUP(H6,'3 IM'!A:E,IF('3 IM'!I18="L/A",3,5),FALSE)</f>
        <v>#N/A</v>
      </c>
      <c r="L6" s="45" t="e">
        <f>VLOOKUP(I6,'3 IM'!A:E,IF('3 IM'!I18="L/a",3,5),FALSE)</f>
        <v>#N/A</v>
      </c>
      <c r="M6" s="78" t="e">
        <f t="shared" si="1"/>
        <v>#N/A</v>
      </c>
      <c r="N6" s="45" t="e">
        <f>VLOOKUP(H6,'3 IM'!A:E,IF('3 IM'!I18="L/a",2,4),FALSE)</f>
        <v>#N/A</v>
      </c>
      <c r="O6" s="45" t="e">
        <f>VLOOKUP(I6,'3 IM'!A:E,IF('3 IM'!I18="l/a",2,4),FALSE)</f>
        <v>#N/A</v>
      </c>
      <c r="P6" s="12" t="e">
        <f t="shared" si="2"/>
        <v>#N/A</v>
      </c>
    </row>
    <row r="7" spans="1:16" ht="15">
      <c r="A7" s="128">
        <v>800</v>
      </c>
      <c r="B7" s="28">
        <v>848</v>
      </c>
      <c r="C7" s="28">
        <v>5.2</v>
      </c>
      <c r="D7" s="28">
        <v>848</v>
      </c>
      <c r="E7" s="28">
        <v>5.2</v>
      </c>
      <c r="F7" s="7" t="str">
        <f>IF('3 IM'!G19&gt;3600,"Yes",IF('3 IM'!G19&lt;800,"Yes","No"))</f>
        <v>Yes</v>
      </c>
      <c r="G7" s="45" t="str">
        <f>IF('3 IM'!G19&gt;3600,"Yes",IF('3 IM'!G19&lt;400,"Yes",IF('3 IM'!G19&gt;900,IF('3 IM'!G19&lt;2400,"Yes","No"),"No")))</f>
        <v>Yes</v>
      </c>
      <c r="H7" s="45">
        <f>_xlfn.FLOOR.MATH('3 IM'!G19,100)</f>
        <v>0</v>
      </c>
      <c r="I7" s="46">
        <f t="shared" si="0"/>
        <v>100</v>
      </c>
      <c r="J7" s="45">
        <f>('3 IM'!G19-H7)/100</f>
        <v>0</v>
      </c>
      <c r="K7" s="45" t="e">
        <f>VLOOKUP(H7,'3 IM'!A:E,IF('3 IM'!I19="L/A",3,5),FALSE)</f>
        <v>#N/A</v>
      </c>
      <c r="L7" s="45" t="e">
        <f>VLOOKUP(I7,'3 IM'!A:E,IF('3 IM'!I19="L/a",3,5),FALSE)</f>
        <v>#N/A</v>
      </c>
      <c r="M7" s="78" t="e">
        <f t="shared" si="1"/>
        <v>#N/A</v>
      </c>
      <c r="N7" s="45" t="e">
        <f>VLOOKUP(H7,'3 IM'!A:E,IF('3 IM'!I19="L/a",2,4),FALSE)</f>
        <v>#N/A</v>
      </c>
      <c r="O7" s="45" t="e">
        <f>VLOOKUP(I7,'3 IM'!A:E,IF('3 IM'!I19="l/a",2,4),FALSE)</f>
        <v>#N/A</v>
      </c>
      <c r="P7" s="12" t="e">
        <f t="shared" si="2"/>
        <v>#N/A</v>
      </c>
    </row>
    <row r="8" spans="1:16" ht="15">
      <c r="A8" s="128">
        <v>900</v>
      </c>
      <c r="B8" s="28">
        <v>799.1</v>
      </c>
      <c r="C8" s="28">
        <v>5.6</v>
      </c>
      <c r="D8" s="28">
        <v>799.1</v>
      </c>
      <c r="E8" s="28">
        <v>5.6</v>
      </c>
      <c r="F8" s="7" t="str">
        <f>IF('3 IM'!G20&gt;3600,"Yes",IF('3 IM'!G20&lt;800,"Yes","No"))</f>
        <v>Yes</v>
      </c>
      <c r="G8" s="45" t="str">
        <f>IF('3 IM'!G20&gt;3600,"Yes",IF('3 IM'!G20&lt;400,"Yes",IF('3 IM'!G20&gt;900,IF('3 IM'!G20&lt;2400,"Yes","No"),"No")))</f>
        <v>Yes</v>
      </c>
      <c r="H8" s="45">
        <f>_xlfn.FLOOR.MATH('3 IM'!G20,100)</f>
        <v>0</v>
      </c>
      <c r="I8" s="46">
        <f t="shared" si="0"/>
        <v>100</v>
      </c>
      <c r="J8" s="45">
        <f>('3 IM'!G20-H8)/100</f>
        <v>0</v>
      </c>
      <c r="K8" s="45" t="e">
        <f>VLOOKUP(H8,'3 IM'!A:E,IF('3 IM'!I20="L/A",3,5),FALSE)</f>
        <v>#N/A</v>
      </c>
      <c r="L8" s="45" t="e">
        <f>VLOOKUP(I8,'3 IM'!A:E,IF('3 IM'!I20="L/a",3,5),FALSE)</f>
        <v>#N/A</v>
      </c>
      <c r="M8" s="78" t="e">
        <f t="shared" si="1"/>
        <v>#N/A</v>
      </c>
      <c r="N8" s="45" t="e">
        <f>VLOOKUP(H8,'3 IM'!A:E,IF('3 IM'!I20="L/a",2,4),FALSE)</f>
        <v>#N/A</v>
      </c>
      <c r="O8" s="45" t="e">
        <f>VLOOKUP(I8,'3 IM'!A:E,IF('3 IM'!I20="l/a",2,4),FALSE)</f>
        <v>#N/A</v>
      </c>
      <c r="P8" s="12" t="e">
        <f t="shared" si="2"/>
        <v>#N/A</v>
      </c>
    </row>
    <row r="9" spans="1:16" ht="15">
      <c r="A9" s="130">
        <v>1000</v>
      </c>
      <c r="B9" s="29">
        <v>757.7</v>
      </c>
      <c r="C9" s="29">
        <v>6</v>
      </c>
      <c r="D9" s="29">
        <v>0</v>
      </c>
      <c r="E9" s="29">
        <v>0</v>
      </c>
      <c r="F9" s="7" t="str">
        <f>IF('3 IM'!G21&gt;3600,"Yes",IF('3 IM'!G21&lt;800,"Yes","No"))</f>
        <v>Yes</v>
      </c>
      <c r="G9" s="45" t="str">
        <f>IF('3 IM'!G21&gt;3600,"Yes",IF('3 IM'!G21&lt;400,"Yes",IF('3 IM'!G21&gt;900,IF('3 IM'!G21&lt;2400,"Yes","No"),"No")))</f>
        <v>Yes</v>
      </c>
      <c r="H9" s="45">
        <f>_xlfn.FLOOR.MATH('3 IM'!G21,100)</f>
        <v>0</v>
      </c>
      <c r="I9" s="46">
        <f t="shared" si="0"/>
        <v>100</v>
      </c>
      <c r="J9" s="45">
        <f>('3 IM'!G21-H9)/100</f>
        <v>0</v>
      </c>
      <c r="K9" s="45" t="e">
        <f>VLOOKUP(H9,'3 IM'!A:E,IF('3 IM'!I21="L/A",3,5),FALSE)</f>
        <v>#N/A</v>
      </c>
      <c r="L9" s="45" t="e">
        <f>VLOOKUP(I9,'3 IM'!A:E,IF('3 IM'!I21="L/a",3,5),FALSE)</f>
        <v>#N/A</v>
      </c>
      <c r="M9" s="78" t="e">
        <f t="shared" si="1"/>
        <v>#N/A</v>
      </c>
      <c r="N9" s="45" t="e">
        <f>VLOOKUP(H9,'3 IM'!A:E,IF('3 IM'!I21="L/a",2,4),FALSE)</f>
        <v>#N/A</v>
      </c>
      <c r="O9" s="45" t="e">
        <f>VLOOKUP(I9,'3 IM'!A:E,IF('3 IM'!I21="l/a",2,4),FALSE)</f>
        <v>#N/A</v>
      </c>
      <c r="P9" s="12" t="e">
        <f t="shared" si="2"/>
        <v>#N/A</v>
      </c>
    </row>
    <row r="10" spans="1:16" ht="15">
      <c r="A10" s="128">
        <v>1100</v>
      </c>
      <c r="B10" s="28">
        <v>722.8</v>
      </c>
      <c r="C10" s="28">
        <v>6.4</v>
      </c>
      <c r="D10" s="28">
        <v>0</v>
      </c>
      <c r="E10" s="28">
        <v>0</v>
      </c>
      <c r="F10" s="7" t="str">
        <f>IF('3 IM'!G22&gt;3600,"Yes",IF('3 IM'!G22&lt;800,"Yes","No"))</f>
        <v>Yes</v>
      </c>
      <c r="G10" s="45" t="str">
        <f>IF('3 IM'!G22&gt;3600,"Yes",IF('3 IM'!G22&lt;400,"Yes",IF('3 IM'!G22&gt;900,IF('3 IM'!G22&lt;2400,"Yes","No"),"No")))</f>
        <v>Yes</v>
      </c>
      <c r="H10" s="45">
        <f>_xlfn.FLOOR.MATH('3 IM'!G22,100)</f>
        <v>0</v>
      </c>
      <c r="I10" s="46">
        <f t="shared" si="0"/>
        <v>100</v>
      </c>
      <c r="J10" s="45">
        <f>('3 IM'!G22-H10)/100</f>
        <v>0</v>
      </c>
      <c r="K10" s="45" t="e">
        <f>VLOOKUP(H10,'3 IM'!A:E,IF('3 IM'!I22="L/A",3,5),FALSE)</f>
        <v>#N/A</v>
      </c>
      <c r="L10" s="45" t="e">
        <f>VLOOKUP(I10,'3 IM'!A:E,IF('3 IM'!I22="L/a",3,5),FALSE)</f>
        <v>#N/A</v>
      </c>
      <c r="M10" s="78" t="e">
        <f t="shared" si="1"/>
        <v>#N/A</v>
      </c>
      <c r="N10" s="45" t="e">
        <f>VLOOKUP(H10,'3 IM'!A:E,IF('3 IM'!I22="L/a",2,4),FALSE)</f>
        <v>#N/A</v>
      </c>
      <c r="O10" s="45" t="e">
        <f>VLOOKUP(I10,'3 IM'!A:E,IF('3 IM'!I22="l/a",2,4),FALSE)</f>
        <v>#N/A</v>
      </c>
      <c r="P10" s="12" t="e">
        <f t="shared" si="2"/>
        <v>#N/A</v>
      </c>
    </row>
    <row r="11" spans="1:16" ht="15">
      <c r="A11" s="128">
        <v>1200</v>
      </c>
      <c r="B11" s="28">
        <v>693.4</v>
      </c>
      <c r="C11" s="28">
        <v>6.8</v>
      </c>
      <c r="D11" s="28">
        <v>0</v>
      </c>
      <c r="E11" s="28">
        <v>0</v>
      </c>
      <c r="F11" s="7" t="str">
        <f>IF('3 IM'!G23&gt;3600,"Yes",IF('3 IM'!G23&lt;800,"Yes","No"))</f>
        <v>Yes</v>
      </c>
      <c r="G11" s="45" t="str">
        <f>IF('3 IM'!G23&gt;3600,"Yes",IF('3 IM'!G23&lt;400,"Yes",IF('3 IM'!G23&gt;900,IF('3 IM'!G23&lt;2400,"Yes","No"),"No")))</f>
        <v>Yes</v>
      </c>
      <c r="H11" s="45">
        <f>_xlfn.FLOOR.MATH('3 IM'!G23,100)</f>
        <v>0</v>
      </c>
      <c r="I11" s="46">
        <f t="shared" si="0"/>
        <v>100</v>
      </c>
      <c r="J11" s="45">
        <f>('3 IM'!G23-H11)/100</f>
        <v>0</v>
      </c>
      <c r="K11" s="45" t="e">
        <f>VLOOKUP(H11,'3 IM'!A:E,IF('3 IM'!I23="L/A",3,5),FALSE)</f>
        <v>#N/A</v>
      </c>
      <c r="L11" s="45" t="e">
        <f>VLOOKUP(I11,'3 IM'!A:E,IF('3 IM'!I23="L/a",3,5),FALSE)</f>
        <v>#N/A</v>
      </c>
      <c r="M11" s="78" t="e">
        <f t="shared" si="1"/>
        <v>#N/A</v>
      </c>
      <c r="N11" s="45" t="e">
        <f>VLOOKUP(H11,'3 IM'!A:E,IF('3 IM'!I23="L/a",2,4),FALSE)</f>
        <v>#N/A</v>
      </c>
      <c r="O11" s="45" t="e">
        <f>VLOOKUP(I11,'3 IM'!A:E,IF('3 IM'!I23="l/a",2,4),FALSE)</f>
        <v>#N/A</v>
      </c>
      <c r="P11" s="12" t="e">
        <f t="shared" si="2"/>
        <v>#N/A</v>
      </c>
    </row>
    <row r="12" spans="1:16" ht="15">
      <c r="A12" s="128">
        <v>1300</v>
      </c>
      <c r="B12" s="28">
        <v>668.8</v>
      </c>
      <c r="C12" s="28">
        <v>7.3</v>
      </c>
      <c r="D12" s="28">
        <v>0</v>
      </c>
      <c r="E12" s="28">
        <v>0</v>
      </c>
      <c r="F12" s="7" t="str">
        <f>IF('3 IM'!G24&gt;3600,"Yes",IF('3 IM'!G24&lt;800,"Yes","No"))</f>
        <v>Yes</v>
      </c>
      <c r="G12" s="45" t="str">
        <f>IF('3 IM'!G24&gt;3600,"Yes",IF('3 IM'!G24&lt;400,"Yes",IF('3 IM'!G24&gt;900,IF('3 IM'!G24&lt;2400,"Yes","No"),"No")))</f>
        <v>Yes</v>
      </c>
      <c r="H12" s="45">
        <f>_xlfn.FLOOR.MATH('3 IM'!G24,100)</f>
        <v>0</v>
      </c>
      <c r="I12" s="46">
        <f t="shared" si="0"/>
        <v>100</v>
      </c>
      <c r="J12" s="45">
        <f>('3 IM'!G24-H12)/100</f>
        <v>0</v>
      </c>
      <c r="K12" s="45" t="e">
        <f>VLOOKUP(H12,'3 IM'!A:E,IF('3 IM'!I24="L/A",3,5),FALSE)</f>
        <v>#N/A</v>
      </c>
      <c r="L12" s="45" t="e">
        <f>VLOOKUP(I12,'3 IM'!A:E,IF('3 IM'!I24="L/a",3,5),FALSE)</f>
        <v>#N/A</v>
      </c>
      <c r="M12" s="78" t="e">
        <f t="shared" si="1"/>
        <v>#N/A</v>
      </c>
      <c r="N12" s="45" t="e">
        <f>VLOOKUP(H12,'3 IM'!A:E,IF('3 IM'!I24="L/a",2,4),FALSE)</f>
        <v>#N/A</v>
      </c>
      <c r="O12" s="45" t="e">
        <f>VLOOKUP(I12,'3 IM'!A:E,IF('3 IM'!I24="l/a",2,4),FALSE)</f>
        <v>#N/A</v>
      </c>
      <c r="P12" s="12" t="e">
        <f t="shared" si="2"/>
        <v>#N/A</v>
      </c>
    </row>
    <row r="13" spans="1:16" ht="15">
      <c r="A13" s="128">
        <v>1400</v>
      </c>
      <c r="B13" s="28">
        <v>648.4</v>
      </c>
      <c r="C13" s="28">
        <v>7.8</v>
      </c>
      <c r="D13" s="28">
        <v>0</v>
      </c>
      <c r="E13" s="28">
        <v>0</v>
      </c>
      <c r="F13" s="7" t="str">
        <f>IF('3 IM'!G25&gt;3600,"Yes",IF('3 IM'!G25&lt;800,"Yes","No"))</f>
        <v>Yes</v>
      </c>
      <c r="G13" s="45" t="str">
        <f>IF('3 IM'!G25&gt;3600,"Yes",IF('3 IM'!G25&lt;400,"Yes",IF('3 IM'!G25&gt;900,IF('3 IM'!G25&lt;2400,"Yes","No"),"No")))</f>
        <v>Yes</v>
      </c>
      <c r="H13" s="45">
        <f>_xlfn.FLOOR.MATH('3 IM'!G25,100)</f>
        <v>0</v>
      </c>
      <c r="I13" s="46">
        <f t="shared" si="0"/>
        <v>100</v>
      </c>
      <c r="J13" s="45">
        <f>('3 IM'!G25-H13)/100</f>
        <v>0</v>
      </c>
      <c r="K13" s="45" t="e">
        <f>VLOOKUP(H13,'3 IM'!A:E,IF('3 IM'!I25="L/A",3,5),FALSE)</f>
        <v>#N/A</v>
      </c>
      <c r="L13" s="45" t="e">
        <f>VLOOKUP(I13,'3 IM'!A:E,IF('3 IM'!I25="L/a",3,5),FALSE)</f>
        <v>#N/A</v>
      </c>
      <c r="M13" s="78" t="e">
        <f t="shared" si="1"/>
        <v>#N/A</v>
      </c>
      <c r="N13" s="45" t="e">
        <f>VLOOKUP(H13,'3 IM'!A:E,IF('3 IM'!I25="L/a",2,4),FALSE)</f>
        <v>#N/A</v>
      </c>
      <c r="O13" s="45" t="e">
        <f>VLOOKUP(I13,'3 IM'!A:E,IF('3 IM'!I25="l/a",2,4),FALSE)</f>
        <v>#N/A</v>
      </c>
      <c r="P13" s="12" t="e">
        <f t="shared" si="2"/>
        <v>#N/A</v>
      </c>
    </row>
    <row r="14" spans="1:16" ht="15.75" thickBot="1">
      <c r="A14" s="130">
        <v>1500</v>
      </c>
      <c r="B14" s="29">
        <v>631.5</v>
      </c>
      <c r="C14" s="29">
        <v>8.3000000000000007</v>
      </c>
      <c r="D14" s="29">
        <v>0</v>
      </c>
      <c r="E14" s="29">
        <v>0</v>
      </c>
    </row>
    <row r="15" spans="1:16" ht="15">
      <c r="A15" s="128">
        <v>1600</v>
      </c>
      <c r="B15" s="28">
        <v>617.9</v>
      </c>
      <c r="C15" s="28">
        <v>8.8000000000000007</v>
      </c>
      <c r="D15" s="28">
        <v>0</v>
      </c>
      <c r="E15" s="28">
        <v>0</v>
      </c>
      <c r="F15" s="96" t="s">
        <v>12</v>
      </c>
      <c r="G15" s="94" t="s">
        <v>38</v>
      </c>
      <c r="H15" s="96" t="s">
        <v>39</v>
      </c>
      <c r="I15" s="95" t="s">
        <v>22</v>
      </c>
    </row>
    <row r="16" spans="1:16" ht="15">
      <c r="A16" s="128">
        <v>1700</v>
      </c>
      <c r="B16" s="28">
        <v>607</v>
      </c>
      <c r="C16" s="28">
        <v>9.3000000000000007</v>
      </c>
      <c r="D16" s="28">
        <v>0</v>
      </c>
      <c r="E16" s="28">
        <v>0</v>
      </c>
      <c r="F16" s="97">
        <v>1</v>
      </c>
      <c r="G16" s="110">
        <f>'3 HE'!K19</f>
        <v>0</v>
      </c>
      <c r="H16" s="110">
        <f>INPUT!C5</f>
        <v>0</v>
      </c>
      <c r="I16" s="111" t="str">
        <f>INPUT!D5</f>
        <v>L/A</v>
      </c>
    </row>
    <row r="17" spans="1:9" ht="15">
      <c r="A17" s="128">
        <v>1800</v>
      </c>
      <c r="B17" s="28">
        <v>598.6</v>
      </c>
      <c r="C17" s="28">
        <v>9.8000000000000007</v>
      </c>
      <c r="D17" s="28">
        <v>0</v>
      </c>
      <c r="E17" s="28">
        <v>0</v>
      </c>
      <c r="F17" s="97">
        <v>2</v>
      </c>
      <c r="G17" s="110">
        <f>'3 HE'!K20</f>
        <v>0</v>
      </c>
      <c r="H17" s="110">
        <f>INPUT!C6</f>
        <v>0</v>
      </c>
      <c r="I17" s="111" t="str">
        <f>'1 HE'!N3</f>
        <v>L/A</v>
      </c>
    </row>
    <row r="18" spans="1:9" ht="15">
      <c r="A18" s="128">
        <v>1900</v>
      </c>
      <c r="B18" s="28">
        <v>592.4</v>
      </c>
      <c r="C18" s="28">
        <v>10.4</v>
      </c>
      <c r="D18" s="28">
        <v>0</v>
      </c>
      <c r="E18" s="28">
        <v>0</v>
      </c>
      <c r="F18" s="97">
        <v>3</v>
      </c>
      <c r="G18" s="110">
        <f>'3 HE'!K21</f>
        <v>0</v>
      </c>
      <c r="H18" s="110">
        <f>INPUT!C7</f>
        <v>0</v>
      </c>
      <c r="I18" s="111" t="str">
        <f>'1 HE'!N4</f>
        <v>L/A</v>
      </c>
    </row>
    <row r="19" spans="1:9" ht="15">
      <c r="A19" s="130">
        <v>2000</v>
      </c>
      <c r="B19" s="29">
        <v>588.20000000000005</v>
      </c>
      <c r="C19" s="29">
        <v>10.9</v>
      </c>
      <c r="D19" s="29">
        <v>0</v>
      </c>
      <c r="E19" s="29">
        <v>0</v>
      </c>
      <c r="F19" s="97">
        <v>4</v>
      </c>
      <c r="G19" s="110">
        <f>'3 HE'!K22</f>
        <v>0</v>
      </c>
      <c r="H19" s="110">
        <f>INPUT!C8</f>
        <v>0</v>
      </c>
      <c r="I19" s="111" t="str">
        <f>'1 HE'!N5</f>
        <v>L/A</v>
      </c>
    </row>
    <row r="20" spans="1:9" ht="15">
      <c r="A20" s="128">
        <v>2100</v>
      </c>
      <c r="B20" s="28">
        <v>585.9</v>
      </c>
      <c r="C20" s="28">
        <v>11.5</v>
      </c>
      <c r="D20" s="28">
        <v>0</v>
      </c>
      <c r="E20" s="28">
        <v>0</v>
      </c>
      <c r="F20" s="97">
        <v>5</v>
      </c>
      <c r="G20" s="110">
        <f>'3 HE'!K23</f>
        <v>0</v>
      </c>
      <c r="H20" s="110">
        <f>INPUT!C9</f>
        <v>0</v>
      </c>
      <c r="I20" s="111" t="str">
        <f>'1 HE'!N6</f>
        <v>L/A</v>
      </c>
    </row>
    <row r="21" spans="1:9" ht="15">
      <c r="A21" s="128">
        <v>2200</v>
      </c>
      <c r="B21" s="28">
        <v>585.20000000000005</v>
      </c>
      <c r="C21" s="28">
        <v>12.1</v>
      </c>
      <c r="D21" s="28">
        <v>0</v>
      </c>
      <c r="E21" s="28">
        <v>0</v>
      </c>
      <c r="F21" s="97">
        <v>6</v>
      </c>
      <c r="G21" s="110">
        <f>'3 HE'!K24</f>
        <v>0</v>
      </c>
      <c r="H21" s="110">
        <f>INPUT!C10</f>
        <v>0</v>
      </c>
      <c r="I21" s="111" t="str">
        <f>'1 HE'!N7</f>
        <v>L/A</v>
      </c>
    </row>
    <row r="22" spans="1:9" ht="15">
      <c r="A22" s="128">
        <v>2300</v>
      </c>
      <c r="B22" s="28">
        <v>586.20000000000005</v>
      </c>
      <c r="C22" s="28">
        <v>12.7</v>
      </c>
      <c r="D22" s="28">
        <v>0</v>
      </c>
      <c r="E22" s="28">
        <v>0</v>
      </c>
      <c r="F22" s="97">
        <v>7</v>
      </c>
      <c r="G22" s="110">
        <f>'3 HE'!K25</f>
        <v>0</v>
      </c>
      <c r="H22" s="110">
        <f>INPUT!C11</f>
        <v>0</v>
      </c>
      <c r="I22" s="111" t="str">
        <f>'1 HE'!N8</f>
        <v>L/A</v>
      </c>
    </row>
    <row r="23" spans="1:9" ht="15">
      <c r="A23" s="128">
        <v>2400</v>
      </c>
      <c r="B23" s="28">
        <v>588.70000000000005</v>
      </c>
      <c r="C23" s="28">
        <v>13.3</v>
      </c>
      <c r="D23" s="28">
        <v>1235.8</v>
      </c>
      <c r="E23" s="28">
        <v>38</v>
      </c>
      <c r="F23" s="97">
        <v>8</v>
      </c>
      <c r="G23" s="110">
        <f>'3 HE'!K26</f>
        <v>0</v>
      </c>
      <c r="H23" s="110">
        <f>INPUT!C12</f>
        <v>0</v>
      </c>
      <c r="I23" s="111" t="str">
        <f>'1 HE'!N9</f>
        <v>L/A</v>
      </c>
    </row>
    <row r="24" spans="1:9" ht="15">
      <c r="A24" s="130">
        <v>2500</v>
      </c>
      <c r="B24" s="29">
        <v>592.70000000000005</v>
      </c>
      <c r="C24" s="29">
        <v>14</v>
      </c>
      <c r="D24" s="29">
        <v>1223.0999999999999</v>
      </c>
      <c r="E24" s="29">
        <v>37.799999999999997</v>
      </c>
      <c r="F24" s="97">
        <v>9</v>
      </c>
      <c r="G24" s="110">
        <f>'3 HE'!K27</f>
        <v>0</v>
      </c>
      <c r="H24" s="110">
        <f>INPUT!C13</f>
        <v>0</v>
      </c>
      <c r="I24" s="111" t="str">
        <f>'1 HE'!N10</f>
        <v>L/A</v>
      </c>
    </row>
    <row r="25" spans="1:9" ht="15.75" thickBot="1">
      <c r="A25" s="128">
        <v>2600</v>
      </c>
      <c r="B25" s="28">
        <v>598.20000000000005</v>
      </c>
      <c r="C25" s="28">
        <v>14.7</v>
      </c>
      <c r="D25" s="28">
        <v>1209.2</v>
      </c>
      <c r="E25" s="28">
        <v>37.5</v>
      </c>
      <c r="F25" s="98">
        <v>10</v>
      </c>
      <c r="G25" s="110">
        <f>'3 HE'!K28</f>
        <v>0</v>
      </c>
      <c r="H25" s="110">
        <f>INPUT!C14</f>
        <v>0</v>
      </c>
      <c r="I25" s="111" t="str">
        <f>'1 HE'!N11</f>
        <v>L/A</v>
      </c>
    </row>
    <row r="26" spans="1:9" ht="15">
      <c r="A26" s="128">
        <v>2700</v>
      </c>
      <c r="B26" s="28">
        <v>605.1</v>
      </c>
      <c r="C26" s="28">
        <v>15.4</v>
      </c>
      <c r="D26" s="28">
        <v>1194.0999999999999</v>
      </c>
      <c r="E26" s="28">
        <v>37.1</v>
      </c>
    </row>
    <row r="27" spans="1:9" ht="15">
      <c r="A27" s="128">
        <v>2800</v>
      </c>
      <c r="B27" s="28">
        <v>613.5</v>
      </c>
      <c r="C27" s="28">
        <v>16.100000000000001</v>
      </c>
      <c r="D27" s="28">
        <v>1177.9000000000001</v>
      </c>
      <c r="E27" s="28">
        <v>36.799999999999997</v>
      </c>
    </row>
    <row r="28" spans="1:9" ht="15">
      <c r="A28" s="128">
        <v>2900</v>
      </c>
      <c r="B28" s="28">
        <v>623.5</v>
      </c>
      <c r="C28" s="28">
        <v>16.899999999999999</v>
      </c>
      <c r="D28" s="28">
        <v>1160.3</v>
      </c>
      <c r="E28" s="28">
        <v>36.4</v>
      </c>
    </row>
    <row r="29" spans="1:9" ht="15">
      <c r="A29" s="130">
        <v>3000</v>
      </c>
      <c r="B29" s="29">
        <v>635.20000000000005</v>
      </c>
      <c r="C29" s="29">
        <v>17.7</v>
      </c>
      <c r="D29" s="29">
        <v>1141.4000000000001</v>
      </c>
      <c r="E29" s="29">
        <v>36</v>
      </c>
    </row>
    <row r="30" spans="1:9" ht="15">
      <c r="A30" s="128">
        <v>3100</v>
      </c>
      <c r="B30" s="28">
        <v>648.9</v>
      </c>
      <c r="C30" s="28">
        <v>18.600000000000001</v>
      </c>
      <c r="D30" s="28">
        <v>1120.8</v>
      </c>
      <c r="E30" s="28">
        <v>35.5</v>
      </c>
    </row>
    <row r="31" spans="1:9" ht="15">
      <c r="A31" s="128">
        <v>3200</v>
      </c>
      <c r="B31" s="28">
        <v>664.7</v>
      </c>
      <c r="C31" s="28">
        <v>19.5</v>
      </c>
      <c r="D31" s="28">
        <v>1098.3</v>
      </c>
      <c r="E31" s="28">
        <v>35</v>
      </c>
    </row>
    <row r="32" spans="1:9" ht="15">
      <c r="A32" s="128">
        <v>3300</v>
      </c>
      <c r="B32" s="28">
        <v>683.4</v>
      </c>
      <c r="C32" s="28">
        <v>20.5</v>
      </c>
      <c r="D32" s="28">
        <v>1073.3</v>
      </c>
      <c r="E32" s="28">
        <v>34.299999999999997</v>
      </c>
    </row>
    <row r="33" spans="1:5" ht="15">
      <c r="A33" s="128">
        <v>3400</v>
      </c>
      <c r="B33" s="28">
        <v>705.7</v>
      </c>
      <c r="C33" s="28">
        <v>21.6</v>
      </c>
      <c r="D33" s="28">
        <v>1044.9000000000001</v>
      </c>
      <c r="E33" s="28">
        <v>33.6</v>
      </c>
    </row>
    <row r="34" spans="1:5" ht="15">
      <c r="A34" s="130">
        <v>3500</v>
      </c>
      <c r="B34" s="29">
        <v>733.6</v>
      </c>
      <c r="C34" s="29">
        <v>22.9</v>
      </c>
      <c r="D34" s="29">
        <v>1011.2</v>
      </c>
      <c r="E34" s="29">
        <v>32.700000000000003</v>
      </c>
    </row>
    <row r="35" spans="1:5" ht="15">
      <c r="A35" s="129">
        <v>3600</v>
      </c>
      <c r="B35" s="30">
        <v>771.8</v>
      </c>
      <c r="C35" s="30">
        <v>24.6</v>
      </c>
      <c r="D35" s="30">
        <v>967.4</v>
      </c>
      <c r="E35" s="30">
        <v>31.4</v>
      </c>
    </row>
    <row r="36" spans="1:5" ht="15">
      <c r="A36" s="152">
        <v>3700</v>
      </c>
      <c r="B36" s="53">
        <v>0</v>
      </c>
      <c r="C36" s="53">
        <v>0</v>
      </c>
      <c r="D36" s="53">
        <v>0</v>
      </c>
      <c r="E36" s="53">
        <v>0</v>
      </c>
    </row>
  </sheetData>
  <sheetProtection selectLockedCells="1" selectUnlockedCells="1"/>
  <mergeCells count="3">
    <mergeCell ref="A1:E1"/>
    <mergeCell ref="F2:G2"/>
    <mergeCell ref="H2:P2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I16:I25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16" workbookViewId="0">
      <selection sqref="A1:E1"/>
    </sheetView>
  </sheetViews>
  <sheetFormatPr defaultRowHeight="14.25"/>
  <cols>
    <col min="2" max="2" width="14.75" bestFit="1" customWidth="1"/>
    <col min="4" max="4" width="15" bestFit="1" customWidth="1"/>
    <col min="7" max="7" width="10.875" bestFit="1" customWidth="1"/>
    <col min="8" max="8" width="12.25" bestFit="1" customWidth="1"/>
    <col min="9" max="9" width="12.75" bestFit="1" customWidth="1"/>
    <col min="10" max="10" width="14" bestFit="1" customWidth="1"/>
    <col min="11" max="11" width="9.5" bestFit="1" customWidth="1"/>
  </cols>
  <sheetData>
    <row r="1" spans="1:16" ht="26.25">
      <c r="A1" s="312" t="s">
        <v>48</v>
      </c>
      <c r="B1" s="312"/>
      <c r="C1" s="312"/>
      <c r="D1" s="312"/>
      <c r="E1" s="312"/>
    </row>
    <row r="2" spans="1:16" ht="15">
      <c r="A2" s="16" t="s">
        <v>0</v>
      </c>
      <c r="B2" s="16" t="s">
        <v>6</v>
      </c>
      <c r="C2" s="16" t="s">
        <v>1</v>
      </c>
      <c r="D2" s="16" t="s">
        <v>7</v>
      </c>
      <c r="E2" s="16" t="s">
        <v>1</v>
      </c>
      <c r="F2" s="307" t="s">
        <v>21</v>
      </c>
      <c r="G2" s="307"/>
      <c r="H2" s="314" t="s">
        <v>91</v>
      </c>
      <c r="I2" s="315"/>
      <c r="J2" s="315"/>
      <c r="K2" s="315"/>
      <c r="L2" s="315"/>
      <c r="M2" s="315"/>
      <c r="N2" s="315"/>
      <c r="O2" s="315"/>
      <c r="P2" s="315"/>
    </row>
    <row r="3" spans="1:16" ht="15">
      <c r="A3" s="156">
        <v>300</v>
      </c>
      <c r="B3" s="157">
        <v>0</v>
      </c>
      <c r="C3" s="157">
        <v>0</v>
      </c>
      <c r="D3" s="157">
        <v>1234.5</v>
      </c>
      <c r="E3" s="157">
        <v>3.2</v>
      </c>
      <c r="F3" s="132" t="s">
        <v>23</v>
      </c>
      <c r="G3" s="132" t="s">
        <v>24</v>
      </c>
      <c r="H3" s="44" t="s">
        <v>17</v>
      </c>
      <c r="I3" s="44" t="s">
        <v>18</v>
      </c>
      <c r="J3" s="44" t="s">
        <v>16</v>
      </c>
      <c r="K3" s="44" t="s">
        <v>26</v>
      </c>
      <c r="L3" s="44" t="s">
        <v>27</v>
      </c>
      <c r="M3" s="77" t="s">
        <v>31</v>
      </c>
      <c r="N3" s="44" t="s">
        <v>19</v>
      </c>
      <c r="O3" s="44" t="s">
        <v>20</v>
      </c>
      <c r="P3" s="11" t="s">
        <v>25</v>
      </c>
    </row>
    <row r="4" spans="1:16" ht="15">
      <c r="A4" s="128">
        <v>400</v>
      </c>
      <c r="B4" s="28">
        <v>0</v>
      </c>
      <c r="C4" s="28">
        <v>0</v>
      </c>
      <c r="D4" s="28">
        <v>1130.5</v>
      </c>
      <c r="E4" s="28">
        <v>3.4</v>
      </c>
      <c r="F4" s="7" t="str">
        <f>IF(G16&gt;4700,"Yes",IF(G16&lt;800,"Yes","No"))</f>
        <v>Yes</v>
      </c>
      <c r="G4" s="45" t="str">
        <f>IF(G16&gt;4700,"Yes",IF(G16&lt;300,"Yes",IF(G16&gt;900,IF(G16&lt;3000,"Yes","No"),"No")))</f>
        <v>Yes</v>
      </c>
      <c r="H4" s="45">
        <f>_xlfn.FLOOR.MATH(G16,100)</f>
        <v>0</v>
      </c>
      <c r="I4" s="46">
        <f t="shared" ref="I4:I13" si="0">H4+100</f>
        <v>100</v>
      </c>
      <c r="J4" s="45">
        <f>(G16-H4)/100</f>
        <v>0</v>
      </c>
      <c r="K4" s="45" t="e">
        <f>VLOOKUP(H4,A:E,IF(I16="L/A",3,5),FALSE)</f>
        <v>#N/A</v>
      </c>
      <c r="L4" s="45" t="e">
        <f>VLOOKUP(H4,A:E,IF(I16="L/A",3,5),FALSE)</f>
        <v>#N/A</v>
      </c>
      <c r="M4" s="78" t="e">
        <f>((L4-K4)*J4)+K4</f>
        <v>#N/A</v>
      </c>
      <c r="N4" s="45" t="e">
        <f>VLOOKUP(H4,A:E,IF(I16="L/a",2,4),FALSE)</f>
        <v>#N/A</v>
      </c>
      <c r="O4" s="45" t="e">
        <f>VLOOKUP(I4,A:E,IF(I16="L/a",2,4),FALSE)</f>
        <v>#N/A</v>
      </c>
      <c r="P4" s="12" t="e">
        <f>((O4-N4)*J4)+N4</f>
        <v>#N/A</v>
      </c>
    </row>
    <row r="5" spans="1:16" ht="15">
      <c r="A5" s="130">
        <v>500</v>
      </c>
      <c r="B5" s="29">
        <v>0</v>
      </c>
      <c r="C5" s="29">
        <v>0</v>
      </c>
      <c r="D5" s="29">
        <v>1038.0999999999999</v>
      </c>
      <c r="E5" s="29">
        <v>3.6</v>
      </c>
      <c r="F5" s="7" t="str">
        <f t="shared" ref="F5:F13" si="1">IF(G17&gt;4700,"Yes",IF(G17&lt;800,"Yes","No"))</f>
        <v>Yes</v>
      </c>
      <c r="G5" s="45" t="str">
        <f t="shared" ref="G5:G13" si="2">IF(G17&gt;4700,"Yes",IF(G17&lt;300,"Yes",IF(G17&gt;900,IF(G17&lt;3000,"Yes","No"),"No")))</f>
        <v>Yes</v>
      </c>
      <c r="H5" s="45">
        <f t="shared" ref="H5:H13" si="3">_xlfn.FLOOR.MATH(G17,100)</f>
        <v>0</v>
      </c>
      <c r="I5" s="46">
        <f t="shared" si="0"/>
        <v>100</v>
      </c>
      <c r="J5" s="45">
        <f t="shared" ref="J5:J13" si="4">(G17-H5)/100</f>
        <v>0</v>
      </c>
      <c r="K5" s="45" t="e">
        <f t="shared" ref="K5:K13" si="5">VLOOKUP(H5,A:E,IF(I17="L/A",3,5),FALSE)</f>
        <v>#N/A</v>
      </c>
      <c r="L5" s="45" t="e">
        <f t="shared" ref="L5:L13" si="6">VLOOKUP(H5,A:E,IF(I17="L/A",3,5),FALSE)</f>
        <v>#N/A</v>
      </c>
      <c r="M5" s="78" t="e">
        <f t="shared" ref="M5:M13" si="7">((L5-K5)*J5)+K5</f>
        <v>#N/A</v>
      </c>
      <c r="N5" s="45" t="e">
        <f t="shared" ref="N5:N13" si="8">VLOOKUP(H5,A:E,IF(I17="L/a",2,4),FALSE)</f>
        <v>#N/A</v>
      </c>
      <c r="O5" s="45" t="e">
        <f t="shared" ref="O5:O13" si="9">VLOOKUP(I5,A:E,IF(I17="L/a",2,4),FALSE)</f>
        <v>#N/A</v>
      </c>
      <c r="P5" s="12" t="e">
        <f t="shared" ref="P5:P13" si="10">(((O5-N5)*J5)+N5)</f>
        <v>#N/A</v>
      </c>
    </row>
    <row r="6" spans="1:16" ht="15">
      <c r="A6" s="128">
        <v>600</v>
      </c>
      <c r="B6" s="28">
        <v>0</v>
      </c>
      <c r="C6" s="28">
        <v>0</v>
      </c>
      <c r="D6" s="28">
        <v>957.4</v>
      </c>
      <c r="E6" s="28">
        <v>3.8</v>
      </c>
      <c r="F6" s="7" t="str">
        <f t="shared" si="1"/>
        <v>Yes</v>
      </c>
      <c r="G6" s="45" t="str">
        <f t="shared" si="2"/>
        <v>Yes</v>
      </c>
      <c r="H6" s="45">
        <f t="shared" si="3"/>
        <v>0</v>
      </c>
      <c r="I6" s="46">
        <f t="shared" si="0"/>
        <v>100</v>
      </c>
      <c r="J6" s="45">
        <f t="shared" si="4"/>
        <v>0</v>
      </c>
      <c r="K6" s="45" t="e">
        <f t="shared" si="5"/>
        <v>#N/A</v>
      </c>
      <c r="L6" s="45" t="e">
        <f t="shared" si="6"/>
        <v>#N/A</v>
      </c>
      <c r="M6" s="78" t="e">
        <f t="shared" si="7"/>
        <v>#N/A</v>
      </c>
      <c r="N6" s="45" t="e">
        <f t="shared" si="8"/>
        <v>#N/A</v>
      </c>
      <c r="O6" s="45" t="e">
        <f t="shared" si="9"/>
        <v>#N/A</v>
      </c>
      <c r="P6" s="12" t="e">
        <f t="shared" si="10"/>
        <v>#N/A</v>
      </c>
    </row>
    <row r="7" spans="1:16" ht="15">
      <c r="A7" s="128">
        <v>700</v>
      </c>
      <c r="B7" s="28">
        <v>0</v>
      </c>
      <c r="C7" s="28">
        <v>0</v>
      </c>
      <c r="D7" s="28">
        <v>887.4</v>
      </c>
      <c r="E7" s="28">
        <v>4.0999999999999996</v>
      </c>
      <c r="F7" s="7" t="str">
        <f t="shared" si="1"/>
        <v>Yes</v>
      </c>
      <c r="G7" s="45" t="str">
        <f t="shared" si="2"/>
        <v>Yes</v>
      </c>
      <c r="H7" s="45">
        <f t="shared" si="3"/>
        <v>0</v>
      </c>
      <c r="I7" s="46">
        <f t="shared" si="0"/>
        <v>100</v>
      </c>
      <c r="J7" s="45">
        <f t="shared" si="4"/>
        <v>0</v>
      </c>
      <c r="K7" s="45" t="e">
        <f t="shared" si="5"/>
        <v>#N/A</v>
      </c>
      <c r="L7" s="45" t="e">
        <f t="shared" si="6"/>
        <v>#N/A</v>
      </c>
      <c r="M7" s="78" t="e">
        <f t="shared" si="7"/>
        <v>#N/A</v>
      </c>
      <c r="N7" s="45" t="e">
        <f t="shared" si="8"/>
        <v>#N/A</v>
      </c>
      <c r="O7" s="45" t="e">
        <f t="shared" si="9"/>
        <v>#N/A</v>
      </c>
      <c r="P7" s="12" t="e">
        <f t="shared" si="10"/>
        <v>#N/A</v>
      </c>
    </row>
    <row r="8" spans="1:16" ht="15">
      <c r="A8" s="128">
        <v>800</v>
      </c>
      <c r="B8" s="28">
        <v>827.3</v>
      </c>
      <c r="C8" s="28">
        <v>4.4000000000000004</v>
      </c>
      <c r="D8" s="28">
        <v>827.3</v>
      </c>
      <c r="E8" s="28">
        <v>4.4000000000000004</v>
      </c>
      <c r="F8" s="7" t="str">
        <f t="shared" si="1"/>
        <v>Yes</v>
      </c>
      <c r="G8" s="45" t="str">
        <f t="shared" si="2"/>
        <v>Yes</v>
      </c>
      <c r="H8" s="45">
        <f t="shared" si="3"/>
        <v>0</v>
      </c>
      <c r="I8" s="46">
        <f t="shared" si="0"/>
        <v>100</v>
      </c>
      <c r="J8" s="45">
        <f t="shared" si="4"/>
        <v>0</v>
      </c>
      <c r="K8" s="45" t="e">
        <f t="shared" si="5"/>
        <v>#N/A</v>
      </c>
      <c r="L8" s="45" t="e">
        <f t="shared" si="6"/>
        <v>#N/A</v>
      </c>
      <c r="M8" s="78" t="e">
        <f t="shared" si="7"/>
        <v>#N/A</v>
      </c>
      <c r="N8" s="45" t="e">
        <f t="shared" si="8"/>
        <v>#N/A</v>
      </c>
      <c r="O8" s="45" t="e">
        <f t="shared" si="9"/>
        <v>#N/A</v>
      </c>
      <c r="P8" s="12" t="e">
        <f t="shared" si="10"/>
        <v>#N/A</v>
      </c>
    </row>
    <row r="9" spans="1:16" ht="15">
      <c r="A9" s="128">
        <v>900</v>
      </c>
      <c r="B9" s="133">
        <v>775.6</v>
      </c>
      <c r="C9" s="28">
        <v>4.7</v>
      </c>
      <c r="D9" s="28">
        <v>445.6</v>
      </c>
      <c r="E9" s="28">
        <v>4.7</v>
      </c>
      <c r="F9" s="7" t="str">
        <f t="shared" si="1"/>
        <v>Yes</v>
      </c>
      <c r="G9" s="45" t="str">
        <f t="shared" si="2"/>
        <v>Yes</v>
      </c>
      <c r="H9" s="45">
        <f t="shared" si="3"/>
        <v>0</v>
      </c>
      <c r="I9" s="46">
        <f t="shared" si="0"/>
        <v>100</v>
      </c>
      <c r="J9" s="45">
        <f t="shared" si="4"/>
        <v>0</v>
      </c>
      <c r="K9" s="45" t="e">
        <f t="shared" si="5"/>
        <v>#N/A</v>
      </c>
      <c r="L9" s="45" t="e">
        <f t="shared" si="6"/>
        <v>#N/A</v>
      </c>
      <c r="M9" s="78" t="e">
        <f t="shared" si="7"/>
        <v>#N/A</v>
      </c>
      <c r="N9" s="45" t="e">
        <f t="shared" si="8"/>
        <v>#N/A</v>
      </c>
      <c r="O9" s="45" t="e">
        <f t="shared" si="9"/>
        <v>#N/A</v>
      </c>
      <c r="P9" s="12" t="e">
        <f t="shared" si="10"/>
        <v>#N/A</v>
      </c>
    </row>
    <row r="10" spans="1:16" ht="15">
      <c r="A10" s="130">
        <v>1000</v>
      </c>
      <c r="B10" s="29">
        <v>731.4</v>
      </c>
      <c r="C10" s="29">
        <v>5.0999999999999996</v>
      </c>
      <c r="D10" s="29">
        <v>0</v>
      </c>
      <c r="E10" s="29">
        <v>0</v>
      </c>
      <c r="F10" s="7" t="str">
        <f t="shared" si="1"/>
        <v>Yes</v>
      </c>
      <c r="G10" s="45" t="str">
        <f t="shared" si="2"/>
        <v>Yes</v>
      </c>
      <c r="H10" s="45">
        <f t="shared" si="3"/>
        <v>0</v>
      </c>
      <c r="I10" s="46">
        <f t="shared" si="0"/>
        <v>100</v>
      </c>
      <c r="J10" s="45">
        <f t="shared" si="4"/>
        <v>0</v>
      </c>
      <c r="K10" s="45" t="e">
        <f t="shared" si="5"/>
        <v>#N/A</v>
      </c>
      <c r="L10" s="45" t="e">
        <f t="shared" si="6"/>
        <v>#N/A</v>
      </c>
      <c r="M10" s="78" t="e">
        <f t="shared" si="7"/>
        <v>#N/A</v>
      </c>
      <c r="N10" s="45" t="e">
        <f t="shared" si="8"/>
        <v>#N/A</v>
      </c>
      <c r="O10" s="45" t="e">
        <f t="shared" si="9"/>
        <v>#N/A</v>
      </c>
      <c r="P10" s="12" t="e">
        <f t="shared" si="10"/>
        <v>#N/A</v>
      </c>
    </row>
    <row r="11" spans="1:16" ht="15">
      <c r="A11" s="128">
        <v>1100</v>
      </c>
      <c r="B11" s="28">
        <v>693.6</v>
      </c>
      <c r="C11" s="28">
        <v>5.4</v>
      </c>
      <c r="D11" s="28">
        <v>0</v>
      </c>
      <c r="E11" s="28">
        <v>0</v>
      </c>
      <c r="F11" s="7" t="str">
        <f t="shared" si="1"/>
        <v>Yes</v>
      </c>
      <c r="G11" s="45" t="str">
        <f t="shared" si="2"/>
        <v>Yes</v>
      </c>
      <c r="H11" s="45">
        <f t="shared" si="3"/>
        <v>0</v>
      </c>
      <c r="I11" s="46">
        <f t="shared" si="0"/>
        <v>100</v>
      </c>
      <c r="J11" s="45">
        <f t="shared" si="4"/>
        <v>0</v>
      </c>
      <c r="K11" s="45" t="e">
        <f t="shared" si="5"/>
        <v>#N/A</v>
      </c>
      <c r="L11" s="45" t="e">
        <f t="shared" si="6"/>
        <v>#N/A</v>
      </c>
      <c r="M11" s="78" t="e">
        <f t="shared" si="7"/>
        <v>#N/A</v>
      </c>
      <c r="N11" s="45" t="e">
        <f t="shared" si="8"/>
        <v>#N/A</v>
      </c>
      <c r="O11" s="45" t="e">
        <f t="shared" si="9"/>
        <v>#N/A</v>
      </c>
      <c r="P11" s="12" t="e">
        <f t="shared" si="10"/>
        <v>#N/A</v>
      </c>
    </row>
    <row r="12" spans="1:16" ht="15">
      <c r="A12" s="128">
        <v>1200</v>
      </c>
      <c r="B12" s="28">
        <v>661.2</v>
      </c>
      <c r="C12" s="28">
        <v>5.8</v>
      </c>
      <c r="D12" s="28">
        <v>0</v>
      </c>
      <c r="E12" s="28">
        <v>0</v>
      </c>
      <c r="F12" s="7" t="str">
        <f t="shared" si="1"/>
        <v>Yes</v>
      </c>
      <c r="G12" s="45" t="str">
        <f t="shared" si="2"/>
        <v>Yes</v>
      </c>
      <c r="H12" s="45">
        <f t="shared" si="3"/>
        <v>0</v>
      </c>
      <c r="I12" s="46">
        <f t="shared" si="0"/>
        <v>100</v>
      </c>
      <c r="J12" s="45">
        <f t="shared" si="4"/>
        <v>0</v>
      </c>
      <c r="K12" s="45" t="e">
        <f t="shared" si="5"/>
        <v>#N/A</v>
      </c>
      <c r="L12" s="45" t="e">
        <f t="shared" si="6"/>
        <v>#N/A</v>
      </c>
      <c r="M12" s="78" t="e">
        <f t="shared" si="7"/>
        <v>#N/A</v>
      </c>
      <c r="N12" s="45" t="e">
        <f t="shared" si="8"/>
        <v>#N/A</v>
      </c>
      <c r="O12" s="45" t="e">
        <f t="shared" si="9"/>
        <v>#N/A</v>
      </c>
      <c r="P12" s="12" t="e">
        <f t="shared" si="10"/>
        <v>#N/A</v>
      </c>
    </row>
    <row r="13" spans="1:16" ht="15">
      <c r="A13" s="128">
        <v>1300</v>
      </c>
      <c r="B13" s="28">
        <v>633.5</v>
      </c>
      <c r="C13" s="28">
        <v>6.2</v>
      </c>
      <c r="D13" s="28">
        <v>0</v>
      </c>
      <c r="E13" s="28">
        <v>0</v>
      </c>
      <c r="F13" s="7" t="str">
        <f t="shared" si="1"/>
        <v>Yes</v>
      </c>
      <c r="G13" s="45" t="str">
        <f t="shared" si="2"/>
        <v>Yes</v>
      </c>
      <c r="H13" s="45">
        <f t="shared" si="3"/>
        <v>0</v>
      </c>
      <c r="I13" s="46">
        <f t="shared" si="0"/>
        <v>100</v>
      </c>
      <c r="J13" s="45">
        <f t="shared" si="4"/>
        <v>0</v>
      </c>
      <c r="K13" s="45" t="e">
        <f t="shared" si="5"/>
        <v>#N/A</v>
      </c>
      <c r="L13" s="45" t="e">
        <f t="shared" si="6"/>
        <v>#N/A</v>
      </c>
      <c r="M13" s="78" t="e">
        <f t="shared" si="7"/>
        <v>#N/A</v>
      </c>
      <c r="N13" s="45" t="e">
        <f t="shared" si="8"/>
        <v>#N/A</v>
      </c>
      <c r="O13" s="45" t="e">
        <f t="shared" si="9"/>
        <v>#N/A</v>
      </c>
      <c r="P13" s="12" t="e">
        <f t="shared" si="10"/>
        <v>#N/A</v>
      </c>
    </row>
    <row r="14" spans="1:16" ht="15.75" thickBot="1">
      <c r="A14" s="128">
        <v>1400</v>
      </c>
      <c r="B14" s="28">
        <v>609.9</v>
      </c>
      <c r="C14" s="28">
        <v>6.6</v>
      </c>
      <c r="D14" s="28">
        <v>0</v>
      </c>
      <c r="E14" s="28">
        <v>0</v>
      </c>
    </row>
    <row r="15" spans="1:16" ht="15">
      <c r="A15" s="130">
        <v>1500</v>
      </c>
      <c r="B15" s="29">
        <v>589.79999999999995</v>
      </c>
      <c r="C15" s="29">
        <v>7</v>
      </c>
      <c r="D15" s="29">
        <v>0</v>
      </c>
      <c r="E15" s="29">
        <v>0</v>
      </c>
      <c r="F15" s="96" t="s">
        <v>12</v>
      </c>
      <c r="G15" s="94" t="s">
        <v>38</v>
      </c>
      <c r="H15" s="96" t="s">
        <v>39</v>
      </c>
      <c r="I15" s="95" t="s">
        <v>22</v>
      </c>
    </row>
    <row r="16" spans="1:16" ht="15">
      <c r="A16" s="128">
        <v>1600</v>
      </c>
      <c r="B16" s="28">
        <v>572.79999999999995</v>
      </c>
      <c r="C16" s="28">
        <v>7.4</v>
      </c>
      <c r="D16" s="28">
        <v>0</v>
      </c>
      <c r="E16" s="28">
        <v>0</v>
      </c>
      <c r="F16" s="97">
        <v>1</v>
      </c>
      <c r="G16" s="110">
        <f>'3 HE'!K19</f>
        <v>0</v>
      </c>
      <c r="H16" s="110">
        <f>INPUT!C5</f>
        <v>0</v>
      </c>
      <c r="I16" s="111" t="str">
        <f>INPUT!D5</f>
        <v>L/A</v>
      </c>
    </row>
    <row r="17" spans="1:9" ht="15">
      <c r="A17" s="128">
        <v>1700</v>
      </c>
      <c r="B17" s="28">
        <v>558.4</v>
      </c>
      <c r="C17" s="28">
        <v>7.9</v>
      </c>
      <c r="D17" s="28">
        <v>0</v>
      </c>
      <c r="E17" s="28">
        <v>0</v>
      </c>
      <c r="F17" s="97">
        <v>2</v>
      </c>
      <c r="G17" s="110">
        <f>'3 HE'!K20</f>
        <v>0</v>
      </c>
      <c r="H17" s="110">
        <f>INPUT!C6</f>
        <v>0</v>
      </c>
      <c r="I17" s="111" t="str">
        <f>'1 HE'!N3</f>
        <v>L/A</v>
      </c>
    </row>
    <row r="18" spans="1:9" ht="15">
      <c r="A18" s="128">
        <v>1800</v>
      </c>
      <c r="B18" s="28">
        <v>546.29999999999995</v>
      </c>
      <c r="C18" s="28">
        <v>8.3000000000000007</v>
      </c>
      <c r="D18" s="28">
        <v>0</v>
      </c>
      <c r="E18" s="28">
        <v>0</v>
      </c>
      <c r="F18" s="97">
        <v>3</v>
      </c>
      <c r="G18" s="110">
        <f>'3 HE'!K21</f>
        <v>0</v>
      </c>
      <c r="H18" s="110">
        <f>INPUT!C7</f>
        <v>0</v>
      </c>
      <c r="I18" s="111" t="str">
        <f>'1 HE'!N4</f>
        <v>L/A</v>
      </c>
    </row>
    <row r="19" spans="1:9" ht="15">
      <c r="A19" s="128">
        <v>1900</v>
      </c>
      <c r="B19" s="28">
        <v>536.29999999999995</v>
      </c>
      <c r="C19" s="28">
        <v>8.8000000000000007</v>
      </c>
      <c r="D19" s="28">
        <v>0</v>
      </c>
      <c r="E19" s="28">
        <v>0</v>
      </c>
      <c r="F19" s="97">
        <v>4</v>
      </c>
      <c r="G19" s="110">
        <f>'3 HE'!K22</f>
        <v>0</v>
      </c>
      <c r="H19" s="110">
        <f>INPUT!C8</f>
        <v>0</v>
      </c>
      <c r="I19" s="111" t="str">
        <f>'1 HE'!N5</f>
        <v>L/A</v>
      </c>
    </row>
    <row r="20" spans="1:9" ht="15">
      <c r="A20" s="130">
        <v>2000</v>
      </c>
      <c r="B20" s="29">
        <v>528.20000000000005</v>
      </c>
      <c r="C20" s="29">
        <v>9.1999999999999993</v>
      </c>
      <c r="D20" s="29">
        <v>0</v>
      </c>
      <c r="E20" s="29">
        <v>0</v>
      </c>
      <c r="F20" s="97">
        <v>5</v>
      </c>
      <c r="G20" s="110">
        <f>'3 HE'!K23</f>
        <v>0</v>
      </c>
      <c r="H20" s="110">
        <f>INPUT!C9</f>
        <v>0</v>
      </c>
      <c r="I20" s="111" t="str">
        <f>'1 HE'!N6</f>
        <v>L/A</v>
      </c>
    </row>
    <row r="21" spans="1:9" ht="15">
      <c r="A21" s="128">
        <v>2100</v>
      </c>
      <c r="B21" s="28">
        <v>521.70000000000005</v>
      </c>
      <c r="C21" s="28">
        <v>9.6999999999999993</v>
      </c>
      <c r="D21" s="28">
        <v>0</v>
      </c>
      <c r="E21" s="28">
        <v>0</v>
      </c>
      <c r="F21" s="97">
        <v>6</v>
      </c>
      <c r="G21" s="110">
        <f>'3 HE'!K24</f>
        <v>0</v>
      </c>
      <c r="H21" s="110">
        <f>INPUT!C10</f>
        <v>0</v>
      </c>
      <c r="I21" s="111" t="str">
        <f>'1 HE'!N7</f>
        <v>L/A</v>
      </c>
    </row>
    <row r="22" spans="1:9" ht="15">
      <c r="A22" s="128">
        <v>2200</v>
      </c>
      <c r="B22" s="28">
        <v>516.6</v>
      </c>
      <c r="C22" s="28">
        <v>10.199999999999999</v>
      </c>
      <c r="D22" s="28">
        <v>0</v>
      </c>
      <c r="E22" s="28">
        <v>0</v>
      </c>
      <c r="F22" s="97">
        <v>7</v>
      </c>
      <c r="G22" s="110">
        <f>'3 HE'!K25</f>
        <v>0</v>
      </c>
      <c r="H22" s="110">
        <f>INPUT!C11</f>
        <v>0</v>
      </c>
      <c r="I22" s="111" t="str">
        <f>'1 HE'!N8</f>
        <v>L/A</v>
      </c>
    </row>
    <row r="23" spans="1:9" ht="15">
      <c r="A23" s="128">
        <v>2300</v>
      </c>
      <c r="B23" s="28">
        <v>513</v>
      </c>
      <c r="C23" s="28">
        <v>10.6</v>
      </c>
      <c r="D23" s="28">
        <v>0</v>
      </c>
      <c r="E23" s="28">
        <v>0</v>
      </c>
      <c r="F23" s="97">
        <v>8</v>
      </c>
      <c r="G23" s="110">
        <f>'3 HE'!K26</f>
        <v>0</v>
      </c>
      <c r="H23" s="110">
        <f>INPUT!C12</f>
        <v>0</v>
      </c>
      <c r="I23" s="111" t="str">
        <f>'1 HE'!N9</f>
        <v>L/A</v>
      </c>
    </row>
    <row r="24" spans="1:9" ht="15">
      <c r="A24" s="128">
        <v>2400</v>
      </c>
      <c r="B24" s="28">
        <v>510.6</v>
      </c>
      <c r="C24" s="28">
        <v>11.1</v>
      </c>
      <c r="D24" s="28">
        <v>0</v>
      </c>
      <c r="E24" s="28">
        <v>0</v>
      </c>
      <c r="F24" s="97">
        <v>9</v>
      </c>
      <c r="G24" s="110">
        <f>'3 HE'!K27</f>
        <v>0</v>
      </c>
      <c r="H24" s="110">
        <f>INPUT!C13</f>
        <v>0</v>
      </c>
      <c r="I24" s="111" t="str">
        <f>'1 HE'!N10</f>
        <v>L/A</v>
      </c>
    </row>
    <row r="25" spans="1:9" ht="15.75" thickBot="1">
      <c r="A25" s="130">
        <v>2500</v>
      </c>
      <c r="B25" s="29">
        <v>509.3</v>
      </c>
      <c r="C25" s="29">
        <v>11.6</v>
      </c>
      <c r="D25" s="29">
        <v>0</v>
      </c>
      <c r="E25" s="29">
        <v>0</v>
      </c>
      <c r="F25" s="98">
        <v>10</v>
      </c>
      <c r="G25" s="110">
        <f>'3 HE'!K28</f>
        <v>0</v>
      </c>
      <c r="H25" s="110">
        <f>INPUT!C14</f>
        <v>0</v>
      </c>
      <c r="I25" s="111" t="str">
        <f>'1 HE'!N11</f>
        <v>L/A</v>
      </c>
    </row>
    <row r="26" spans="1:9" ht="15">
      <c r="A26" s="128">
        <v>2600</v>
      </c>
      <c r="B26" s="28">
        <v>509.1</v>
      </c>
      <c r="C26" s="28">
        <v>12.2</v>
      </c>
      <c r="D26" s="28">
        <v>0</v>
      </c>
      <c r="E26" s="28">
        <v>0</v>
      </c>
    </row>
    <row r="27" spans="1:9" ht="15">
      <c r="A27" s="128">
        <v>2700</v>
      </c>
      <c r="B27" s="28">
        <v>509.9</v>
      </c>
      <c r="C27" s="28">
        <v>12.7</v>
      </c>
      <c r="D27" s="28">
        <v>0</v>
      </c>
      <c r="E27" s="28">
        <v>0</v>
      </c>
    </row>
    <row r="28" spans="1:9" ht="15">
      <c r="A28" s="128">
        <v>2800</v>
      </c>
      <c r="B28" s="28">
        <v>511.6</v>
      </c>
      <c r="C28" s="28">
        <v>13.2</v>
      </c>
      <c r="D28" s="28">
        <v>0</v>
      </c>
      <c r="E28" s="28">
        <v>0</v>
      </c>
    </row>
    <row r="29" spans="1:9" ht="15">
      <c r="A29" s="128">
        <v>2900</v>
      </c>
      <c r="B29" s="28">
        <v>514.20000000000005</v>
      </c>
      <c r="C29" s="28">
        <v>13.8</v>
      </c>
      <c r="D29" s="28">
        <v>1249.8</v>
      </c>
      <c r="E29" s="28">
        <v>44.2</v>
      </c>
    </row>
    <row r="30" spans="1:9" ht="15">
      <c r="A30" s="130">
        <v>3000</v>
      </c>
      <c r="B30" s="29">
        <v>517.70000000000005</v>
      </c>
      <c r="C30" s="29">
        <v>14.3</v>
      </c>
      <c r="D30" s="29">
        <v>1240.5999999999999</v>
      </c>
      <c r="E30" s="29">
        <v>44</v>
      </c>
    </row>
    <row r="31" spans="1:9" ht="15">
      <c r="A31" s="128">
        <v>3100</v>
      </c>
      <c r="B31" s="28">
        <v>522.1</v>
      </c>
      <c r="C31" s="28">
        <v>14.9</v>
      </c>
      <c r="D31" s="28">
        <v>1230.7</v>
      </c>
      <c r="E31" s="28">
        <v>43.7</v>
      </c>
    </row>
    <row r="32" spans="1:9" ht="15">
      <c r="A32" s="128">
        <v>3200</v>
      </c>
      <c r="B32" s="28">
        <v>527.29999999999995</v>
      </c>
      <c r="C32" s="28">
        <v>15.5</v>
      </c>
      <c r="D32" s="28">
        <v>1120</v>
      </c>
      <c r="E32" s="28">
        <v>43.5</v>
      </c>
    </row>
    <row r="33" spans="1:5" ht="15">
      <c r="A33" s="128">
        <v>3300</v>
      </c>
      <c r="B33" s="28">
        <v>533.29999999999995</v>
      </c>
      <c r="C33" s="28">
        <v>16.100000000000001</v>
      </c>
      <c r="D33" s="28">
        <v>1208.7</v>
      </c>
      <c r="E33" s="28">
        <v>43.2</v>
      </c>
    </row>
    <row r="34" spans="1:5" ht="15">
      <c r="A34" s="128">
        <v>3400</v>
      </c>
      <c r="B34" s="28">
        <v>540.1</v>
      </c>
      <c r="C34" s="28">
        <v>16.7</v>
      </c>
      <c r="D34" s="28">
        <v>1196.5999999999999</v>
      </c>
      <c r="E34" s="28">
        <v>42.9</v>
      </c>
    </row>
    <row r="35" spans="1:5" ht="15">
      <c r="A35" s="130">
        <v>3500</v>
      </c>
      <c r="B35" s="29">
        <v>547.79999999999995</v>
      </c>
      <c r="C35" s="29">
        <v>17.399999999999999</v>
      </c>
      <c r="D35" s="29">
        <v>1183.9000000000001</v>
      </c>
      <c r="E35" s="29">
        <v>42.6</v>
      </c>
    </row>
    <row r="36" spans="1:5" ht="15">
      <c r="A36" s="152">
        <v>3600</v>
      </c>
      <c r="B36" s="53">
        <v>556.4</v>
      </c>
      <c r="C36" s="53">
        <v>18.100000000000001</v>
      </c>
      <c r="D36" s="53">
        <v>1170.4000000000001</v>
      </c>
      <c r="E36" s="53">
        <v>42.3</v>
      </c>
    </row>
    <row r="37" spans="1:5" ht="15">
      <c r="A37" s="128">
        <v>3700</v>
      </c>
      <c r="B37" s="28">
        <v>565.9</v>
      </c>
      <c r="C37" s="28">
        <v>18.8</v>
      </c>
      <c r="D37" s="28">
        <v>1156.2</v>
      </c>
      <c r="E37" s="28">
        <v>41.9</v>
      </c>
    </row>
    <row r="38" spans="1:5" ht="15">
      <c r="A38" s="128">
        <v>3800</v>
      </c>
      <c r="B38" s="28">
        <v>576.4</v>
      </c>
      <c r="C38" s="28">
        <v>19.5</v>
      </c>
      <c r="D38" s="28">
        <v>1141.0999999999999</v>
      </c>
      <c r="E38" s="28">
        <v>41.6</v>
      </c>
    </row>
    <row r="39" spans="1:5" ht="15">
      <c r="A39" s="128">
        <v>3900</v>
      </c>
      <c r="B39" s="28">
        <v>588</v>
      </c>
      <c r="C39" s="28">
        <v>20.2</v>
      </c>
      <c r="D39" s="28">
        <v>1125.0999999999999</v>
      </c>
      <c r="E39" s="28">
        <v>41.2</v>
      </c>
    </row>
    <row r="40" spans="1:5" ht="15">
      <c r="A40" s="154">
        <v>4000</v>
      </c>
      <c r="B40" s="29">
        <v>600.79999999999995</v>
      </c>
      <c r="C40" s="29">
        <v>21</v>
      </c>
      <c r="D40" s="29">
        <v>1108</v>
      </c>
      <c r="E40" s="29">
        <v>40.700000000000003</v>
      </c>
    </row>
    <row r="41" spans="1:5" ht="15">
      <c r="A41" s="152">
        <v>4100</v>
      </c>
      <c r="B41" s="53">
        <v>615</v>
      </c>
      <c r="C41" s="53">
        <v>21.9</v>
      </c>
      <c r="D41" s="53">
        <v>1089.7</v>
      </c>
      <c r="E41" s="53">
        <v>40.299999999999997</v>
      </c>
    </row>
    <row r="42" spans="1:5" ht="15">
      <c r="A42" s="152">
        <v>4200</v>
      </c>
      <c r="B42" s="53">
        <v>630.79999999999995</v>
      </c>
      <c r="C42" s="53">
        <v>22.7</v>
      </c>
      <c r="D42" s="53">
        <v>1069.8</v>
      </c>
      <c r="E42" s="53">
        <v>39.700000000000003</v>
      </c>
    </row>
    <row r="43" spans="1:5" ht="15">
      <c r="A43" s="128">
        <v>4300</v>
      </c>
      <c r="B43" s="28">
        <v>648.70000000000005</v>
      </c>
      <c r="C43" s="28">
        <v>23.7</v>
      </c>
      <c r="D43" s="28">
        <v>1048.0999999999999</v>
      </c>
      <c r="E43" s="28">
        <v>39.1</v>
      </c>
    </row>
    <row r="44" spans="1:5" ht="15">
      <c r="A44" s="128">
        <v>4400</v>
      </c>
      <c r="B44" s="28">
        <v>669.3</v>
      </c>
      <c r="C44" s="28">
        <v>24.8</v>
      </c>
      <c r="D44" s="28">
        <v>1023.8</v>
      </c>
      <c r="E44" s="28">
        <v>38.4</v>
      </c>
    </row>
    <row r="45" spans="1:5" ht="15">
      <c r="A45" s="130">
        <v>4500</v>
      </c>
      <c r="B45" s="29">
        <v>693.6</v>
      </c>
      <c r="C45" s="29">
        <v>26</v>
      </c>
      <c r="D45" s="29">
        <v>995.8</v>
      </c>
      <c r="E45" s="29">
        <v>37.6</v>
      </c>
    </row>
    <row r="46" spans="1:5" ht="15">
      <c r="A46" s="155">
        <v>4600</v>
      </c>
      <c r="B46" s="88">
        <v>724.2</v>
      </c>
      <c r="C46" s="88">
        <v>27.4</v>
      </c>
      <c r="D46" s="88">
        <v>961.9</v>
      </c>
      <c r="E46" s="88">
        <v>36.6</v>
      </c>
    </row>
    <row r="47" spans="1:5" ht="15">
      <c r="A47" s="153">
        <v>4700</v>
      </c>
      <c r="B47" s="54">
        <v>768.5</v>
      </c>
      <c r="C47" s="54">
        <v>29.3</v>
      </c>
      <c r="D47" s="54">
        <v>914.2</v>
      </c>
      <c r="E47" s="54">
        <v>34.9</v>
      </c>
    </row>
    <row r="48" spans="1:5" ht="15">
      <c r="A48" s="155">
        <v>4800</v>
      </c>
      <c r="B48" s="53">
        <v>0</v>
      </c>
      <c r="C48" s="53">
        <v>0</v>
      </c>
      <c r="D48" s="53">
        <v>0</v>
      </c>
      <c r="E48" s="53">
        <v>0</v>
      </c>
    </row>
  </sheetData>
  <sheetProtection selectLockedCells="1" selectUnlockedCells="1"/>
  <mergeCells count="3">
    <mergeCell ref="A1:E1"/>
    <mergeCell ref="F2:G2"/>
    <mergeCell ref="H2:P2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I16:I25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sqref="A1:E1"/>
    </sheetView>
  </sheetViews>
  <sheetFormatPr defaultRowHeight="14.25"/>
  <cols>
    <col min="2" max="2" width="14.75" bestFit="1" customWidth="1"/>
    <col min="4" max="4" width="15" bestFit="1" customWidth="1"/>
    <col min="7" max="7" width="10.875" bestFit="1" customWidth="1"/>
    <col min="8" max="8" width="12.25" bestFit="1" customWidth="1"/>
    <col min="9" max="9" width="12.75" bestFit="1" customWidth="1"/>
    <col min="10" max="10" width="14" bestFit="1" customWidth="1"/>
  </cols>
  <sheetData>
    <row r="1" spans="1:16" ht="26.25">
      <c r="A1" s="312" t="s">
        <v>49</v>
      </c>
      <c r="B1" s="312"/>
      <c r="C1" s="312"/>
      <c r="D1" s="312"/>
      <c r="E1" s="312"/>
    </row>
    <row r="2" spans="1:16" ht="15">
      <c r="A2" s="16" t="s">
        <v>0</v>
      </c>
      <c r="B2" s="16" t="s">
        <v>6</v>
      </c>
      <c r="C2" s="16" t="s">
        <v>1</v>
      </c>
      <c r="D2" s="16" t="s">
        <v>7</v>
      </c>
      <c r="E2" s="16" t="s">
        <v>1</v>
      </c>
      <c r="F2" s="307" t="s">
        <v>21</v>
      </c>
      <c r="G2" s="307"/>
      <c r="H2" s="314" t="s">
        <v>94</v>
      </c>
      <c r="I2" s="315"/>
      <c r="J2" s="315"/>
      <c r="K2" s="315"/>
      <c r="L2" s="315"/>
      <c r="M2" s="315"/>
      <c r="N2" s="315"/>
      <c r="O2" s="315"/>
      <c r="P2" s="315"/>
    </row>
    <row r="3" spans="1:16" ht="15">
      <c r="A3" s="156">
        <v>300</v>
      </c>
      <c r="B3" s="157">
        <v>0</v>
      </c>
      <c r="C3" s="157">
        <v>0</v>
      </c>
      <c r="D3" s="157">
        <v>1228.7</v>
      </c>
      <c r="E3" s="157">
        <v>2.7</v>
      </c>
      <c r="F3" s="159" t="s">
        <v>23</v>
      </c>
      <c r="G3" s="159" t="s">
        <v>24</v>
      </c>
      <c r="H3" s="44" t="s">
        <v>17</v>
      </c>
      <c r="I3" s="44" t="s">
        <v>18</v>
      </c>
      <c r="J3" s="44" t="s">
        <v>16</v>
      </c>
      <c r="K3" s="44" t="s">
        <v>26</v>
      </c>
      <c r="L3" s="44" t="s">
        <v>27</v>
      </c>
      <c r="M3" s="77" t="s">
        <v>31</v>
      </c>
      <c r="N3" s="44" t="s">
        <v>19</v>
      </c>
      <c r="O3" s="44" t="s">
        <v>20</v>
      </c>
      <c r="P3" s="11" t="s">
        <v>25</v>
      </c>
    </row>
    <row r="4" spans="1:16" ht="15">
      <c r="A4" s="128">
        <v>400</v>
      </c>
      <c r="B4" s="28">
        <v>0</v>
      </c>
      <c r="C4" s="28">
        <v>0</v>
      </c>
      <c r="D4" s="28">
        <v>1122.5999999999999</v>
      </c>
      <c r="E4" s="28">
        <v>2.9</v>
      </c>
      <c r="F4" s="7" t="str">
        <f>IF(G16&gt;6100,"Yes",IF(G16&lt;800,"Yes","No"))</f>
        <v>Yes</v>
      </c>
      <c r="G4" s="45" t="str">
        <f>IF(G16&gt;6100,"Yes",IF(G16&lt;300,"Yes",IF(G16&gt;900,IF(G16&lt;3700,"Yes","No"),"No")))</f>
        <v>Yes</v>
      </c>
      <c r="H4" s="45">
        <f>_xlfn.FLOOR.MATH(G16,100)</f>
        <v>0</v>
      </c>
      <c r="I4" s="46">
        <f t="shared" ref="I4:I13" si="0">H4+100</f>
        <v>100</v>
      </c>
      <c r="J4" s="45">
        <f>(G16-H4)/100</f>
        <v>0</v>
      </c>
      <c r="K4" s="45" t="e">
        <f>VLOOKUP(H4,A:E,IF(I16="L/A",3,5),FALSE)</f>
        <v>#N/A</v>
      </c>
      <c r="L4" s="45" t="e">
        <f>VLOOKUP(H4,A:E,IF(I16="L/A",3,5),FALSE)</f>
        <v>#N/A</v>
      </c>
      <c r="M4" s="78" t="e">
        <f>((L4-K4)*J4)+K4</f>
        <v>#N/A</v>
      </c>
      <c r="N4" s="45" t="e">
        <f>VLOOKUP(H4,A:E,IF(I16="L/a",2,4),FALSE)</f>
        <v>#N/A</v>
      </c>
      <c r="O4" s="45" t="e">
        <f>VLOOKUP(I4,A:E,IF(I16="L/a",2,4),FALSE)</f>
        <v>#N/A</v>
      </c>
      <c r="P4" s="12" t="e">
        <f>((O4-N4)*J4)+N4</f>
        <v>#N/A</v>
      </c>
    </row>
    <row r="5" spans="1:16" ht="15">
      <c r="A5" s="130">
        <v>500</v>
      </c>
      <c r="B5" s="29">
        <v>0</v>
      </c>
      <c r="C5" s="29">
        <v>0</v>
      </c>
      <c r="D5" s="29">
        <v>1028.3</v>
      </c>
      <c r="E5" s="29">
        <v>3.1</v>
      </c>
      <c r="F5" s="7" t="str">
        <f t="shared" ref="F5:F13" si="1">IF(G17&gt;6100,"Yes",IF(G17&lt;800,"Yes","No"))</f>
        <v>Yes</v>
      </c>
      <c r="G5" s="45" t="str">
        <f t="shared" ref="G5:G13" si="2">IF(G17&gt;6100,"Yes",IF(G17&lt;300,"Yes",IF(G17&gt;900,IF(G17&lt;3700,"Yes","No"),"No")))</f>
        <v>Yes</v>
      </c>
      <c r="H5" s="45">
        <f t="shared" ref="H5:H13" si="3">_xlfn.FLOOR.MATH(G17,100)</f>
        <v>0</v>
      </c>
      <c r="I5" s="46">
        <f t="shared" si="0"/>
        <v>100</v>
      </c>
      <c r="J5" s="45">
        <f t="shared" ref="J5:J13" si="4">(G17-H5)/100</f>
        <v>0</v>
      </c>
      <c r="K5" s="45" t="e">
        <f t="shared" ref="K5:K13" si="5">VLOOKUP(H5,A:E,IF(I17="L/A",3,5),FALSE)</f>
        <v>#N/A</v>
      </c>
      <c r="L5" s="45" t="e">
        <f t="shared" ref="L5:L13" si="6">VLOOKUP(H5,A:E,IF(I17="L/A",3,5),FALSE)</f>
        <v>#N/A</v>
      </c>
      <c r="M5" s="78" t="e">
        <f t="shared" ref="M5:M13" si="7">((L5-K5)*J5)+K5</f>
        <v>#N/A</v>
      </c>
      <c r="N5" s="45" t="e">
        <f t="shared" ref="N5:N13" si="8">VLOOKUP(H5,A:E,IF(I17="L/a",2,4),FALSE)</f>
        <v>#N/A</v>
      </c>
      <c r="O5" s="45" t="e">
        <f t="shared" ref="O5:O13" si="9">VLOOKUP(I5,A:E,IF(I17="L/a",2,4),FALSE)</f>
        <v>#N/A</v>
      </c>
      <c r="P5" s="12" t="e">
        <f t="shared" ref="P5:P13" si="10">(((O5-N5)*J5)+N5)</f>
        <v>#N/A</v>
      </c>
    </row>
    <row r="6" spans="1:16" ht="15">
      <c r="A6" s="128">
        <v>600</v>
      </c>
      <c r="B6" s="28">
        <v>0</v>
      </c>
      <c r="C6" s="28">
        <v>0</v>
      </c>
      <c r="D6" s="28">
        <v>945.5</v>
      </c>
      <c r="E6" s="28">
        <v>3.3</v>
      </c>
      <c r="F6" s="7" t="str">
        <f t="shared" si="1"/>
        <v>Yes</v>
      </c>
      <c r="G6" s="45" t="str">
        <f t="shared" si="2"/>
        <v>Yes</v>
      </c>
      <c r="H6" s="45">
        <f t="shared" si="3"/>
        <v>0</v>
      </c>
      <c r="I6" s="46">
        <f t="shared" si="0"/>
        <v>100</v>
      </c>
      <c r="J6" s="45">
        <f t="shared" si="4"/>
        <v>0</v>
      </c>
      <c r="K6" s="45" t="e">
        <f t="shared" si="5"/>
        <v>#N/A</v>
      </c>
      <c r="L6" s="45" t="e">
        <f t="shared" si="6"/>
        <v>#N/A</v>
      </c>
      <c r="M6" s="78" t="e">
        <f t="shared" si="7"/>
        <v>#N/A</v>
      </c>
      <c r="N6" s="45" t="e">
        <f t="shared" si="8"/>
        <v>#N/A</v>
      </c>
      <c r="O6" s="45" t="e">
        <f t="shared" si="9"/>
        <v>#N/A</v>
      </c>
      <c r="P6" s="12" t="e">
        <f t="shared" si="10"/>
        <v>#N/A</v>
      </c>
    </row>
    <row r="7" spans="1:16" ht="15">
      <c r="A7" s="128">
        <v>700</v>
      </c>
      <c r="B7" s="28">
        <v>0</v>
      </c>
      <c r="C7" s="28">
        <v>0</v>
      </c>
      <c r="D7" s="28">
        <v>873.5</v>
      </c>
      <c r="E7" s="28">
        <v>3.5</v>
      </c>
      <c r="F7" s="7" t="str">
        <f t="shared" si="1"/>
        <v>Yes</v>
      </c>
      <c r="G7" s="45" t="str">
        <f t="shared" si="2"/>
        <v>Yes</v>
      </c>
      <c r="H7" s="45">
        <f t="shared" si="3"/>
        <v>0</v>
      </c>
      <c r="I7" s="46">
        <f t="shared" si="0"/>
        <v>100</v>
      </c>
      <c r="J7" s="45">
        <f t="shared" si="4"/>
        <v>0</v>
      </c>
      <c r="K7" s="45" t="e">
        <f t="shared" si="5"/>
        <v>#N/A</v>
      </c>
      <c r="L7" s="45" t="e">
        <f t="shared" si="6"/>
        <v>#N/A</v>
      </c>
      <c r="M7" s="78" t="e">
        <f t="shared" si="7"/>
        <v>#N/A</v>
      </c>
      <c r="N7" s="45" t="e">
        <f t="shared" si="8"/>
        <v>#N/A</v>
      </c>
      <c r="O7" s="45" t="e">
        <f t="shared" si="9"/>
        <v>#N/A</v>
      </c>
      <c r="P7" s="12" t="e">
        <f t="shared" si="10"/>
        <v>#N/A</v>
      </c>
    </row>
    <row r="8" spans="1:16" ht="15">
      <c r="A8" s="128">
        <v>800</v>
      </c>
      <c r="B8" s="28">
        <v>811.2</v>
      </c>
      <c r="C8" s="28">
        <v>3.8</v>
      </c>
      <c r="D8" s="28">
        <v>811.2</v>
      </c>
      <c r="E8" s="28">
        <v>3.8</v>
      </c>
      <c r="F8" s="7" t="str">
        <f t="shared" si="1"/>
        <v>Yes</v>
      </c>
      <c r="G8" s="45" t="str">
        <f t="shared" si="2"/>
        <v>Yes</v>
      </c>
      <c r="H8" s="45">
        <f t="shared" si="3"/>
        <v>0</v>
      </c>
      <c r="I8" s="46">
        <f t="shared" si="0"/>
        <v>100</v>
      </c>
      <c r="J8" s="45">
        <f t="shared" si="4"/>
        <v>0</v>
      </c>
      <c r="K8" s="45" t="e">
        <f t="shared" si="5"/>
        <v>#N/A</v>
      </c>
      <c r="L8" s="45" t="e">
        <f t="shared" si="6"/>
        <v>#N/A</v>
      </c>
      <c r="M8" s="78" t="e">
        <f t="shared" si="7"/>
        <v>#N/A</v>
      </c>
      <c r="N8" s="45" t="e">
        <f t="shared" si="8"/>
        <v>#N/A</v>
      </c>
      <c r="O8" s="45" t="e">
        <f t="shared" si="9"/>
        <v>#N/A</v>
      </c>
      <c r="P8" s="12" t="e">
        <f t="shared" si="10"/>
        <v>#N/A</v>
      </c>
    </row>
    <row r="9" spans="1:16" ht="15">
      <c r="A9" s="128">
        <v>900</v>
      </c>
      <c r="B9" s="158">
        <v>757.5</v>
      </c>
      <c r="C9" s="28">
        <v>4</v>
      </c>
      <c r="D9" s="28">
        <v>757.5</v>
      </c>
      <c r="E9" s="28">
        <v>3.8</v>
      </c>
      <c r="F9" s="7" t="str">
        <f t="shared" si="1"/>
        <v>Yes</v>
      </c>
      <c r="G9" s="45" t="str">
        <f t="shared" si="2"/>
        <v>Yes</v>
      </c>
      <c r="H9" s="45">
        <f t="shared" si="3"/>
        <v>0</v>
      </c>
      <c r="I9" s="46">
        <f t="shared" si="0"/>
        <v>100</v>
      </c>
      <c r="J9" s="45">
        <f t="shared" si="4"/>
        <v>0</v>
      </c>
      <c r="K9" s="45" t="e">
        <f t="shared" si="5"/>
        <v>#N/A</v>
      </c>
      <c r="L9" s="45" t="e">
        <f t="shared" si="6"/>
        <v>#N/A</v>
      </c>
      <c r="M9" s="78" t="e">
        <f t="shared" si="7"/>
        <v>#N/A</v>
      </c>
      <c r="N9" s="45" t="e">
        <f t="shared" si="8"/>
        <v>#N/A</v>
      </c>
      <c r="O9" s="45" t="e">
        <f t="shared" si="9"/>
        <v>#N/A</v>
      </c>
      <c r="P9" s="12" t="e">
        <f t="shared" si="10"/>
        <v>#N/A</v>
      </c>
    </row>
    <row r="10" spans="1:16" ht="15">
      <c r="A10" s="130">
        <v>1000</v>
      </c>
      <c r="B10" s="29">
        <v>711.1</v>
      </c>
      <c r="C10" s="29">
        <v>4.3</v>
      </c>
      <c r="D10" s="29">
        <v>0</v>
      </c>
      <c r="E10" s="29">
        <v>0</v>
      </c>
      <c r="F10" s="7" t="str">
        <f t="shared" si="1"/>
        <v>Yes</v>
      </c>
      <c r="G10" s="45" t="str">
        <f t="shared" si="2"/>
        <v>Yes</v>
      </c>
      <c r="H10" s="45">
        <f t="shared" si="3"/>
        <v>0</v>
      </c>
      <c r="I10" s="46">
        <f t="shared" si="0"/>
        <v>100</v>
      </c>
      <c r="J10" s="45">
        <f t="shared" si="4"/>
        <v>0</v>
      </c>
      <c r="K10" s="45" t="e">
        <f t="shared" si="5"/>
        <v>#N/A</v>
      </c>
      <c r="L10" s="45" t="e">
        <f t="shared" si="6"/>
        <v>#N/A</v>
      </c>
      <c r="M10" s="78" t="e">
        <f t="shared" si="7"/>
        <v>#N/A</v>
      </c>
      <c r="N10" s="45" t="e">
        <f t="shared" si="8"/>
        <v>#N/A</v>
      </c>
      <c r="O10" s="45" t="e">
        <f t="shared" si="9"/>
        <v>#N/A</v>
      </c>
      <c r="P10" s="12" t="e">
        <f t="shared" si="10"/>
        <v>#N/A</v>
      </c>
    </row>
    <row r="11" spans="1:16" ht="15">
      <c r="A11" s="128">
        <v>1100</v>
      </c>
      <c r="B11" s="28">
        <v>671.1</v>
      </c>
      <c r="C11" s="28">
        <v>4.5999999999999996</v>
      </c>
      <c r="D11" s="28">
        <v>0</v>
      </c>
      <c r="E11" s="28">
        <v>0</v>
      </c>
      <c r="F11" s="7" t="str">
        <f t="shared" si="1"/>
        <v>Yes</v>
      </c>
      <c r="G11" s="45" t="str">
        <f t="shared" si="2"/>
        <v>Yes</v>
      </c>
      <c r="H11" s="45">
        <f t="shared" si="3"/>
        <v>0</v>
      </c>
      <c r="I11" s="46">
        <f t="shared" si="0"/>
        <v>100</v>
      </c>
      <c r="J11" s="45">
        <f t="shared" si="4"/>
        <v>0</v>
      </c>
      <c r="K11" s="45" t="e">
        <f t="shared" si="5"/>
        <v>#N/A</v>
      </c>
      <c r="L11" s="45" t="e">
        <f t="shared" si="6"/>
        <v>#N/A</v>
      </c>
      <c r="M11" s="78" t="e">
        <f t="shared" si="7"/>
        <v>#N/A</v>
      </c>
      <c r="N11" s="45" t="e">
        <f t="shared" si="8"/>
        <v>#N/A</v>
      </c>
      <c r="O11" s="45" t="e">
        <f t="shared" si="9"/>
        <v>#N/A</v>
      </c>
      <c r="P11" s="12" t="e">
        <f t="shared" si="10"/>
        <v>#N/A</v>
      </c>
    </row>
    <row r="12" spans="1:16" ht="15">
      <c r="A12" s="128">
        <v>1200</v>
      </c>
      <c r="B12" s="28">
        <v>636.5</v>
      </c>
      <c r="C12" s="28">
        <v>5</v>
      </c>
      <c r="D12" s="28">
        <v>0</v>
      </c>
      <c r="E12" s="28">
        <v>0</v>
      </c>
      <c r="F12" s="7" t="str">
        <f t="shared" si="1"/>
        <v>Yes</v>
      </c>
      <c r="G12" s="45" t="str">
        <f t="shared" si="2"/>
        <v>Yes</v>
      </c>
      <c r="H12" s="45">
        <f t="shared" si="3"/>
        <v>0</v>
      </c>
      <c r="I12" s="46">
        <f t="shared" si="0"/>
        <v>100</v>
      </c>
      <c r="J12" s="45">
        <f t="shared" si="4"/>
        <v>0</v>
      </c>
      <c r="K12" s="45" t="e">
        <f t="shared" si="5"/>
        <v>#N/A</v>
      </c>
      <c r="L12" s="45" t="e">
        <f t="shared" si="6"/>
        <v>#N/A</v>
      </c>
      <c r="M12" s="78" t="e">
        <f t="shared" si="7"/>
        <v>#N/A</v>
      </c>
      <c r="N12" s="45" t="e">
        <f t="shared" si="8"/>
        <v>#N/A</v>
      </c>
      <c r="O12" s="45" t="e">
        <f t="shared" si="9"/>
        <v>#N/A</v>
      </c>
      <c r="P12" s="12" t="e">
        <f t="shared" si="10"/>
        <v>#N/A</v>
      </c>
    </row>
    <row r="13" spans="1:16" ht="15">
      <c r="A13" s="128">
        <v>1300</v>
      </c>
      <c r="B13" s="28">
        <v>606.5</v>
      </c>
      <c r="C13" s="28">
        <v>5.3</v>
      </c>
      <c r="D13" s="28">
        <v>0</v>
      </c>
      <c r="E13" s="28">
        <v>0</v>
      </c>
      <c r="F13" s="7" t="str">
        <f t="shared" si="1"/>
        <v>Yes</v>
      </c>
      <c r="G13" s="45" t="str">
        <f t="shared" si="2"/>
        <v>Yes</v>
      </c>
      <c r="H13" s="45">
        <f t="shared" si="3"/>
        <v>0</v>
      </c>
      <c r="I13" s="46">
        <f t="shared" si="0"/>
        <v>100</v>
      </c>
      <c r="J13" s="45">
        <f t="shared" si="4"/>
        <v>0</v>
      </c>
      <c r="K13" s="45" t="e">
        <f t="shared" si="5"/>
        <v>#N/A</v>
      </c>
      <c r="L13" s="45" t="e">
        <f t="shared" si="6"/>
        <v>#N/A</v>
      </c>
      <c r="M13" s="78" t="e">
        <f t="shared" si="7"/>
        <v>#N/A</v>
      </c>
      <c r="N13" s="45" t="e">
        <f t="shared" si="8"/>
        <v>#N/A</v>
      </c>
      <c r="O13" s="45" t="e">
        <f t="shared" si="9"/>
        <v>#N/A</v>
      </c>
      <c r="P13" s="12" t="e">
        <f t="shared" si="10"/>
        <v>#N/A</v>
      </c>
    </row>
    <row r="14" spans="1:16" ht="15.75" thickBot="1">
      <c r="A14" s="128">
        <v>1400</v>
      </c>
      <c r="B14" s="28">
        <v>580.6</v>
      </c>
      <c r="C14" s="28">
        <v>5.6</v>
      </c>
      <c r="D14" s="28">
        <v>0</v>
      </c>
      <c r="E14" s="28">
        <v>0</v>
      </c>
    </row>
    <row r="15" spans="1:16" ht="15">
      <c r="A15" s="130">
        <v>1500</v>
      </c>
      <c r="B15" s="29">
        <v>558.1</v>
      </c>
      <c r="C15" s="29">
        <v>6</v>
      </c>
      <c r="D15" s="29">
        <v>0</v>
      </c>
      <c r="E15" s="29">
        <v>0</v>
      </c>
      <c r="F15" s="96" t="s">
        <v>12</v>
      </c>
      <c r="G15" s="94" t="s">
        <v>38</v>
      </c>
      <c r="H15" s="96" t="s">
        <v>39</v>
      </c>
      <c r="I15" s="95" t="s">
        <v>22</v>
      </c>
    </row>
    <row r="16" spans="1:16" ht="15">
      <c r="A16" s="128">
        <v>1600</v>
      </c>
      <c r="B16" s="28">
        <v>538.6</v>
      </c>
      <c r="C16" s="28">
        <v>66.3</v>
      </c>
      <c r="D16" s="28">
        <v>0</v>
      </c>
      <c r="E16" s="28">
        <v>0</v>
      </c>
      <c r="F16" s="97">
        <v>1</v>
      </c>
      <c r="G16" s="110">
        <f>'3 HE'!K19</f>
        <v>0</v>
      </c>
      <c r="H16" s="110">
        <f>INPUT!C5</f>
        <v>0</v>
      </c>
      <c r="I16" s="111" t="str">
        <f>INPUT!D5</f>
        <v>L/A</v>
      </c>
    </row>
    <row r="17" spans="1:9" ht="15">
      <c r="A17" s="128">
        <v>1700</v>
      </c>
      <c r="B17" s="28">
        <v>521.70000000000005</v>
      </c>
      <c r="C17" s="28">
        <v>6.7</v>
      </c>
      <c r="D17" s="28">
        <v>0</v>
      </c>
      <c r="E17" s="28">
        <v>0</v>
      </c>
      <c r="F17" s="97">
        <v>2</v>
      </c>
      <c r="G17" s="110">
        <f>'3 HE'!K20</f>
        <v>0</v>
      </c>
      <c r="H17" s="110">
        <f>INPUT!C6</f>
        <v>0</v>
      </c>
      <c r="I17" s="111" t="str">
        <f>'1 HE'!N3</f>
        <v>L/A</v>
      </c>
    </row>
    <row r="18" spans="1:9" ht="15">
      <c r="A18" s="128">
        <v>1800</v>
      </c>
      <c r="B18" s="28">
        <v>507.1</v>
      </c>
      <c r="C18" s="28">
        <v>7</v>
      </c>
      <c r="D18" s="28">
        <v>0</v>
      </c>
      <c r="E18" s="28">
        <v>0</v>
      </c>
      <c r="F18" s="97">
        <v>3</v>
      </c>
      <c r="G18" s="110">
        <f>'3 HE'!K21</f>
        <v>0</v>
      </c>
      <c r="H18" s="110">
        <f>INPUT!C7</f>
        <v>0</v>
      </c>
      <c r="I18" s="111" t="str">
        <f>'1 HE'!N4</f>
        <v>L/A</v>
      </c>
    </row>
    <row r="19" spans="1:9" ht="15">
      <c r="A19" s="128">
        <v>1900</v>
      </c>
      <c r="B19" s="28">
        <v>494.5</v>
      </c>
      <c r="C19" s="28">
        <v>7.4</v>
      </c>
      <c r="D19" s="28">
        <v>0</v>
      </c>
      <c r="E19" s="28">
        <v>0</v>
      </c>
      <c r="F19" s="97">
        <v>4</v>
      </c>
      <c r="G19" s="110">
        <f>'3 HE'!K22</f>
        <v>0</v>
      </c>
      <c r="H19" s="110">
        <f>INPUT!C8</f>
        <v>0</v>
      </c>
      <c r="I19" s="111" t="str">
        <f>'1 HE'!N5</f>
        <v>L/A</v>
      </c>
    </row>
    <row r="20" spans="1:9" ht="15">
      <c r="A20" s="130">
        <v>2000</v>
      </c>
      <c r="B20" s="29">
        <v>483.6</v>
      </c>
      <c r="C20" s="29">
        <v>7.8</v>
      </c>
      <c r="D20" s="29">
        <v>0</v>
      </c>
      <c r="E20" s="29">
        <v>0</v>
      </c>
      <c r="F20" s="97">
        <v>5</v>
      </c>
      <c r="G20" s="110">
        <f>'3 HE'!K23</f>
        <v>0</v>
      </c>
      <c r="H20" s="110">
        <f>INPUT!C9</f>
        <v>0</v>
      </c>
      <c r="I20" s="111" t="str">
        <f>'1 HE'!N6</f>
        <v>L/A</v>
      </c>
    </row>
    <row r="21" spans="1:9" ht="15">
      <c r="A21" s="128">
        <v>2100</v>
      </c>
      <c r="B21" s="28">
        <v>474.4</v>
      </c>
      <c r="C21" s="28">
        <v>8.1999999999999993</v>
      </c>
      <c r="D21" s="28">
        <v>0</v>
      </c>
      <c r="E21" s="28">
        <v>0</v>
      </c>
      <c r="F21" s="97">
        <v>6</v>
      </c>
      <c r="G21" s="110">
        <f>'3 HE'!K24</f>
        <v>0</v>
      </c>
      <c r="H21" s="110">
        <f>INPUT!C10</f>
        <v>0</v>
      </c>
      <c r="I21" s="111" t="str">
        <f>'1 HE'!N7</f>
        <v>L/A</v>
      </c>
    </row>
    <row r="22" spans="1:9" ht="15">
      <c r="A22" s="128">
        <v>2200</v>
      </c>
      <c r="B22" s="28">
        <v>466.5</v>
      </c>
      <c r="C22" s="28">
        <v>8.6</v>
      </c>
      <c r="D22" s="28">
        <v>0</v>
      </c>
      <c r="E22" s="28">
        <v>0</v>
      </c>
      <c r="F22" s="97">
        <v>7</v>
      </c>
      <c r="G22" s="110">
        <f>'3 HE'!K25</f>
        <v>0</v>
      </c>
      <c r="H22" s="110">
        <f>INPUT!C11</f>
        <v>0</v>
      </c>
      <c r="I22" s="111" t="str">
        <f>'1 HE'!N8</f>
        <v>L/A</v>
      </c>
    </row>
    <row r="23" spans="1:9" ht="15">
      <c r="A23" s="128">
        <v>2300</v>
      </c>
      <c r="B23" s="28">
        <v>459.8</v>
      </c>
      <c r="C23" s="28">
        <v>9</v>
      </c>
      <c r="D23" s="28">
        <v>0</v>
      </c>
      <c r="E23" s="28">
        <v>0</v>
      </c>
      <c r="F23" s="97">
        <v>8</v>
      </c>
      <c r="G23" s="110">
        <f>'3 HE'!K26</f>
        <v>0</v>
      </c>
      <c r="H23" s="110">
        <f>INPUT!C12</f>
        <v>0</v>
      </c>
      <c r="I23" s="111" t="str">
        <f>'1 HE'!N9</f>
        <v>L/A</v>
      </c>
    </row>
    <row r="24" spans="1:9" ht="15">
      <c r="A24" s="128">
        <v>2400</v>
      </c>
      <c r="B24" s="28">
        <v>454.4</v>
      </c>
      <c r="C24" s="28">
        <v>9.4</v>
      </c>
      <c r="D24" s="28">
        <v>0</v>
      </c>
      <c r="E24" s="28">
        <v>0</v>
      </c>
      <c r="F24" s="97">
        <v>9</v>
      </c>
      <c r="G24" s="110">
        <f>'3 HE'!K27</f>
        <v>0</v>
      </c>
      <c r="H24" s="110">
        <f>INPUT!C13</f>
        <v>0</v>
      </c>
      <c r="I24" s="111" t="str">
        <f>'1 HE'!N10</f>
        <v>L/A</v>
      </c>
    </row>
    <row r="25" spans="1:9" ht="15.75" thickBot="1">
      <c r="A25" s="130">
        <v>2500</v>
      </c>
      <c r="B25" s="29">
        <v>449.9</v>
      </c>
      <c r="C25" s="29">
        <v>9.8000000000000007</v>
      </c>
      <c r="D25" s="29">
        <v>0</v>
      </c>
      <c r="E25" s="29">
        <v>0</v>
      </c>
      <c r="F25" s="98">
        <v>10</v>
      </c>
      <c r="G25" s="110">
        <f>'3 HE'!K28</f>
        <v>0</v>
      </c>
      <c r="H25" s="110">
        <f>INPUT!C14</f>
        <v>0</v>
      </c>
      <c r="I25" s="111" t="str">
        <f>'1 HE'!N11</f>
        <v>L/A</v>
      </c>
    </row>
    <row r="26" spans="1:9" ht="15">
      <c r="A26" s="128">
        <v>2600</v>
      </c>
      <c r="B26" s="28">
        <v>446.4</v>
      </c>
      <c r="C26" s="28">
        <v>10.199999999999999</v>
      </c>
      <c r="D26" s="28">
        <v>0</v>
      </c>
      <c r="E26" s="28">
        <v>0</v>
      </c>
    </row>
    <row r="27" spans="1:9" ht="15">
      <c r="A27" s="128">
        <v>2700</v>
      </c>
      <c r="B27" s="28">
        <v>443.7</v>
      </c>
      <c r="C27" s="28">
        <v>10.6</v>
      </c>
      <c r="D27" s="28">
        <v>0</v>
      </c>
      <c r="E27" s="28">
        <v>0</v>
      </c>
    </row>
    <row r="28" spans="1:9" ht="15">
      <c r="A28" s="128">
        <v>2800</v>
      </c>
      <c r="B28" s="28">
        <v>441.9</v>
      </c>
      <c r="C28" s="28">
        <v>11</v>
      </c>
      <c r="D28" s="28">
        <v>0</v>
      </c>
      <c r="E28" s="28">
        <v>0</v>
      </c>
    </row>
    <row r="29" spans="1:9" ht="15">
      <c r="A29" s="128">
        <v>2900</v>
      </c>
      <c r="B29" s="28">
        <v>440.7</v>
      </c>
      <c r="C29" s="28">
        <v>11.5</v>
      </c>
      <c r="D29" s="28">
        <v>0</v>
      </c>
      <c r="E29" s="28">
        <v>0</v>
      </c>
    </row>
    <row r="30" spans="1:9" ht="15">
      <c r="A30" s="130">
        <v>3000</v>
      </c>
      <c r="B30" s="29">
        <v>440.3</v>
      </c>
      <c r="C30" s="29">
        <v>11.9</v>
      </c>
      <c r="D30" s="29">
        <v>0</v>
      </c>
      <c r="E30" s="29">
        <v>0</v>
      </c>
    </row>
    <row r="31" spans="1:9" ht="15">
      <c r="A31" s="128">
        <v>3100</v>
      </c>
      <c r="B31" s="28">
        <v>440.5</v>
      </c>
      <c r="C31" s="28">
        <v>12.4</v>
      </c>
      <c r="D31" s="28">
        <v>0</v>
      </c>
      <c r="E31" s="28">
        <v>0</v>
      </c>
    </row>
    <row r="32" spans="1:9" ht="15">
      <c r="A32" s="128">
        <v>3200</v>
      </c>
      <c r="B32" s="28">
        <v>441.3</v>
      </c>
      <c r="C32" s="28">
        <v>12.8</v>
      </c>
      <c r="D32" s="28">
        <v>0</v>
      </c>
      <c r="E32" s="28">
        <v>0</v>
      </c>
    </row>
    <row r="33" spans="1:5" ht="15">
      <c r="A33" s="128">
        <v>3300</v>
      </c>
      <c r="B33" s="28">
        <v>442.7</v>
      </c>
      <c r="C33" s="28">
        <v>13.3</v>
      </c>
      <c r="D33" s="28">
        <v>0</v>
      </c>
      <c r="E33" s="28">
        <v>0</v>
      </c>
    </row>
    <row r="34" spans="1:5" ht="15">
      <c r="A34" s="128">
        <v>3400</v>
      </c>
      <c r="B34" s="28">
        <v>444.7</v>
      </c>
      <c r="C34" s="28">
        <v>13.8</v>
      </c>
      <c r="D34" s="28">
        <v>0</v>
      </c>
      <c r="E34" s="28">
        <v>0</v>
      </c>
    </row>
    <row r="35" spans="1:5" ht="15">
      <c r="A35" s="130">
        <v>3500</v>
      </c>
      <c r="B35" s="29">
        <v>447.1</v>
      </c>
      <c r="C35" s="29">
        <v>14.2</v>
      </c>
      <c r="D35" s="29">
        <v>0</v>
      </c>
      <c r="E35" s="29">
        <v>0</v>
      </c>
    </row>
    <row r="36" spans="1:5" ht="15">
      <c r="A36" s="152">
        <v>3600</v>
      </c>
      <c r="B36" s="53">
        <v>450.1</v>
      </c>
      <c r="C36" s="53">
        <v>14.7</v>
      </c>
      <c r="D36" s="53">
        <v>0</v>
      </c>
      <c r="E36" s="53">
        <v>0</v>
      </c>
    </row>
    <row r="37" spans="1:5" ht="15">
      <c r="A37" s="128">
        <v>3700</v>
      </c>
      <c r="B37" s="28">
        <v>453.5</v>
      </c>
      <c r="C37" s="28">
        <v>15.2</v>
      </c>
      <c r="D37" s="28">
        <v>1253.8</v>
      </c>
      <c r="E37" s="28">
        <v>51.2</v>
      </c>
    </row>
    <row r="38" spans="1:5" ht="15">
      <c r="A38" s="128">
        <v>3800</v>
      </c>
      <c r="B38" s="28">
        <v>457.5</v>
      </c>
      <c r="C38" s="28">
        <v>15.7</v>
      </c>
      <c r="D38" s="28">
        <v>1246.4000000000001</v>
      </c>
      <c r="E38" s="28">
        <v>51</v>
      </c>
    </row>
    <row r="39" spans="1:5" ht="15">
      <c r="A39" s="128">
        <v>3900</v>
      </c>
      <c r="B39" s="28">
        <v>461.9</v>
      </c>
      <c r="C39" s="28">
        <v>16.3</v>
      </c>
      <c r="D39" s="28">
        <v>1238.5</v>
      </c>
      <c r="E39" s="28">
        <v>50.8</v>
      </c>
    </row>
    <row r="40" spans="1:5" ht="15">
      <c r="A40" s="154">
        <v>4000</v>
      </c>
      <c r="B40" s="29">
        <v>466.8</v>
      </c>
      <c r="C40" s="29">
        <v>16.8</v>
      </c>
      <c r="D40" s="29">
        <v>1230.3</v>
      </c>
      <c r="E40" s="29">
        <v>50.6</v>
      </c>
    </row>
    <row r="41" spans="1:5" ht="15">
      <c r="A41" s="152">
        <v>4100</v>
      </c>
      <c r="B41" s="53">
        <v>4721</v>
      </c>
      <c r="C41" s="53">
        <v>17.3</v>
      </c>
      <c r="D41" s="53">
        <v>1221.5999999999999</v>
      </c>
      <c r="E41" s="53">
        <v>50.4</v>
      </c>
    </row>
    <row r="42" spans="1:5" ht="15">
      <c r="A42" s="152">
        <v>4200</v>
      </c>
      <c r="B42" s="53">
        <v>477.9</v>
      </c>
      <c r="C42" s="53">
        <v>17.899999999999999</v>
      </c>
      <c r="D42" s="53">
        <v>1212.5</v>
      </c>
      <c r="E42" s="53">
        <v>50.1</v>
      </c>
    </row>
    <row r="43" spans="1:5" ht="15">
      <c r="A43" s="128">
        <v>4300</v>
      </c>
      <c r="B43" s="28">
        <v>484.2</v>
      </c>
      <c r="C43" s="28">
        <v>18.399999999999999</v>
      </c>
      <c r="D43" s="28">
        <v>1203</v>
      </c>
      <c r="E43" s="28">
        <v>49.9</v>
      </c>
    </row>
    <row r="44" spans="1:5" ht="15">
      <c r="A44" s="128">
        <v>4400</v>
      </c>
      <c r="B44" s="28">
        <v>491</v>
      </c>
      <c r="C44" s="28">
        <v>19</v>
      </c>
      <c r="D44" s="28">
        <v>1193.2</v>
      </c>
      <c r="E44" s="28">
        <v>49.6</v>
      </c>
    </row>
    <row r="45" spans="1:5" ht="15">
      <c r="A45" s="130">
        <v>4500</v>
      </c>
      <c r="B45" s="29">
        <v>498.2</v>
      </c>
      <c r="C45" s="29">
        <v>19.600000000000001</v>
      </c>
      <c r="D45" s="29">
        <v>1182.9000000000001</v>
      </c>
      <c r="E45" s="29">
        <v>49.3</v>
      </c>
    </row>
    <row r="46" spans="1:5" ht="15">
      <c r="A46" s="155">
        <v>4600</v>
      </c>
      <c r="B46" s="88">
        <v>506</v>
      </c>
      <c r="C46" s="88">
        <v>20.2</v>
      </c>
      <c r="D46" s="88">
        <v>1172.0999999999999</v>
      </c>
      <c r="E46" s="88">
        <v>49.1</v>
      </c>
    </row>
    <row r="47" spans="1:5" ht="15">
      <c r="A47" s="155">
        <v>4700</v>
      </c>
      <c r="B47" s="88">
        <v>514.29999999999995</v>
      </c>
      <c r="C47" s="88">
        <v>20.8</v>
      </c>
      <c r="D47" s="88">
        <v>1160.9000000000001</v>
      </c>
      <c r="E47" s="88">
        <v>48.8</v>
      </c>
    </row>
    <row r="48" spans="1:5" ht="15">
      <c r="A48" s="155">
        <v>4800</v>
      </c>
      <c r="B48" s="88">
        <v>523.1</v>
      </c>
      <c r="C48" s="88">
        <v>21.4</v>
      </c>
      <c r="D48" s="88">
        <v>1149.3</v>
      </c>
      <c r="E48" s="88">
        <v>48.5</v>
      </c>
    </row>
    <row r="49" spans="1:5" ht="15">
      <c r="A49" s="155">
        <v>4900</v>
      </c>
      <c r="B49" s="88">
        <v>532.6</v>
      </c>
      <c r="C49" s="88">
        <v>22.1</v>
      </c>
      <c r="D49" s="88">
        <v>1137.0999999999999</v>
      </c>
      <c r="E49" s="88">
        <v>48.1</v>
      </c>
    </row>
    <row r="50" spans="1:5" ht="15">
      <c r="A50" s="154">
        <v>5000</v>
      </c>
      <c r="B50" s="80">
        <v>542.70000000000005</v>
      </c>
      <c r="C50" s="80">
        <v>22.8</v>
      </c>
      <c r="D50" s="80">
        <v>1124.4000000000001</v>
      </c>
      <c r="E50" s="80">
        <v>47.8</v>
      </c>
    </row>
    <row r="51" spans="1:5" ht="15">
      <c r="A51" s="155">
        <v>5100</v>
      </c>
      <c r="B51" s="88">
        <v>553.5</v>
      </c>
      <c r="C51" s="88">
        <v>23.5</v>
      </c>
      <c r="D51" s="88">
        <v>1111</v>
      </c>
      <c r="E51" s="88">
        <v>47.4</v>
      </c>
    </row>
    <row r="52" spans="1:5" ht="15">
      <c r="A52" s="155">
        <v>5200</v>
      </c>
      <c r="B52" s="88">
        <v>565.1</v>
      </c>
      <c r="C52" s="88">
        <v>24.2</v>
      </c>
      <c r="D52" s="88">
        <v>1096.9000000000001</v>
      </c>
      <c r="E52" s="88">
        <v>47</v>
      </c>
    </row>
    <row r="53" spans="1:5" ht="15">
      <c r="A53" s="155">
        <v>5300</v>
      </c>
      <c r="B53" s="88">
        <v>577.6</v>
      </c>
      <c r="C53" s="88">
        <v>25</v>
      </c>
      <c r="D53" s="88">
        <v>1082</v>
      </c>
      <c r="E53" s="88">
        <v>46.5</v>
      </c>
    </row>
    <row r="54" spans="1:5" ht="15">
      <c r="A54" s="155">
        <v>5400</v>
      </c>
      <c r="B54" s="88">
        <v>591.1</v>
      </c>
      <c r="C54" s="88">
        <v>25.8</v>
      </c>
      <c r="D54" s="88">
        <v>1068.2</v>
      </c>
      <c r="E54" s="88">
        <v>46</v>
      </c>
    </row>
    <row r="55" spans="1:5" ht="15">
      <c r="A55" s="154">
        <v>5500</v>
      </c>
      <c r="B55" s="80">
        <v>605.79999999999995</v>
      </c>
      <c r="C55" s="80">
        <v>26.6</v>
      </c>
      <c r="D55" s="80">
        <v>1049.3</v>
      </c>
      <c r="E55" s="80">
        <v>45.5</v>
      </c>
    </row>
    <row r="56" spans="1:5" ht="15">
      <c r="A56" s="155">
        <v>5600</v>
      </c>
      <c r="B56" s="88">
        <v>622</v>
      </c>
      <c r="C56" s="88">
        <v>27.5</v>
      </c>
      <c r="D56" s="88">
        <v>1030.9000000000001</v>
      </c>
      <c r="E56" s="88">
        <v>44.9</v>
      </c>
    </row>
    <row r="57" spans="1:5" ht="15">
      <c r="A57" s="155">
        <v>5700</v>
      </c>
      <c r="B57" s="88">
        <v>640</v>
      </c>
      <c r="C57" s="88">
        <v>28.5</v>
      </c>
      <c r="D57" s="88">
        <v>1010.9</v>
      </c>
      <c r="E57" s="88">
        <v>44.3</v>
      </c>
    </row>
    <row r="58" spans="1:5" ht="15">
      <c r="A58" s="155">
        <v>5800</v>
      </c>
      <c r="B58" s="88">
        <v>660.4</v>
      </c>
      <c r="C58" s="88">
        <v>29.6</v>
      </c>
      <c r="D58" s="88">
        <v>988.4</v>
      </c>
      <c r="E58" s="88">
        <v>43.5</v>
      </c>
    </row>
    <row r="59" spans="1:5" ht="15">
      <c r="A59" s="155">
        <v>5900</v>
      </c>
      <c r="B59" s="88">
        <v>684.4</v>
      </c>
      <c r="C59" s="88">
        <v>30.8</v>
      </c>
      <c r="D59" s="88">
        <v>962.5</v>
      </c>
      <c r="E59" s="88">
        <v>42.6</v>
      </c>
    </row>
    <row r="60" spans="1:5" ht="15">
      <c r="A60" s="154">
        <v>6000</v>
      </c>
      <c r="B60" s="80">
        <v>714.3</v>
      </c>
      <c r="C60" s="80">
        <v>32.299999999999997</v>
      </c>
      <c r="D60" s="80">
        <v>930.7</v>
      </c>
      <c r="E60" s="80">
        <v>41.5</v>
      </c>
    </row>
    <row r="61" spans="1:5" ht="15">
      <c r="A61" s="169">
        <v>6100</v>
      </c>
      <c r="B61" s="170">
        <v>758</v>
      </c>
      <c r="C61" s="170">
        <v>34.4</v>
      </c>
      <c r="D61" s="170">
        <v>885.2</v>
      </c>
      <c r="E61" s="170">
        <v>39.700000000000003</v>
      </c>
    </row>
    <row r="62" spans="1:5" ht="15">
      <c r="A62" s="155">
        <v>6200</v>
      </c>
      <c r="B62" s="88">
        <v>0</v>
      </c>
      <c r="C62" s="88">
        <v>0</v>
      </c>
      <c r="D62" s="88">
        <v>0</v>
      </c>
      <c r="E62" s="88">
        <v>0</v>
      </c>
    </row>
  </sheetData>
  <sheetProtection selectLockedCells="1" selectUnlockedCells="1"/>
  <mergeCells count="3">
    <mergeCell ref="A1:E1"/>
    <mergeCell ref="F2:G2"/>
    <mergeCell ref="H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I16:I25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sqref="A1:E1"/>
    </sheetView>
  </sheetViews>
  <sheetFormatPr defaultRowHeight="14.25"/>
  <cols>
    <col min="2" max="2" width="14.75" bestFit="1" customWidth="1"/>
    <col min="3" max="3" width="9" style="166"/>
    <col min="4" max="4" width="15" bestFit="1" customWidth="1"/>
    <col min="5" max="5" width="9" style="166"/>
    <col min="7" max="7" width="10.875" bestFit="1" customWidth="1"/>
    <col min="8" max="8" width="12.25" bestFit="1" customWidth="1"/>
    <col min="9" max="9" width="12.75" bestFit="1" customWidth="1"/>
    <col min="10" max="10" width="14" bestFit="1" customWidth="1"/>
  </cols>
  <sheetData>
    <row r="1" spans="1:16" ht="26.25">
      <c r="A1" s="312" t="s">
        <v>50</v>
      </c>
      <c r="B1" s="312"/>
      <c r="C1" s="312"/>
      <c r="D1" s="312"/>
      <c r="E1" s="312"/>
    </row>
    <row r="2" spans="1:16" ht="15">
      <c r="A2" s="16" t="s">
        <v>0</v>
      </c>
      <c r="B2" s="16" t="s">
        <v>6</v>
      </c>
      <c r="C2" s="199" t="s">
        <v>1</v>
      </c>
      <c r="D2" s="16" t="s">
        <v>7</v>
      </c>
      <c r="E2" s="199" t="s">
        <v>1</v>
      </c>
      <c r="F2" s="307" t="s">
        <v>21</v>
      </c>
      <c r="G2" s="307"/>
      <c r="H2" s="314" t="s">
        <v>101</v>
      </c>
      <c r="I2" s="315"/>
      <c r="J2" s="315"/>
      <c r="K2" s="315"/>
      <c r="L2" s="315"/>
      <c r="M2" s="315"/>
      <c r="N2" s="315"/>
      <c r="O2" s="315"/>
      <c r="P2" s="315"/>
    </row>
    <row r="3" spans="1:16" ht="15">
      <c r="A3" s="156">
        <v>300</v>
      </c>
      <c r="B3" s="200">
        <v>0</v>
      </c>
      <c r="C3" s="200">
        <v>0</v>
      </c>
      <c r="D3" s="157">
        <v>1224</v>
      </c>
      <c r="E3" s="200">
        <v>2.2999999999999998</v>
      </c>
      <c r="F3" s="159" t="s">
        <v>23</v>
      </c>
      <c r="G3" s="159" t="s">
        <v>24</v>
      </c>
      <c r="H3" s="44" t="s">
        <v>17</v>
      </c>
      <c r="I3" s="44" t="s">
        <v>18</v>
      </c>
      <c r="J3" s="44" t="s">
        <v>16</v>
      </c>
      <c r="K3" s="44" t="s">
        <v>26</v>
      </c>
      <c r="L3" s="44" t="s">
        <v>27</v>
      </c>
      <c r="M3" s="77" t="s">
        <v>31</v>
      </c>
      <c r="N3" s="44" t="s">
        <v>19</v>
      </c>
      <c r="O3" s="44" t="s">
        <v>20</v>
      </c>
      <c r="P3" s="11" t="s">
        <v>25</v>
      </c>
    </row>
    <row r="4" spans="1:16" ht="15">
      <c r="A4" s="128">
        <v>400</v>
      </c>
      <c r="B4" s="146">
        <v>0</v>
      </c>
      <c r="C4" s="146">
        <v>0</v>
      </c>
      <c r="D4" s="28">
        <v>1116.5</v>
      </c>
      <c r="E4" s="146">
        <v>2.4</v>
      </c>
      <c r="F4" s="7" t="str">
        <f>IF(G16&gt;7400,"Yes",IF(G16&lt;700,"Yes","No"))</f>
        <v>Yes</v>
      </c>
      <c r="G4" s="45" t="str">
        <f>IF(G16&gt;7400,"Yes",IF(G16&lt;300,"Yes",IF(G16&gt;800,IF(G16&lt;4600,"Yes","No"),"No")))</f>
        <v>Yes</v>
      </c>
      <c r="H4" s="45">
        <f>_xlfn.FLOOR.MATH(G16,100)</f>
        <v>0</v>
      </c>
      <c r="I4" s="46">
        <f t="shared" ref="I4:I13" si="0">H4+100</f>
        <v>100</v>
      </c>
      <c r="J4" s="45">
        <f>(G16-H4)/100</f>
        <v>0</v>
      </c>
      <c r="K4" s="45" t="e">
        <f>VLOOKUP(H4,A:E,IF(I16="L/A",3,5),FALSE)</f>
        <v>#N/A</v>
      </c>
      <c r="L4" s="45" t="e">
        <f>VLOOKUP(H4,A:E,IF(I16="L/A",3,5),FALSE)</f>
        <v>#N/A</v>
      </c>
      <c r="M4" s="78" t="e">
        <f>((L4-K4)*J4)+K4</f>
        <v>#N/A</v>
      </c>
      <c r="N4" s="45" t="e">
        <f>VLOOKUP(H4,A:E,IF(I16="L/a",2,4),FALSE)</f>
        <v>#N/A</v>
      </c>
      <c r="O4" s="45" t="e">
        <f>VLOOKUP(I4,A:E,IF(I16="L/a",2,4),FALSE)</f>
        <v>#N/A</v>
      </c>
      <c r="P4" s="12" t="e">
        <f>((O4-N4)*J4)+N4</f>
        <v>#N/A</v>
      </c>
    </row>
    <row r="5" spans="1:16" ht="15">
      <c r="A5" s="130">
        <v>500</v>
      </c>
      <c r="B5" s="71">
        <v>0</v>
      </c>
      <c r="C5" s="71">
        <v>0</v>
      </c>
      <c r="D5" s="29">
        <v>1020.6</v>
      </c>
      <c r="E5" s="71">
        <v>2.6</v>
      </c>
      <c r="F5" s="7" t="str">
        <f t="shared" ref="F5:F13" si="1">IF(G17&gt;7400,"Yes",IF(G17&lt;700,"Yes","No"))</f>
        <v>Yes</v>
      </c>
      <c r="G5" s="45" t="str">
        <f t="shared" ref="G5:G13" si="2">IF(G17&gt;7400,"Yes",IF(G17&lt;300,"Yes",IF(G17&gt;800,IF(G17&lt;4600,"Yes","No"),"No")))</f>
        <v>Yes</v>
      </c>
      <c r="H5" s="45">
        <f t="shared" ref="H5:H13" si="3">_xlfn.FLOOR.MATH(G17,100)</f>
        <v>0</v>
      </c>
      <c r="I5" s="46">
        <f t="shared" si="0"/>
        <v>100</v>
      </c>
      <c r="J5" s="45">
        <f t="shared" ref="J5:J13" si="4">(G17-H5)/100</f>
        <v>0</v>
      </c>
      <c r="K5" s="45" t="e">
        <f t="shared" ref="K5:K13" si="5">VLOOKUP(H5,A:E,IF(I17="L/A",3,5),FALSE)</f>
        <v>#N/A</v>
      </c>
      <c r="L5" s="45" t="e">
        <f t="shared" ref="L5:L13" si="6">VLOOKUP(H5,A:E,IF(I17="L/A",3,5),FALSE)</f>
        <v>#N/A</v>
      </c>
      <c r="M5" s="78" t="e">
        <f t="shared" ref="M5:M13" si="7">((L5-K5)*J5)+K5</f>
        <v>#N/A</v>
      </c>
      <c r="N5" s="45" t="e">
        <f t="shared" ref="N5:N13" si="8">VLOOKUP(H5,A:E,IF(I17="L/a",2,4),FALSE)</f>
        <v>#N/A</v>
      </c>
      <c r="O5" s="45" t="e">
        <f t="shared" ref="O5:O13" si="9">VLOOKUP(I5,A:E,IF(I17="L/a",2,4),FALSE)</f>
        <v>#N/A</v>
      </c>
      <c r="P5" s="12" t="e">
        <f t="shared" ref="P5:P13" si="10">(((O5-N5)*J5)+N5)</f>
        <v>#N/A</v>
      </c>
    </row>
    <row r="6" spans="1:16" ht="15">
      <c r="A6" s="128">
        <v>600</v>
      </c>
      <c r="B6" s="146">
        <v>0</v>
      </c>
      <c r="C6" s="146">
        <v>0</v>
      </c>
      <c r="D6" s="28">
        <v>936.3</v>
      </c>
      <c r="E6" s="146">
        <v>2.8</v>
      </c>
      <c r="F6" s="7" t="str">
        <f t="shared" si="1"/>
        <v>Yes</v>
      </c>
      <c r="G6" s="45" t="str">
        <f t="shared" si="2"/>
        <v>Yes</v>
      </c>
      <c r="H6" s="45">
        <f t="shared" si="3"/>
        <v>0</v>
      </c>
      <c r="I6" s="46">
        <f t="shared" si="0"/>
        <v>100</v>
      </c>
      <c r="J6" s="45">
        <f t="shared" si="4"/>
        <v>0</v>
      </c>
      <c r="K6" s="45" t="e">
        <f t="shared" si="5"/>
        <v>#N/A</v>
      </c>
      <c r="L6" s="45" t="e">
        <f t="shared" si="6"/>
        <v>#N/A</v>
      </c>
      <c r="M6" s="78" t="e">
        <f t="shared" si="7"/>
        <v>#N/A</v>
      </c>
      <c r="N6" s="45" t="e">
        <f t="shared" si="8"/>
        <v>#N/A</v>
      </c>
      <c r="O6" s="45" t="e">
        <f t="shared" si="9"/>
        <v>#N/A</v>
      </c>
      <c r="P6" s="12" t="e">
        <f t="shared" si="10"/>
        <v>#N/A</v>
      </c>
    </row>
    <row r="7" spans="1:16" ht="15">
      <c r="A7" s="128">
        <v>700</v>
      </c>
      <c r="B7" s="146">
        <v>863.8</v>
      </c>
      <c r="C7" s="146">
        <v>3</v>
      </c>
      <c r="D7" s="28">
        <v>862.8</v>
      </c>
      <c r="E7" s="146">
        <v>3</v>
      </c>
      <c r="F7" s="7" t="str">
        <f t="shared" si="1"/>
        <v>Yes</v>
      </c>
      <c r="G7" s="45" t="str">
        <f t="shared" si="2"/>
        <v>Yes</v>
      </c>
      <c r="H7" s="45">
        <f t="shared" si="3"/>
        <v>0</v>
      </c>
      <c r="I7" s="46">
        <f t="shared" si="0"/>
        <v>100</v>
      </c>
      <c r="J7" s="45">
        <f t="shared" si="4"/>
        <v>0</v>
      </c>
      <c r="K7" s="45" t="e">
        <f t="shared" si="5"/>
        <v>#N/A</v>
      </c>
      <c r="L7" s="45" t="e">
        <f t="shared" si="6"/>
        <v>#N/A</v>
      </c>
      <c r="M7" s="78" t="e">
        <f t="shared" si="7"/>
        <v>#N/A</v>
      </c>
      <c r="N7" s="45" t="e">
        <f t="shared" si="8"/>
        <v>#N/A</v>
      </c>
      <c r="O7" s="45" t="e">
        <f t="shared" si="9"/>
        <v>#N/A</v>
      </c>
      <c r="P7" s="12" t="e">
        <f t="shared" si="10"/>
        <v>#N/A</v>
      </c>
    </row>
    <row r="8" spans="1:16" ht="15">
      <c r="A8" s="128">
        <v>800</v>
      </c>
      <c r="B8" s="146">
        <v>799</v>
      </c>
      <c r="C8" s="146">
        <v>3.2</v>
      </c>
      <c r="D8" s="28">
        <v>799</v>
      </c>
      <c r="E8" s="146">
        <v>3.2</v>
      </c>
      <c r="F8" s="7" t="str">
        <f t="shared" si="1"/>
        <v>Yes</v>
      </c>
      <c r="G8" s="45" t="str">
        <f t="shared" si="2"/>
        <v>Yes</v>
      </c>
      <c r="H8" s="45">
        <f t="shared" si="3"/>
        <v>0</v>
      </c>
      <c r="I8" s="46">
        <f t="shared" si="0"/>
        <v>100</v>
      </c>
      <c r="J8" s="45">
        <f t="shared" si="4"/>
        <v>0</v>
      </c>
      <c r="K8" s="45" t="e">
        <f t="shared" si="5"/>
        <v>#N/A</v>
      </c>
      <c r="L8" s="45" t="e">
        <f t="shared" si="6"/>
        <v>#N/A</v>
      </c>
      <c r="M8" s="78" t="e">
        <f t="shared" si="7"/>
        <v>#N/A</v>
      </c>
      <c r="N8" s="45" t="e">
        <f t="shared" si="8"/>
        <v>#N/A</v>
      </c>
      <c r="O8" s="45" t="e">
        <f t="shared" si="9"/>
        <v>#N/A</v>
      </c>
      <c r="P8" s="12" t="e">
        <f t="shared" si="10"/>
        <v>#N/A</v>
      </c>
    </row>
    <row r="9" spans="1:16" ht="15">
      <c r="A9" s="128">
        <v>900</v>
      </c>
      <c r="B9" s="148">
        <v>743.8</v>
      </c>
      <c r="C9" s="146">
        <v>3.4</v>
      </c>
      <c r="D9" s="28">
        <v>0</v>
      </c>
      <c r="E9" s="146">
        <v>0</v>
      </c>
      <c r="F9" s="7" t="str">
        <f t="shared" si="1"/>
        <v>Yes</v>
      </c>
      <c r="G9" s="45" t="str">
        <f t="shared" si="2"/>
        <v>Yes</v>
      </c>
      <c r="H9" s="45">
        <f t="shared" si="3"/>
        <v>0</v>
      </c>
      <c r="I9" s="46">
        <f t="shared" si="0"/>
        <v>100</v>
      </c>
      <c r="J9" s="45">
        <f t="shared" si="4"/>
        <v>0</v>
      </c>
      <c r="K9" s="45" t="e">
        <f t="shared" si="5"/>
        <v>#N/A</v>
      </c>
      <c r="L9" s="45" t="e">
        <f t="shared" si="6"/>
        <v>#N/A</v>
      </c>
      <c r="M9" s="78" t="e">
        <f t="shared" si="7"/>
        <v>#N/A</v>
      </c>
      <c r="N9" s="45" t="e">
        <f t="shared" si="8"/>
        <v>#N/A</v>
      </c>
      <c r="O9" s="45" t="e">
        <f t="shared" si="9"/>
        <v>#N/A</v>
      </c>
      <c r="P9" s="12" t="e">
        <f t="shared" si="10"/>
        <v>#N/A</v>
      </c>
    </row>
    <row r="10" spans="1:16" ht="15">
      <c r="A10" s="130">
        <v>1000</v>
      </c>
      <c r="B10" s="71">
        <v>695.9</v>
      </c>
      <c r="C10" s="71">
        <v>3.7</v>
      </c>
      <c r="D10" s="29">
        <v>0</v>
      </c>
      <c r="E10" s="71">
        <v>0</v>
      </c>
      <c r="F10" s="7" t="str">
        <f t="shared" si="1"/>
        <v>Yes</v>
      </c>
      <c r="G10" s="45" t="str">
        <f t="shared" si="2"/>
        <v>Yes</v>
      </c>
      <c r="H10" s="45">
        <f t="shared" si="3"/>
        <v>0</v>
      </c>
      <c r="I10" s="46">
        <f t="shared" si="0"/>
        <v>100</v>
      </c>
      <c r="J10" s="45">
        <f t="shared" si="4"/>
        <v>0</v>
      </c>
      <c r="K10" s="45" t="e">
        <f t="shared" si="5"/>
        <v>#N/A</v>
      </c>
      <c r="L10" s="45" t="e">
        <f t="shared" si="6"/>
        <v>#N/A</v>
      </c>
      <c r="M10" s="78" t="e">
        <f t="shared" si="7"/>
        <v>#N/A</v>
      </c>
      <c r="N10" s="45" t="e">
        <f t="shared" si="8"/>
        <v>#N/A</v>
      </c>
      <c r="O10" s="45" t="e">
        <f t="shared" si="9"/>
        <v>#N/A</v>
      </c>
      <c r="P10" s="12" t="e">
        <f t="shared" si="10"/>
        <v>#N/A</v>
      </c>
    </row>
    <row r="11" spans="1:16" ht="15">
      <c r="A11" s="128">
        <v>1100</v>
      </c>
      <c r="B11" s="146">
        <v>654.4</v>
      </c>
      <c r="C11" s="146">
        <v>4</v>
      </c>
      <c r="D11" s="28">
        <v>0</v>
      </c>
      <c r="E11" s="146">
        <v>0</v>
      </c>
      <c r="F11" s="7" t="str">
        <f t="shared" si="1"/>
        <v>Yes</v>
      </c>
      <c r="G11" s="45" t="str">
        <f t="shared" si="2"/>
        <v>Yes</v>
      </c>
      <c r="H11" s="45">
        <f t="shared" si="3"/>
        <v>0</v>
      </c>
      <c r="I11" s="46">
        <f t="shared" si="0"/>
        <v>100</v>
      </c>
      <c r="J11" s="45">
        <f t="shared" si="4"/>
        <v>0</v>
      </c>
      <c r="K11" s="45" t="e">
        <f t="shared" si="5"/>
        <v>#N/A</v>
      </c>
      <c r="L11" s="45" t="e">
        <f t="shared" si="6"/>
        <v>#N/A</v>
      </c>
      <c r="M11" s="78" t="e">
        <f t="shared" si="7"/>
        <v>#N/A</v>
      </c>
      <c r="N11" s="45" t="e">
        <f t="shared" si="8"/>
        <v>#N/A</v>
      </c>
      <c r="O11" s="45" t="e">
        <f t="shared" si="9"/>
        <v>#N/A</v>
      </c>
      <c r="P11" s="12" t="e">
        <f t="shared" si="10"/>
        <v>#N/A</v>
      </c>
    </row>
    <row r="12" spans="1:16" ht="15">
      <c r="A12" s="128">
        <v>1200</v>
      </c>
      <c r="B12" s="146">
        <v>618.4</v>
      </c>
      <c r="C12" s="146">
        <v>4.2</v>
      </c>
      <c r="D12" s="28">
        <v>0</v>
      </c>
      <c r="E12" s="146">
        <v>0</v>
      </c>
      <c r="F12" s="7" t="str">
        <f t="shared" si="1"/>
        <v>Yes</v>
      </c>
      <c r="G12" s="45" t="str">
        <f t="shared" si="2"/>
        <v>Yes</v>
      </c>
      <c r="H12" s="45">
        <f t="shared" si="3"/>
        <v>0</v>
      </c>
      <c r="I12" s="46">
        <f t="shared" si="0"/>
        <v>100</v>
      </c>
      <c r="J12" s="45">
        <f t="shared" si="4"/>
        <v>0</v>
      </c>
      <c r="K12" s="45" t="e">
        <f t="shared" si="5"/>
        <v>#N/A</v>
      </c>
      <c r="L12" s="45" t="e">
        <f t="shared" si="6"/>
        <v>#N/A</v>
      </c>
      <c r="M12" s="78" t="e">
        <f t="shared" si="7"/>
        <v>#N/A</v>
      </c>
      <c r="N12" s="45" t="e">
        <f t="shared" si="8"/>
        <v>#N/A</v>
      </c>
      <c r="O12" s="45" t="e">
        <f t="shared" si="9"/>
        <v>#N/A</v>
      </c>
      <c r="P12" s="12" t="e">
        <f t="shared" si="10"/>
        <v>#N/A</v>
      </c>
    </row>
    <row r="13" spans="1:16" ht="15">
      <c r="A13" s="128">
        <v>1300</v>
      </c>
      <c r="B13" s="146">
        <v>586.9</v>
      </c>
      <c r="C13" s="146">
        <v>4.5</v>
      </c>
      <c r="D13" s="28">
        <v>0</v>
      </c>
      <c r="E13" s="146">
        <v>0</v>
      </c>
      <c r="F13" s="7" t="str">
        <f t="shared" si="1"/>
        <v>Yes</v>
      </c>
      <c r="G13" s="45" t="str">
        <f t="shared" si="2"/>
        <v>Yes</v>
      </c>
      <c r="H13" s="45">
        <f t="shared" si="3"/>
        <v>0</v>
      </c>
      <c r="I13" s="46">
        <f t="shared" si="0"/>
        <v>100</v>
      </c>
      <c r="J13" s="45">
        <f t="shared" si="4"/>
        <v>0</v>
      </c>
      <c r="K13" s="45" t="e">
        <f t="shared" si="5"/>
        <v>#N/A</v>
      </c>
      <c r="L13" s="45" t="e">
        <f t="shared" si="6"/>
        <v>#N/A</v>
      </c>
      <c r="M13" s="78" t="e">
        <f t="shared" si="7"/>
        <v>#N/A</v>
      </c>
      <c r="N13" s="45" t="e">
        <f t="shared" si="8"/>
        <v>#N/A</v>
      </c>
      <c r="O13" s="45" t="e">
        <f t="shared" si="9"/>
        <v>#N/A</v>
      </c>
      <c r="P13" s="12" t="e">
        <f t="shared" si="10"/>
        <v>#N/A</v>
      </c>
    </row>
    <row r="14" spans="1:16" ht="15.75" thickBot="1">
      <c r="A14" s="128">
        <v>1400</v>
      </c>
      <c r="B14" s="146">
        <v>559.5</v>
      </c>
      <c r="C14" s="146">
        <v>4.8</v>
      </c>
      <c r="D14" s="28">
        <v>0</v>
      </c>
      <c r="E14" s="146">
        <v>0</v>
      </c>
    </row>
    <row r="15" spans="1:16" ht="15.75" thickBot="1">
      <c r="A15" s="130">
        <v>1500</v>
      </c>
      <c r="B15" s="71">
        <v>535.5</v>
      </c>
      <c r="C15" s="71">
        <v>5.0999999999999996</v>
      </c>
      <c r="D15" s="29">
        <v>0</v>
      </c>
      <c r="E15" s="71">
        <v>0</v>
      </c>
      <c r="F15" s="196" t="s">
        <v>12</v>
      </c>
      <c r="G15" s="197" t="s">
        <v>38</v>
      </c>
      <c r="H15" s="196" t="s">
        <v>39</v>
      </c>
      <c r="I15" s="198" t="s">
        <v>22</v>
      </c>
    </row>
    <row r="16" spans="1:16" ht="15">
      <c r="A16" s="128">
        <v>1600</v>
      </c>
      <c r="B16" s="146">
        <v>514.6</v>
      </c>
      <c r="C16" s="146">
        <v>5.4</v>
      </c>
      <c r="D16" s="28">
        <v>0</v>
      </c>
      <c r="E16" s="146">
        <v>0</v>
      </c>
      <c r="F16" s="193">
        <v>1</v>
      </c>
      <c r="G16" s="194">
        <f>'3 HE'!K19</f>
        <v>0</v>
      </c>
      <c r="H16" s="194">
        <f>INPUT!C5</f>
        <v>0</v>
      </c>
      <c r="I16" s="195" t="str">
        <f>INPUT!D5</f>
        <v>L/A</v>
      </c>
    </row>
    <row r="17" spans="1:9" ht="15">
      <c r="A17" s="128">
        <v>1700</v>
      </c>
      <c r="B17" s="146">
        <v>496.2</v>
      </c>
      <c r="C17" s="146">
        <v>5.7</v>
      </c>
      <c r="D17" s="28">
        <v>0</v>
      </c>
      <c r="E17" s="146">
        <v>0</v>
      </c>
      <c r="F17" s="97">
        <v>2</v>
      </c>
      <c r="G17" s="110">
        <f>'3 HE'!K20</f>
        <v>0</v>
      </c>
      <c r="H17" s="194">
        <f>INPUT!C6</f>
        <v>0</v>
      </c>
      <c r="I17" s="111" t="str">
        <f>'1 HE'!N3</f>
        <v>L/A</v>
      </c>
    </row>
    <row r="18" spans="1:9" ht="15">
      <c r="A18" s="128">
        <v>1800</v>
      </c>
      <c r="B18" s="146">
        <v>480</v>
      </c>
      <c r="C18" s="146">
        <v>6</v>
      </c>
      <c r="D18" s="28">
        <v>0</v>
      </c>
      <c r="E18" s="146">
        <v>0</v>
      </c>
      <c r="F18" s="97">
        <v>3</v>
      </c>
      <c r="G18" s="110">
        <f>'3 HE'!K21</f>
        <v>0</v>
      </c>
      <c r="H18" s="194">
        <f>INPUT!C7</f>
        <v>0</v>
      </c>
      <c r="I18" s="111" t="str">
        <f>'1 HE'!N4</f>
        <v>L/A</v>
      </c>
    </row>
    <row r="19" spans="1:9" ht="15">
      <c r="A19" s="128">
        <v>1900</v>
      </c>
      <c r="B19" s="146">
        <v>465.8</v>
      </c>
      <c r="C19" s="146">
        <v>6.4</v>
      </c>
      <c r="D19" s="28">
        <v>0</v>
      </c>
      <c r="E19" s="146">
        <v>0</v>
      </c>
      <c r="F19" s="97">
        <v>4</v>
      </c>
      <c r="G19" s="110">
        <f>'3 HE'!K22</f>
        <v>0</v>
      </c>
      <c r="H19" s="194">
        <f>INPUT!C8</f>
        <v>0</v>
      </c>
      <c r="I19" s="111" t="str">
        <f>'1 HE'!N5</f>
        <v>L/A</v>
      </c>
    </row>
    <row r="20" spans="1:9" ht="15">
      <c r="A20" s="130">
        <v>2000</v>
      </c>
      <c r="B20" s="71">
        <v>453.4</v>
      </c>
      <c r="C20" s="71">
        <v>6.7</v>
      </c>
      <c r="D20" s="29">
        <v>0</v>
      </c>
      <c r="E20" s="71">
        <v>0</v>
      </c>
      <c r="F20" s="97">
        <v>5</v>
      </c>
      <c r="G20" s="110">
        <f>'3 HE'!K23</f>
        <v>0</v>
      </c>
      <c r="H20" s="194">
        <f>INPUT!C9</f>
        <v>0</v>
      </c>
      <c r="I20" s="111" t="str">
        <f>'1 HE'!N6</f>
        <v>L/A</v>
      </c>
    </row>
    <row r="21" spans="1:9" ht="15">
      <c r="A21" s="128">
        <v>2100</v>
      </c>
      <c r="B21" s="146">
        <v>442.6</v>
      </c>
      <c r="C21" s="146">
        <v>7</v>
      </c>
      <c r="D21" s="28">
        <v>0</v>
      </c>
      <c r="E21" s="146">
        <v>0</v>
      </c>
      <c r="F21" s="97">
        <v>6</v>
      </c>
      <c r="G21" s="110">
        <f>'3 HE'!K24</f>
        <v>0</v>
      </c>
      <c r="H21" s="194">
        <f>INPUT!C10</f>
        <v>0</v>
      </c>
      <c r="I21" s="111" t="str">
        <f>'1 HE'!N7</f>
        <v>L/A</v>
      </c>
    </row>
    <row r="22" spans="1:9" ht="15">
      <c r="A22" s="128">
        <v>2200</v>
      </c>
      <c r="B22" s="146">
        <v>433.1</v>
      </c>
      <c r="C22" s="146">
        <v>7.4</v>
      </c>
      <c r="D22" s="28">
        <v>0</v>
      </c>
      <c r="E22" s="146">
        <v>0</v>
      </c>
      <c r="F22" s="97">
        <v>7</v>
      </c>
      <c r="G22" s="110">
        <f>'3 HE'!K25</f>
        <v>0</v>
      </c>
      <c r="H22" s="194">
        <f>INPUT!C11</f>
        <v>0</v>
      </c>
      <c r="I22" s="111" t="str">
        <f>'1 HE'!N8</f>
        <v>L/A</v>
      </c>
    </row>
    <row r="23" spans="1:9" ht="15">
      <c r="A23" s="128">
        <v>2300</v>
      </c>
      <c r="B23" s="146">
        <v>424.8</v>
      </c>
      <c r="C23" s="146">
        <v>7.7</v>
      </c>
      <c r="D23" s="28">
        <v>0</v>
      </c>
      <c r="E23" s="146">
        <v>0</v>
      </c>
      <c r="F23" s="97">
        <v>8</v>
      </c>
      <c r="G23" s="110">
        <f>'3 HE'!K26</f>
        <v>0</v>
      </c>
      <c r="H23" s="194">
        <f>INPUT!C12</f>
        <v>0</v>
      </c>
      <c r="I23" s="111" t="str">
        <f>'1 HE'!N9</f>
        <v>L/A</v>
      </c>
    </row>
    <row r="24" spans="1:9" ht="15">
      <c r="A24" s="128">
        <v>2400</v>
      </c>
      <c r="B24" s="146">
        <v>414.4</v>
      </c>
      <c r="C24" s="146">
        <v>8.1</v>
      </c>
      <c r="D24" s="28">
        <v>0</v>
      </c>
      <c r="E24" s="146">
        <v>0</v>
      </c>
      <c r="F24" s="97">
        <v>9</v>
      </c>
      <c r="G24" s="110">
        <f>'3 HE'!K27</f>
        <v>0</v>
      </c>
      <c r="H24" s="194">
        <f>INPUT!C13</f>
        <v>0</v>
      </c>
      <c r="I24" s="111" t="str">
        <f>'1 HE'!N10</f>
        <v>L/A</v>
      </c>
    </row>
    <row r="25" spans="1:9" ht="15.75" thickBot="1">
      <c r="A25" s="130">
        <v>2500</v>
      </c>
      <c r="B25" s="71">
        <v>411.5</v>
      </c>
      <c r="C25" s="71">
        <v>8.4</v>
      </c>
      <c r="D25" s="29">
        <v>0</v>
      </c>
      <c r="E25" s="71">
        <v>0</v>
      </c>
      <c r="F25" s="98">
        <v>10</v>
      </c>
      <c r="G25" s="110">
        <f>'3 HE'!K28</f>
        <v>0</v>
      </c>
      <c r="H25" s="194">
        <f>INPUT!C14</f>
        <v>0</v>
      </c>
      <c r="I25" s="111" t="str">
        <f>'1 HE'!N11</f>
        <v>L/A</v>
      </c>
    </row>
    <row r="26" spans="1:9" ht="15">
      <c r="A26" s="128">
        <v>2600</v>
      </c>
      <c r="B26" s="146">
        <v>406.3</v>
      </c>
      <c r="C26" s="146">
        <v>8.8000000000000007</v>
      </c>
      <c r="D26" s="28">
        <v>0</v>
      </c>
      <c r="E26" s="146">
        <v>0</v>
      </c>
    </row>
    <row r="27" spans="1:9" ht="15">
      <c r="A27" s="128">
        <v>2700</v>
      </c>
      <c r="B27" s="146">
        <v>401.8</v>
      </c>
      <c r="C27" s="146">
        <v>9.1999999999999993</v>
      </c>
      <c r="D27" s="28">
        <v>0</v>
      </c>
      <c r="E27" s="146">
        <v>0</v>
      </c>
    </row>
    <row r="28" spans="1:9" ht="15">
      <c r="A28" s="128">
        <v>2800</v>
      </c>
      <c r="B28" s="146">
        <v>398.2</v>
      </c>
      <c r="C28" s="146">
        <v>9.5</v>
      </c>
      <c r="D28" s="28">
        <v>0</v>
      </c>
      <c r="E28" s="146">
        <v>0</v>
      </c>
    </row>
    <row r="29" spans="1:9" ht="15">
      <c r="A29" s="128">
        <v>2900</v>
      </c>
      <c r="B29" s="146">
        <v>395.2</v>
      </c>
      <c r="C29" s="146">
        <v>9.9</v>
      </c>
      <c r="D29" s="28">
        <v>0</v>
      </c>
      <c r="E29" s="146">
        <v>0</v>
      </c>
    </row>
    <row r="30" spans="1:9" ht="15">
      <c r="A30" s="130">
        <v>3000</v>
      </c>
      <c r="B30" s="71">
        <v>392.9</v>
      </c>
      <c r="C30" s="71">
        <v>10.3</v>
      </c>
      <c r="D30" s="29">
        <v>0</v>
      </c>
      <c r="E30" s="71">
        <v>0</v>
      </c>
    </row>
    <row r="31" spans="1:9" ht="15">
      <c r="A31" s="128">
        <v>3100</v>
      </c>
      <c r="B31" s="146">
        <v>391.1</v>
      </c>
      <c r="C31" s="146">
        <v>10.7</v>
      </c>
      <c r="D31" s="28">
        <v>0</v>
      </c>
      <c r="E31" s="146">
        <v>0</v>
      </c>
    </row>
    <row r="32" spans="1:9" ht="15">
      <c r="A32" s="128">
        <v>3200</v>
      </c>
      <c r="B32" s="146">
        <v>389.9</v>
      </c>
      <c r="C32" s="146">
        <v>11.1</v>
      </c>
      <c r="D32" s="28">
        <v>0</v>
      </c>
      <c r="E32" s="146">
        <v>0</v>
      </c>
    </row>
    <row r="33" spans="1:5" ht="15">
      <c r="A33" s="128">
        <v>3300</v>
      </c>
      <c r="B33" s="146">
        <v>389.3</v>
      </c>
      <c r="C33" s="146">
        <v>11.5</v>
      </c>
      <c r="D33" s="28">
        <v>0</v>
      </c>
      <c r="E33" s="146">
        <v>0</v>
      </c>
    </row>
    <row r="34" spans="1:5" ht="15">
      <c r="A34" s="128">
        <v>3400</v>
      </c>
      <c r="B34" s="146">
        <v>389.1</v>
      </c>
      <c r="C34" s="146">
        <v>11.9</v>
      </c>
      <c r="D34" s="28">
        <v>0</v>
      </c>
      <c r="E34" s="146">
        <v>0</v>
      </c>
    </row>
    <row r="35" spans="1:5" ht="15">
      <c r="A35" s="130">
        <v>3500</v>
      </c>
      <c r="B35" s="71">
        <v>389.3</v>
      </c>
      <c r="C35" s="71">
        <v>12.3</v>
      </c>
      <c r="D35" s="29">
        <v>0</v>
      </c>
      <c r="E35" s="71">
        <v>0</v>
      </c>
    </row>
    <row r="36" spans="1:5" ht="15">
      <c r="A36" s="152">
        <v>3600</v>
      </c>
      <c r="B36" s="55">
        <v>390</v>
      </c>
      <c r="C36" s="55">
        <v>12.7</v>
      </c>
      <c r="D36" s="53">
        <v>0</v>
      </c>
      <c r="E36" s="55">
        <v>0</v>
      </c>
    </row>
    <row r="37" spans="1:5" ht="15">
      <c r="A37" s="128">
        <v>3700</v>
      </c>
      <c r="B37" s="146">
        <v>391.1</v>
      </c>
      <c r="C37" s="146">
        <v>13.1</v>
      </c>
      <c r="D37" s="28">
        <v>0</v>
      </c>
      <c r="E37" s="146">
        <v>0</v>
      </c>
    </row>
    <row r="38" spans="1:5" ht="15">
      <c r="A38" s="128">
        <v>3800</v>
      </c>
      <c r="B38" s="146">
        <v>392.6</v>
      </c>
      <c r="C38" s="146">
        <v>13.5</v>
      </c>
      <c r="D38" s="28">
        <v>0</v>
      </c>
      <c r="E38" s="146">
        <v>0</v>
      </c>
    </row>
    <row r="39" spans="1:5" ht="15">
      <c r="A39" s="128">
        <v>3900</v>
      </c>
      <c r="B39" s="146">
        <v>394.5</v>
      </c>
      <c r="C39" s="146">
        <v>13.9</v>
      </c>
      <c r="D39" s="28">
        <v>0</v>
      </c>
      <c r="E39" s="146">
        <v>0</v>
      </c>
    </row>
    <row r="40" spans="1:5" ht="15">
      <c r="A40" s="154">
        <v>4000</v>
      </c>
      <c r="B40" s="71">
        <v>396.7</v>
      </c>
      <c r="C40" s="71">
        <v>14.4</v>
      </c>
      <c r="D40" s="29">
        <v>0</v>
      </c>
      <c r="E40" s="71">
        <v>0</v>
      </c>
    </row>
    <row r="41" spans="1:5" ht="15">
      <c r="A41" s="152">
        <v>4100</v>
      </c>
      <c r="B41" s="55">
        <v>399.2</v>
      </c>
      <c r="C41" s="55">
        <v>14.8</v>
      </c>
      <c r="D41" s="53">
        <v>0</v>
      </c>
      <c r="E41" s="55">
        <v>0</v>
      </c>
    </row>
    <row r="42" spans="1:5" ht="15">
      <c r="A42" s="152">
        <v>4200</v>
      </c>
      <c r="B42" s="55">
        <v>402.1</v>
      </c>
      <c r="C42" s="55">
        <v>15.2</v>
      </c>
      <c r="D42" s="53">
        <v>0</v>
      </c>
      <c r="E42" s="55">
        <v>0</v>
      </c>
    </row>
    <row r="43" spans="1:5" ht="15">
      <c r="A43" s="128">
        <v>4300</v>
      </c>
      <c r="B43" s="146">
        <v>405.3</v>
      </c>
      <c r="C43" s="146">
        <v>15.7</v>
      </c>
      <c r="D43" s="28">
        <v>0</v>
      </c>
      <c r="E43" s="146">
        <v>0</v>
      </c>
    </row>
    <row r="44" spans="1:5" ht="15">
      <c r="A44" s="128">
        <v>4400</v>
      </c>
      <c r="B44" s="146">
        <v>408.9</v>
      </c>
      <c r="C44" s="146">
        <v>16.100000000000001</v>
      </c>
      <c r="D44" s="28">
        <v>0</v>
      </c>
      <c r="E44" s="146">
        <v>0</v>
      </c>
    </row>
    <row r="45" spans="1:5" ht="15">
      <c r="A45" s="130">
        <v>4500</v>
      </c>
      <c r="B45" s="71">
        <v>412.7</v>
      </c>
      <c r="C45" s="71">
        <v>16.600000000000001</v>
      </c>
      <c r="D45" s="29">
        <v>0</v>
      </c>
      <c r="E45" s="71">
        <v>0</v>
      </c>
    </row>
    <row r="46" spans="1:5" ht="15">
      <c r="A46" s="155">
        <v>4600</v>
      </c>
      <c r="B46" s="177">
        <v>416.9</v>
      </c>
      <c r="C46" s="177">
        <v>17.100000000000001</v>
      </c>
      <c r="D46" s="88">
        <v>1244.4000000000001</v>
      </c>
      <c r="E46" s="177">
        <v>57.1</v>
      </c>
    </row>
    <row r="47" spans="1:5" ht="15">
      <c r="A47" s="155">
        <v>4700</v>
      </c>
      <c r="B47" s="177">
        <v>421.3</v>
      </c>
      <c r="C47" s="177">
        <v>17.600000000000001</v>
      </c>
      <c r="D47" s="88">
        <v>1238.2</v>
      </c>
      <c r="E47" s="177">
        <v>56.9</v>
      </c>
    </row>
    <row r="48" spans="1:5" ht="15">
      <c r="A48" s="155">
        <v>4800</v>
      </c>
      <c r="B48" s="177">
        <v>426.1</v>
      </c>
      <c r="C48" s="177">
        <v>18</v>
      </c>
      <c r="D48" s="88">
        <v>1231.5999999999999</v>
      </c>
      <c r="E48" s="177">
        <v>56.7</v>
      </c>
    </row>
    <row r="49" spans="1:5" ht="15">
      <c r="A49" s="155">
        <v>4900</v>
      </c>
      <c r="B49" s="177">
        <v>431.1</v>
      </c>
      <c r="C49" s="177">
        <v>18.5</v>
      </c>
      <c r="D49" s="88">
        <v>1224.8</v>
      </c>
      <c r="E49" s="177">
        <v>56.5</v>
      </c>
    </row>
    <row r="50" spans="1:5" ht="15">
      <c r="A50" s="154">
        <v>5000</v>
      </c>
      <c r="B50" s="201">
        <v>436.5</v>
      </c>
      <c r="C50" s="201">
        <v>19</v>
      </c>
      <c r="D50" s="80">
        <v>1217.7</v>
      </c>
      <c r="E50" s="201">
        <v>56.3</v>
      </c>
    </row>
    <row r="51" spans="1:5" ht="15">
      <c r="A51" s="155">
        <v>5100</v>
      </c>
      <c r="B51" s="177">
        <v>442.2</v>
      </c>
      <c r="C51" s="177">
        <v>19.5</v>
      </c>
      <c r="D51" s="88">
        <v>1210.3</v>
      </c>
      <c r="E51" s="177">
        <v>56.1</v>
      </c>
    </row>
    <row r="52" spans="1:5" ht="15">
      <c r="A52" s="155">
        <v>5200</v>
      </c>
      <c r="B52" s="177">
        <v>448.2</v>
      </c>
      <c r="C52" s="177">
        <v>20.100000000000001</v>
      </c>
      <c r="D52" s="88">
        <v>1202.5999999999999</v>
      </c>
      <c r="E52" s="177">
        <v>55.8</v>
      </c>
    </row>
    <row r="53" spans="1:5" ht="15">
      <c r="A53" s="155">
        <v>5300</v>
      </c>
      <c r="B53" s="177">
        <v>454.5</v>
      </c>
      <c r="C53" s="177">
        <v>20.6</v>
      </c>
      <c r="D53" s="88">
        <v>1194.5999999999999</v>
      </c>
      <c r="E53" s="177">
        <v>55.6</v>
      </c>
    </row>
    <row r="54" spans="1:5" ht="15">
      <c r="A54" s="155">
        <v>5400</v>
      </c>
      <c r="B54" s="177">
        <v>461.1</v>
      </c>
      <c r="C54" s="177">
        <v>21.1</v>
      </c>
      <c r="D54" s="88">
        <v>1186.3</v>
      </c>
      <c r="E54" s="177">
        <v>55.4</v>
      </c>
    </row>
    <row r="55" spans="1:5" ht="15">
      <c r="A55" s="154">
        <v>5500</v>
      </c>
      <c r="B55" s="201">
        <v>468</v>
      </c>
      <c r="C55" s="201">
        <v>21.7</v>
      </c>
      <c r="D55" s="80">
        <v>1177.8</v>
      </c>
      <c r="E55" s="201">
        <v>55.1</v>
      </c>
    </row>
    <row r="56" spans="1:5" ht="15">
      <c r="A56" s="155">
        <v>5600</v>
      </c>
      <c r="B56" s="177">
        <v>475.3</v>
      </c>
      <c r="C56" s="177">
        <v>22.3</v>
      </c>
      <c r="D56" s="88">
        <v>1168.9000000000001</v>
      </c>
      <c r="E56" s="177">
        <v>54.9</v>
      </c>
    </row>
    <row r="57" spans="1:5" ht="15">
      <c r="A57" s="155">
        <v>5700</v>
      </c>
      <c r="B57" s="177">
        <v>483</v>
      </c>
      <c r="C57" s="177">
        <v>22.8</v>
      </c>
      <c r="D57" s="88">
        <v>1159.7</v>
      </c>
      <c r="E57" s="177">
        <v>54.6</v>
      </c>
    </row>
    <row r="58" spans="1:5" ht="15">
      <c r="A58" s="155">
        <v>5800</v>
      </c>
      <c r="B58" s="177">
        <v>491</v>
      </c>
      <c r="C58" s="177">
        <v>23.4</v>
      </c>
      <c r="D58" s="88">
        <v>1150.0999999999999</v>
      </c>
      <c r="E58" s="177">
        <v>54.3</v>
      </c>
    </row>
    <row r="59" spans="1:5" ht="15">
      <c r="A59" s="155">
        <v>5900</v>
      </c>
      <c r="B59" s="177">
        <v>499.5</v>
      </c>
      <c r="C59" s="177">
        <v>24</v>
      </c>
      <c r="D59" s="88">
        <v>1140.2</v>
      </c>
      <c r="E59" s="177">
        <v>54</v>
      </c>
    </row>
    <row r="60" spans="1:5" ht="15">
      <c r="A60" s="154">
        <v>6000</v>
      </c>
      <c r="B60" s="201">
        <v>508.4</v>
      </c>
      <c r="C60" s="201">
        <v>24.7</v>
      </c>
      <c r="D60" s="80">
        <v>1130</v>
      </c>
      <c r="E60" s="201">
        <v>53.7</v>
      </c>
    </row>
    <row r="61" spans="1:5" ht="15">
      <c r="A61" s="155">
        <v>6100</v>
      </c>
      <c r="B61" s="177">
        <v>517.70000000000005</v>
      </c>
      <c r="C61" s="177">
        <v>25.3</v>
      </c>
      <c r="D61" s="88">
        <v>1119.3</v>
      </c>
      <c r="E61" s="177">
        <v>53.3</v>
      </c>
    </row>
    <row r="62" spans="1:5" ht="15">
      <c r="A62" s="155">
        <v>6200</v>
      </c>
      <c r="B62" s="177">
        <v>527.5</v>
      </c>
      <c r="C62" s="177">
        <v>26</v>
      </c>
      <c r="D62" s="88">
        <v>1108.0999999999999</v>
      </c>
      <c r="E62" s="177">
        <v>53</v>
      </c>
    </row>
    <row r="63" spans="1:5" ht="15">
      <c r="A63" s="155">
        <v>6300</v>
      </c>
      <c r="B63" s="177">
        <v>537.9</v>
      </c>
      <c r="C63" s="177">
        <v>26.6</v>
      </c>
      <c r="D63" s="88">
        <v>1096.5</v>
      </c>
      <c r="E63" s="177">
        <v>52.6</v>
      </c>
    </row>
    <row r="64" spans="1:5" ht="15">
      <c r="A64" s="155">
        <v>6400</v>
      </c>
      <c r="B64" s="177">
        <v>548.9</v>
      </c>
      <c r="C64" s="177">
        <v>27.3</v>
      </c>
      <c r="D64" s="88">
        <v>1084.3</v>
      </c>
      <c r="E64" s="177">
        <v>52.2</v>
      </c>
    </row>
    <row r="65" spans="1:5" ht="15">
      <c r="A65" s="154">
        <v>6500</v>
      </c>
      <c r="B65" s="201">
        <v>560.5</v>
      </c>
      <c r="C65" s="201">
        <v>28.1</v>
      </c>
      <c r="D65" s="80">
        <v>1071.4000000000001</v>
      </c>
      <c r="E65" s="201">
        <v>51.8</v>
      </c>
    </row>
    <row r="66" spans="1:5" ht="15">
      <c r="A66" s="155">
        <v>6600</v>
      </c>
      <c r="B66" s="177">
        <v>572.9</v>
      </c>
      <c r="C66" s="177">
        <v>28.8</v>
      </c>
      <c r="D66" s="88">
        <v>1057.9000000000001</v>
      </c>
      <c r="E66" s="177">
        <v>51.3</v>
      </c>
    </row>
    <row r="67" spans="1:5" ht="15">
      <c r="A67" s="155">
        <v>6700</v>
      </c>
      <c r="B67" s="177">
        <v>586.20000000000005</v>
      </c>
      <c r="C67" s="177">
        <v>29.6</v>
      </c>
      <c r="D67" s="88">
        <v>1043.5</v>
      </c>
      <c r="E67" s="177">
        <v>50.8</v>
      </c>
    </row>
    <row r="68" spans="1:5" ht="15">
      <c r="A68" s="155">
        <v>6800</v>
      </c>
      <c r="B68" s="177">
        <v>600.5</v>
      </c>
      <c r="C68" s="177">
        <v>30.5</v>
      </c>
      <c r="D68" s="88">
        <v>1028.2</v>
      </c>
      <c r="E68" s="177">
        <v>50.3</v>
      </c>
    </row>
    <row r="69" spans="1:5" ht="15">
      <c r="A69" s="155">
        <v>6900</v>
      </c>
      <c r="B69" s="177">
        <v>616.1</v>
      </c>
      <c r="C69" s="177">
        <v>31.4</v>
      </c>
      <c r="D69" s="88">
        <v>1011.6</v>
      </c>
      <c r="E69" s="177">
        <v>49.7</v>
      </c>
    </row>
    <row r="70" spans="1:5" ht="15">
      <c r="A70" s="154">
        <v>7000</v>
      </c>
      <c r="B70" s="201">
        <v>633.29999999999995</v>
      </c>
      <c r="C70" s="201">
        <v>32.4</v>
      </c>
      <c r="D70" s="80">
        <v>993.5</v>
      </c>
      <c r="E70" s="201">
        <v>49</v>
      </c>
    </row>
    <row r="71" spans="1:5" ht="15">
      <c r="A71" s="155">
        <v>7100</v>
      </c>
      <c r="B71" s="177">
        <v>652.6</v>
      </c>
      <c r="C71" s="177">
        <v>33.5</v>
      </c>
      <c r="D71" s="88">
        <v>973.3</v>
      </c>
      <c r="E71" s="177">
        <v>48.3</v>
      </c>
    </row>
    <row r="72" spans="1:5" ht="15">
      <c r="A72" s="155">
        <v>7200</v>
      </c>
      <c r="B72" s="177">
        <v>674.9</v>
      </c>
      <c r="C72" s="177">
        <v>34.700000000000003</v>
      </c>
      <c r="D72" s="88">
        <v>950.2</v>
      </c>
      <c r="E72" s="177">
        <v>47.4</v>
      </c>
    </row>
    <row r="73" spans="1:5" ht="15">
      <c r="A73" s="155">
        <v>7300</v>
      </c>
      <c r="B73" s="177">
        <v>701.9</v>
      </c>
      <c r="C73" s="177">
        <v>36.1</v>
      </c>
      <c r="D73" s="88">
        <v>922.4</v>
      </c>
      <c r="E73" s="177">
        <v>46.3</v>
      </c>
    </row>
    <row r="74" spans="1:5" ht="15">
      <c r="A74" s="169">
        <v>7400</v>
      </c>
      <c r="B74" s="202">
        <v>739</v>
      </c>
      <c r="C74" s="202">
        <v>38</v>
      </c>
      <c r="D74" s="170">
        <v>884.7</v>
      </c>
      <c r="E74" s="202">
        <v>44.7</v>
      </c>
    </row>
    <row r="75" spans="1:5" ht="15">
      <c r="A75" s="154">
        <v>7500</v>
      </c>
      <c r="B75" s="80">
        <v>0</v>
      </c>
      <c r="C75" s="201">
        <v>0</v>
      </c>
      <c r="D75" s="80">
        <v>0</v>
      </c>
      <c r="E75" s="201">
        <v>0</v>
      </c>
    </row>
  </sheetData>
  <sheetProtection selectLockedCells="1" selectUnlockedCells="1"/>
  <mergeCells count="3">
    <mergeCell ref="A1:E1"/>
    <mergeCell ref="F2:G2"/>
    <mergeCell ref="H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I16:I25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>
      <selection sqref="A1:E1"/>
    </sheetView>
  </sheetViews>
  <sheetFormatPr defaultRowHeight="14.25"/>
  <cols>
    <col min="2" max="2" width="14.75" bestFit="1" customWidth="1"/>
    <col min="4" max="4" width="15" bestFit="1" customWidth="1"/>
    <col min="7" max="7" width="10.875" bestFit="1" customWidth="1"/>
    <col min="8" max="8" width="12.25" bestFit="1" customWidth="1"/>
    <col min="9" max="9" width="12.75" bestFit="1" customWidth="1"/>
    <col min="10" max="10" width="14" bestFit="1" customWidth="1"/>
  </cols>
  <sheetData>
    <row r="1" spans="1:16" ht="26.25">
      <c r="A1" s="312" t="s">
        <v>97</v>
      </c>
      <c r="B1" s="312"/>
      <c r="C1" s="312"/>
      <c r="D1" s="312"/>
      <c r="E1" s="312"/>
    </row>
    <row r="2" spans="1:16" ht="15">
      <c r="A2" s="16" t="s">
        <v>0</v>
      </c>
      <c r="B2" s="16" t="s">
        <v>6</v>
      </c>
      <c r="C2" s="16" t="s">
        <v>1</v>
      </c>
      <c r="D2" s="16" t="s">
        <v>7</v>
      </c>
      <c r="E2" s="16" t="s">
        <v>1</v>
      </c>
      <c r="F2" s="307" t="s">
        <v>21</v>
      </c>
      <c r="G2" s="307"/>
      <c r="H2" s="314" t="s">
        <v>103</v>
      </c>
      <c r="I2" s="315"/>
      <c r="J2" s="315"/>
      <c r="K2" s="315"/>
      <c r="L2" s="315"/>
      <c r="M2" s="315"/>
      <c r="N2" s="315"/>
      <c r="O2" s="315"/>
      <c r="P2" s="315"/>
    </row>
    <row r="3" spans="1:16" ht="15">
      <c r="A3" s="156">
        <v>300</v>
      </c>
      <c r="B3" s="157">
        <v>0</v>
      </c>
      <c r="C3" s="157">
        <v>0</v>
      </c>
      <c r="D3" s="157">
        <v>1219.5</v>
      </c>
      <c r="E3" s="157">
        <v>1.8</v>
      </c>
      <c r="F3" s="190" t="s">
        <v>23</v>
      </c>
      <c r="G3" s="190" t="s">
        <v>24</v>
      </c>
      <c r="H3" s="44" t="s">
        <v>17</v>
      </c>
      <c r="I3" s="44" t="s">
        <v>18</v>
      </c>
      <c r="J3" s="44" t="s">
        <v>16</v>
      </c>
      <c r="K3" s="44" t="s">
        <v>26</v>
      </c>
      <c r="L3" s="44" t="s">
        <v>27</v>
      </c>
      <c r="M3" s="77" t="s">
        <v>31</v>
      </c>
      <c r="N3" s="44" t="s">
        <v>19</v>
      </c>
      <c r="O3" s="44" t="s">
        <v>20</v>
      </c>
      <c r="P3" s="11" t="s">
        <v>25</v>
      </c>
    </row>
    <row r="4" spans="1:16" ht="15">
      <c r="A4" s="128">
        <v>400</v>
      </c>
      <c r="B4" s="28">
        <v>0</v>
      </c>
      <c r="C4" s="28">
        <v>0</v>
      </c>
      <c r="D4" s="28">
        <v>1110.5</v>
      </c>
      <c r="E4" s="28">
        <v>1.9</v>
      </c>
      <c r="F4" s="7" t="str">
        <f>IF(G16&gt;9100,"Yes",IF(G16&lt;700,"Yes","No"))</f>
        <v>Yes</v>
      </c>
      <c r="G4" s="45" t="str">
        <f>IF(G16&gt;9100,"Yes",IF(G16&lt;300,"Yes",IF(G16&gt;800,IF(G16&lt;5600,"Yes","No"),"No")))</f>
        <v>Yes</v>
      </c>
      <c r="H4" s="45">
        <f>_xlfn.FLOOR.MATH(G16,100)</f>
        <v>0</v>
      </c>
      <c r="I4" s="46">
        <f t="shared" ref="I4:I13" si="0">H4+100</f>
        <v>100</v>
      </c>
      <c r="J4" s="45">
        <f>(G16-H4)/100</f>
        <v>0</v>
      </c>
      <c r="K4" s="45" t="e">
        <f>VLOOKUP(H4,A:E,IF(I16="L/A",3,5),FALSE)</f>
        <v>#N/A</v>
      </c>
      <c r="L4" s="45" t="e">
        <f>VLOOKUP(I4,A:E,IF(I16="L/A",3,5),FALSE)</f>
        <v>#N/A</v>
      </c>
      <c r="M4" s="78" t="e">
        <f>((L4-K4)*J4)+K4</f>
        <v>#N/A</v>
      </c>
      <c r="N4" s="45" t="e">
        <f>VLOOKUP(H4,A:E,IF(I16="L/a",2,4),FALSE)</f>
        <v>#N/A</v>
      </c>
      <c r="O4" s="45" t="e">
        <f>VLOOKUP(I4,A:E,IF(I16="L/a",2,4),FALSE)</f>
        <v>#N/A</v>
      </c>
      <c r="P4" s="12" t="e">
        <f>((O4-N4)*J4)+N4</f>
        <v>#N/A</v>
      </c>
    </row>
    <row r="5" spans="1:16" ht="15">
      <c r="A5" s="130">
        <v>500</v>
      </c>
      <c r="B5" s="29">
        <v>0</v>
      </c>
      <c r="C5" s="29">
        <v>0</v>
      </c>
      <c r="D5" s="29">
        <v>1013.1</v>
      </c>
      <c r="E5" s="29">
        <v>2</v>
      </c>
      <c r="F5" s="7" t="str">
        <f t="shared" ref="F5:F13" si="1">IF(G17&gt;9100,"Yes",IF(G17&lt;700,"Yes","No"))</f>
        <v>Yes</v>
      </c>
      <c r="G5" s="45" t="str">
        <f t="shared" ref="G5:G13" si="2">IF(G17&gt;9100,"Yes",IF(G17&lt;300,"Yes",IF(G17&gt;800,IF(G17&lt;5600,"Yes","No"),"No")))</f>
        <v>Yes</v>
      </c>
      <c r="H5" s="45">
        <f t="shared" ref="H5:H13" si="3">_xlfn.FLOOR.MATH(G17,100)</f>
        <v>0</v>
      </c>
      <c r="I5" s="46">
        <f t="shared" si="0"/>
        <v>100</v>
      </c>
      <c r="J5" s="45">
        <f t="shared" ref="J5:J13" si="4">(G17-H5)/100</f>
        <v>0</v>
      </c>
      <c r="K5" s="45" t="e">
        <f t="shared" ref="K5:K13" si="5">VLOOKUP(H5,A:E,IF(I17="L/A",3,5),FALSE)</f>
        <v>#N/A</v>
      </c>
      <c r="L5" s="45" t="e">
        <f t="shared" ref="L5:L13" si="6">VLOOKUP(I5,A:E,IF(I17="L/A",3,5),FALSE)</f>
        <v>#N/A</v>
      </c>
      <c r="M5" s="78" t="e">
        <f t="shared" ref="M5:M13" si="7">((L5-K5)*J5)+K5</f>
        <v>#N/A</v>
      </c>
      <c r="N5" s="45" t="e">
        <f t="shared" ref="N5:N13" si="8">VLOOKUP(H5,A:E,IF(I17="L/a",2,4),FALSE)</f>
        <v>#N/A</v>
      </c>
      <c r="O5" s="45" t="e">
        <f t="shared" ref="O5:O13" si="9">VLOOKUP(I5,A:E,IF(I17="L/a",2,4),FALSE)</f>
        <v>#N/A</v>
      </c>
      <c r="P5" s="12" t="e">
        <f t="shared" ref="P5:P13" si="10">(((O5-N5)*J5)+N5)</f>
        <v>#N/A</v>
      </c>
    </row>
    <row r="6" spans="1:16" ht="15">
      <c r="A6" s="128">
        <v>600</v>
      </c>
      <c r="B6" s="28">
        <v>0</v>
      </c>
      <c r="C6" s="28">
        <v>0</v>
      </c>
      <c r="D6" s="28">
        <v>927.2</v>
      </c>
      <c r="E6" s="28">
        <v>2.2000000000000002</v>
      </c>
      <c r="F6" s="7" t="str">
        <f t="shared" si="1"/>
        <v>Yes</v>
      </c>
      <c r="G6" s="45" t="str">
        <f t="shared" si="2"/>
        <v>Yes</v>
      </c>
      <c r="H6" s="45">
        <f t="shared" si="3"/>
        <v>0</v>
      </c>
      <c r="I6" s="46">
        <f t="shared" si="0"/>
        <v>100</v>
      </c>
      <c r="J6" s="45">
        <f t="shared" si="4"/>
        <v>0</v>
      </c>
      <c r="K6" s="45" t="e">
        <f t="shared" si="5"/>
        <v>#N/A</v>
      </c>
      <c r="L6" s="45" t="e">
        <f t="shared" si="6"/>
        <v>#N/A</v>
      </c>
      <c r="M6" s="78" t="e">
        <f t="shared" si="7"/>
        <v>#N/A</v>
      </c>
      <c r="N6" s="45" t="e">
        <f t="shared" si="8"/>
        <v>#N/A</v>
      </c>
      <c r="O6" s="45" t="e">
        <f t="shared" si="9"/>
        <v>#N/A</v>
      </c>
      <c r="P6" s="12" t="e">
        <f t="shared" si="10"/>
        <v>#N/A</v>
      </c>
    </row>
    <row r="7" spans="1:16" ht="15">
      <c r="A7" s="128">
        <v>700</v>
      </c>
      <c r="B7" s="28">
        <v>852.2</v>
      </c>
      <c r="C7" s="28">
        <v>2.4</v>
      </c>
      <c r="D7" s="28">
        <v>852.2</v>
      </c>
      <c r="E7" s="28">
        <v>2.4</v>
      </c>
      <c r="F7" s="7" t="str">
        <f t="shared" si="1"/>
        <v>Yes</v>
      </c>
      <c r="G7" s="45" t="str">
        <f t="shared" si="2"/>
        <v>Yes</v>
      </c>
      <c r="H7" s="45">
        <f t="shared" si="3"/>
        <v>0</v>
      </c>
      <c r="I7" s="46">
        <f t="shared" si="0"/>
        <v>100</v>
      </c>
      <c r="J7" s="45">
        <f t="shared" si="4"/>
        <v>0</v>
      </c>
      <c r="K7" s="45" t="e">
        <f t="shared" si="5"/>
        <v>#N/A</v>
      </c>
      <c r="L7" s="45" t="e">
        <f t="shared" si="6"/>
        <v>#N/A</v>
      </c>
      <c r="M7" s="78" t="e">
        <f t="shared" si="7"/>
        <v>#N/A</v>
      </c>
      <c r="N7" s="45" t="e">
        <f t="shared" si="8"/>
        <v>#N/A</v>
      </c>
      <c r="O7" s="45" t="e">
        <f t="shared" si="9"/>
        <v>#N/A</v>
      </c>
      <c r="P7" s="12" t="e">
        <f t="shared" si="10"/>
        <v>#N/A</v>
      </c>
    </row>
    <row r="8" spans="1:16" ht="15">
      <c r="A8" s="128">
        <v>800</v>
      </c>
      <c r="B8" s="28">
        <v>786.8</v>
      </c>
      <c r="C8" s="28">
        <v>2.5</v>
      </c>
      <c r="D8" s="28">
        <v>786.8</v>
      </c>
      <c r="E8" s="28">
        <v>2.5</v>
      </c>
      <c r="F8" s="7" t="str">
        <f t="shared" si="1"/>
        <v>Yes</v>
      </c>
      <c r="G8" s="45" t="str">
        <f t="shared" si="2"/>
        <v>Yes</v>
      </c>
      <c r="H8" s="45">
        <f t="shared" si="3"/>
        <v>0</v>
      </c>
      <c r="I8" s="46">
        <f t="shared" si="0"/>
        <v>100</v>
      </c>
      <c r="J8" s="45">
        <f t="shared" si="4"/>
        <v>0</v>
      </c>
      <c r="K8" s="45" t="e">
        <f t="shared" si="5"/>
        <v>#N/A</v>
      </c>
      <c r="L8" s="45" t="e">
        <f t="shared" si="6"/>
        <v>#N/A</v>
      </c>
      <c r="M8" s="78" t="e">
        <f t="shared" si="7"/>
        <v>#N/A</v>
      </c>
      <c r="N8" s="45" t="e">
        <f t="shared" si="8"/>
        <v>#N/A</v>
      </c>
      <c r="O8" s="45" t="e">
        <f t="shared" si="9"/>
        <v>#N/A</v>
      </c>
      <c r="P8" s="12" t="e">
        <f t="shared" si="10"/>
        <v>#N/A</v>
      </c>
    </row>
    <row r="9" spans="1:16" ht="15">
      <c r="A9" s="128">
        <v>900</v>
      </c>
      <c r="B9" s="189">
        <v>730</v>
      </c>
      <c r="C9" s="28">
        <v>2.7</v>
      </c>
      <c r="D9" s="28">
        <v>0</v>
      </c>
      <c r="E9" s="28">
        <v>0</v>
      </c>
      <c r="F9" s="7" t="str">
        <f t="shared" si="1"/>
        <v>Yes</v>
      </c>
      <c r="G9" s="45" t="str">
        <f t="shared" si="2"/>
        <v>Yes</v>
      </c>
      <c r="H9" s="45">
        <f t="shared" si="3"/>
        <v>0</v>
      </c>
      <c r="I9" s="46">
        <f t="shared" si="0"/>
        <v>100</v>
      </c>
      <c r="J9" s="45">
        <f t="shared" si="4"/>
        <v>0</v>
      </c>
      <c r="K9" s="45" t="e">
        <f t="shared" si="5"/>
        <v>#N/A</v>
      </c>
      <c r="L9" s="45" t="e">
        <f t="shared" si="6"/>
        <v>#N/A</v>
      </c>
      <c r="M9" s="78" t="e">
        <f t="shared" si="7"/>
        <v>#N/A</v>
      </c>
      <c r="N9" s="45" t="e">
        <f t="shared" si="8"/>
        <v>#N/A</v>
      </c>
      <c r="O9" s="45" t="e">
        <f t="shared" si="9"/>
        <v>#N/A</v>
      </c>
      <c r="P9" s="12" t="e">
        <f t="shared" si="10"/>
        <v>#N/A</v>
      </c>
    </row>
    <row r="10" spans="1:16" ht="15">
      <c r="A10" s="130">
        <v>1000</v>
      </c>
      <c r="B10" s="29">
        <v>680.5</v>
      </c>
      <c r="C10" s="29">
        <v>2.9</v>
      </c>
      <c r="D10" s="29">
        <v>0</v>
      </c>
      <c r="E10" s="29">
        <v>0</v>
      </c>
      <c r="F10" s="7" t="str">
        <f t="shared" si="1"/>
        <v>Yes</v>
      </c>
      <c r="G10" s="45" t="str">
        <f t="shared" si="2"/>
        <v>Yes</v>
      </c>
      <c r="H10" s="45">
        <f t="shared" si="3"/>
        <v>0</v>
      </c>
      <c r="I10" s="46">
        <f t="shared" si="0"/>
        <v>100</v>
      </c>
      <c r="J10" s="45">
        <f t="shared" si="4"/>
        <v>0</v>
      </c>
      <c r="K10" s="45" t="e">
        <f t="shared" si="5"/>
        <v>#N/A</v>
      </c>
      <c r="L10" s="45" t="e">
        <f t="shared" si="6"/>
        <v>#N/A</v>
      </c>
      <c r="M10" s="78" t="e">
        <f t="shared" si="7"/>
        <v>#N/A</v>
      </c>
      <c r="N10" s="45" t="e">
        <f t="shared" si="8"/>
        <v>#N/A</v>
      </c>
      <c r="O10" s="45" t="e">
        <f t="shared" si="9"/>
        <v>#N/A</v>
      </c>
      <c r="P10" s="12" t="e">
        <f t="shared" si="10"/>
        <v>#N/A</v>
      </c>
    </row>
    <row r="11" spans="1:16" ht="15">
      <c r="A11" s="128">
        <v>1100</v>
      </c>
      <c r="B11" s="28">
        <v>637.4</v>
      </c>
      <c r="C11" s="28">
        <v>3.2</v>
      </c>
      <c r="D11" s="28">
        <v>0</v>
      </c>
      <c r="E11" s="28">
        <v>0</v>
      </c>
      <c r="F11" s="7" t="str">
        <f t="shared" si="1"/>
        <v>Yes</v>
      </c>
      <c r="G11" s="45" t="str">
        <f t="shared" si="2"/>
        <v>Yes</v>
      </c>
      <c r="H11" s="45">
        <f t="shared" si="3"/>
        <v>0</v>
      </c>
      <c r="I11" s="46">
        <f t="shared" si="0"/>
        <v>100</v>
      </c>
      <c r="J11" s="45">
        <f t="shared" si="4"/>
        <v>0</v>
      </c>
      <c r="K11" s="45" t="e">
        <f t="shared" si="5"/>
        <v>#N/A</v>
      </c>
      <c r="L11" s="45" t="e">
        <f t="shared" si="6"/>
        <v>#N/A</v>
      </c>
      <c r="M11" s="78" t="e">
        <f t="shared" si="7"/>
        <v>#N/A</v>
      </c>
      <c r="N11" s="45" t="e">
        <f t="shared" si="8"/>
        <v>#N/A</v>
      </c>
      <c r="O11" s="45" t="e">
        <f t="shared" si="9"/>
        <v>#N/A</v>
      </c>
      <c r="P11" s="12" t="e">
        <f t="shared" si="10"/>
        <v>#N/A</v>
      </c>
    </row>
    <row r="12" spans="1:16" ht="15">
      <c r="A12" s="128">
        <v>1200</v>
      </c>
      <c r="B12" s="28">
        <v>599.70000000000005</v>
      </c>
      <c r="C12" s="28">
        <v>3.4</v>
      </c>
      <c r="D12" s="28">
        <v>0</v>
      </c>
      <c r="E12" s="28">
        <v>0</v>
      </c>
      <c r="F12" s="7" t="str">
        <f t="shared" si="1"/>
        <v>Yes</v>
      </c>
      <c r="G12" s="45" t="str">
        <f t="shared" si="2"/>
        <v>Yes</v>
      </c>
      <c r="H12" s="45">
        <f t="shared" si="3"/>
        <v>0</v>
      </c>
      <c r="I12" s="46">
        <f t="shared" si="0"/>
        <v>100</v>
      </c>
      <c r="J12" s="45">
        <f t="shared" si="4"/>
        <v>0</v>
      </c>
      <c r="K12" s="45" t="e">
        <f t="shared" si="5"/>
        <v>#N/A</v>
      </c>
      <c r="L12" s="45" t="e">
        <f t="shared" si="6"/>
        <v>#N/A</v>
      </c>
      <c r="M12" s="78" t="e">
        <f t="shared" si="7"/>
        <v>#N/A</v>
      </c>
      <c r="N12" s="45" t="e">
        <f t="shared" si="8"/>
        <v>#N/A</v>
      </c>
      <c r="O12" s="45" t="e">
        <f t="shared" si="9"/>
        <v>#N/A</v>
      </c>
      <c r="P12" s="12" t="e">
        <f t="shared" si="10"/>
        <v>#N/A</v>
      </c>
    </row>
    <row r="13" spans="1:16" ht="15">
      <c r="A13" s="128">
        <v>1300</v>
      </c>
      <c r="B13" s="28">
        <v>566.6</v>
      </c>
      <c r="C13" s="28">
        <v>3.6</v>
      </c>
      <c r="D13" s="28">
        <v>0</v>
      </c>
      <c r="E13" s="28">
        <v>0</v>
      </c>
      <c r="F13" s="7" t="str">
        <f t="shared" si="1"/>
        <v>Yes</v>
      </c>
      <c r="G13" s="45" t="str">
        <f t="shared" si="2"/>
        <v>Yes</v>
      </c>
      <c r="H13" s="45">
        <f t="shared" si="3"/>
        <v>0</v>
      </c>
      <c r="I13" s="46">
        <f t="shared" si="0"/>
        <v>100</v>
      </c>
      <c r="J13" s="45">
        <f t="shared" si="4"/>
        <v>0</v>
      </c>
      <c r="K13" s="45" t="e">
        <f t="shared" si="5"/>
        <v>#N/A</v>
      </c>
      <c r="L13" s="45" t="e">
        <f t="shared" si="6"/>
        <v>#N/A</v>
      </c>
      <c r="M13" s="78" t="e">
        <f t="shared" si="7"/>
        <v>#N/A</v>
      </c>
      <c r="N13" s="45" t="e">
        <f t="shared" si="8"/>
        <v>#N/A</v>
      </c>
      <c r="O13" s="45" t="e">
        <f t="shared" si="9"/>
        <v>#N/A</v>
      </c>
      <c r="P13" s="12" t="e">
        <f t="shared" si="10"/>
        <v>#N/A</v>
      </c>
    </row>
    <row r="14" spans="1:16" ht="15.75" thickBot="1">
      <c r="A14" s="128">
        <v>1400</v>
      </c>
      <c r="B14" s="28">
        <v>537.5</v>
      </c>
      <c r="C14" s="28">
        <v>3.9</v>
      </c>
      <c r="D14" s="28">
        <v>0</v>
      </c>
      <c r="E14" s="28">
        <v>0</v>
      </c>
    </row>
    <row r="15" spans="1:16" ht="15.75" thickBot="1">
      <c r="A15" s="130">
        <v>1500</v>
      </c>
      <c r="B15" s="29">
        <v>511.9</v>
      </c>
      <c r="C15" s="29">
        <v>4.0999999999999996</v>
      </c>
      <c r="D15" s="29">
        <v>0</v>
      </c>
      <c r="E15" s="29">
        <v>0</v>
      </c>
      <c r="F15" s="96" t="s">
        <v>12</v>
      </c>
      <c r="G15" s="203" t="s">
        <v>38</v>
      </c>
      <c r="H15" s="196" t="s">
        <v>39</v>
      </c>
      <c r="I15" s="198" t="s">
        <v>22</v>
      </c>
    </row>
    <row r="16" spans="1:16" ht="15">
      <c r="A16" s="128">
        <v>1600</v>
      </c>
      <c r="B16" s="28">
        <v>489.3</v>
      </c>
      <c r="C16" s="28">
        <v>4.4000000000000004</v>
      </c>
      <c r="D16" s="28">
        <v>0</v>
      </c>
      <c r="E16" s="28">
        <v>0</v>
      </c>
      <c r="F16" s="97">
        <v>1</v>
      </c>
      <c r="G16" s="194">
        <f>'3 HE'!K19</f>
        <v>0</v>
      </c>
      <c r="H16" s="194">
        <f>INPUT!C5</f>
        <v>0</v>
      </c>
      <c r="I16" s="195" t="str">
        <f>INPUT!D5</f>
        <v>L/A</v>
      </c>
    </row>
    <row r="17" spans="1:9" ht="15">
      <c r="A17" s="128">
        <v>1700</v>
      </c>
      <c r="B17" s="28">
        <v>569.20000000000005</v>
      </c>
      <c r="C17" s="28">
        <v>4.7</v>
      </c>
      <c r="D17" s="28">
        <v>0</v>
      </c>
      <c r="E17" s="28">
        <v>0</v>
      </c>
      <c r="F17" s="97">
        <v>2</v>
      </c>
      <c r="G17" s="110">
        <f>'3 HE'!K20</f>
        <v>0</v>
      </c>
      <c r="H17" s="194">
        <f>INPUT!C6</f>
        <v>0</v>
      </c>
      <c r="I17" s="111" t="str">
        <f>'1 HE'!N3</f>
        <v>L/A</v>
      </c>
    </row>
    <row r="18" spans="1:9" ht="15">
      <c r="A18" s="128">
        <v>1800</v>
      </c>
      <c r="B18" s="28">
        <v>451.4</v>
      </c>
      <c r="C18" s="28">
        <v>4.9000000000000004</v>
      </c>
      <c r="D18" s="28">
        <v>0</v>
      </c>
      <c r="E18" s="28">
        <v>0</v>
      </c>
      <c r="F18" s="97">
        <v>3</v>
      </c>
      <c r="G18" s="110">
        <f>'3 HE'!K21</f>
        <v>0</v>
      </c>
      <c r="H18" s="194">
        <f>INPUT!C7</f>
        <v>0</v>
      </c>
      <c r="I18" s="111" t="str">
        <f>'1 HE'!N4</f>
        <v>L/A</v>
      </c>
    </row>
    <row r="19" spans="1:9" ht="15">
      <c r="A19" s="128">
        <v>1900</v>
      </c>
      <c r="B19" s="28">
        <v>435.7</v>
      </c>
      <c r="C19" s="28">
        <v>5.2</v>
      </c>
      <c r="D19" s="28">
        <v>0</v>
      </c>
      <c r="E19" s="28">
        <v>0</v>
      </c>
      <c r="F19" s="97">
        <v>4</v>
      </c>
      <c r="G19" s="110">
        <f>'3 HE'!K22</f>
        <v>0</v>
      </c>
      <c r="H19" s="194">
        <f>INPUT!C8</f>
        <v>0</v>
      </c>
      <c r="I19" s="111" t="str">
        <f>'1 HE'!N5</f>
        <v>L/A</v>
      </c>
    </row>
    <row r="20" spans="1:9" ht="15">
      <c r="A20" s="130">
        <v>2000</v>
      </c>
      <c r="B20" s="29">
        <v>421.6</v>
      </c>
      <c r="C20" s="29">
        <v>5.5</v>
      </c>
      <c r="D20" s="29">
        <v>0</v>
      </c>
      <c r="E20" s="29">
        <v>0</v>
      </c>
      <c r="F20" s="97">
        <v>5</v>
      </c>
      <c r="G20" s="110">
        <f>'3 HE'!K23</f>
        <v>0</v>
      </c>
      <c r="H20" s="194">
        <f>INPUT!C9</f>
        <v>0</v>
      </c>
      <c r="I20" s="111" t="str">
        <f>'1 HE'!N6</f>
        <v>L/A</v>
      </c>
    </row>
    <row r="21" spans="1:9" ht="15">
      <c r="A21" s="128">
        <v>2100</v>
      </c>
      <c r="B21" s="28">
        <v>409.1</v>
      </c>
      <c r="C21" s="28">
        <v>5.8</v>
      </c>
      <c r="D21" s="28">
        <v>0</v>
      </c>
      <c r="E21" s="28">
        <v>0</v>
      </c>
      <c r="F21" s="97">
        <v>6</v>
      </c>
      <c r="G21" s="110">
        <f>'3 HE'!K24</f>
        <v>0</v>
      </c>
      <c r="H21" s="194">
        <f>INPUT!C10</f>
        <v>0</v>
      </c>
      <c r="I21" s="111" t="str">
        <f>'1 HE'!N7</f>
        <v>L/A</v>
      </c>
    </row>
    <row r="22" spans="1:9" ht="15">
      <c r="A22" s="128">
        <v>2200</v>
      </c>
      <c r="B22" s="28">
        <v>398</v>
      </c>
      <c r="C22" s="28">
        <v>6.1</v>
      </c>
      <c r="D22" s="28">
        <v>0</v>
      </c>
      <c r="E22" s="28">
        <v>0</v>
      </c>
      <c r="F22" s="97">
        <v>7</v>
      </c>
      <c r="G22" s="110">
        <f>'3 HE'!K25</f>
        <v>0</v>
      </c>
      <c r="H22" s="194">
        <f>INPUT!C11</f>
        <v>0</v>
      </c>
      <c r="I22" s="111" t="str">
        <f>'1 HE'!N8</f>
        <v>L/A</v>
      </c>
    </row>
    <row r="23" spans="1:9" ht="15">
      <c r="A23" s="128">
        <v>2300</v>
      </c>
      <c r="B23" s="28">
        <v>388.1</v>
      </c>
      <c r="C23" s="28">
        <v>6.4</v>
      </c>
      <c r="D23" s="28">
        <v>0</v>
      </c>
      <c r="E23" s="28">
        <v>0</v>
      </c>
      <c r="F23" s="97">
        <v>8</v>
      </c>
      <c r="G23" s="110">
        <f>'3 HE'!K26</f>
        <v>0</v>
      </c>
      <c r="H23" s="194">
        <f>INPUT!C12</f>
        <v>0</v>
      </c>
      <c r="I23" s="111" t="str">
        <f>'1 HE'!N9</f>
        <v>L/A</v>
      </c>
    </row>
    <row r="24" spans="1:9" ht="15">
      <c r="A24" s="128">
        <v>2400</v>
      </c>
      <c r="B24" s="28">
        <v>379.3</v>
      </c>
      <c r="C24" s="28">
        <v>6.7</v>
      </c>
      <c r="D24" s="28">
        <v>0</v>
      </c>
      <c r="E24" s="28">
        <v>0</v>
      </c>
      <c r="F24" s="97">
        <v>9</v>
      </c>
      <c r="G24" s="110">
        <f>'3 HE'!K27</f>
        <v>0</v>
      </c>
      <c r="H24" s="194">
        <f>INPUT!C13</f>
        <v>0</v>
      </c>
      <c r="I24" s="111" t="str">
        <f>'1 HE'!N10</f>
        <v>L/A</v>
      </c>
    </row>
    <row r="25" spans="1:9" ht="15.75" thickBot="1">
      <c r="A25" s="130">
        <v>2500</v>
      </c>
      <c r="B25" s="29">
        <v>371.6</v>
      </c>
      <c r="C25" s="29">
        <v>7</v>
      </c>
      <c r="D25" s="29">
        <v>0</v>
      </c>
      <c r="E25" s="29">
        <v>0</v>
      </c>
      <c r="F25" s="98">
        <v>10</v>
      </c>
      <c r="G25" s="110">
        <f>'3 HE'!K28</f>
        <v>0</v>
      </c>
      <c r="H25" s="194">
        <f>INPUT!C14</f>
        <v>0</v>
      </c>
      <c r="I25" s="111" t="str">
        <f>'1 HE'!N11</f>
        <v>L/A</v>
      </c>
    </row>
    <row r="26" spans="1:9" ht="15">
      <c r="A26" s="128">
        <v>2600</v>
      </c>
      <c r="B26" s="28">
        <v>364.7</v>
      </c>
      <c r="C26" s="28">
        <v>7.3</v>
      </c>
      <c r="D26" s="28">
        <v>0</v>
      </c>
      <c r="E26" s="28">
        <v>0</v>
      </c>
    </row>
    <row r="27" spans="1:9" ht="15">
      <c r="A27" s="128">
        <v>2700</v>
      </c>
      <c r="B27" s="28">
        <v>358.6</v>
      </c>
      <c r="C27" s="28">
        <v>7.7</v>
      </c>
      <c r="D27" s="28">
        <v>0</v>
      </c>
      <c r="E27" s="28">
        <v>0</v>
      </c>
    </row>
    <row r="28" spans="1:9" ht="15">
      <c r="A28" s="128">
        <v>2800</v>
      </c>
      <c r="B28" s="28">
        <v>353.3</v>
      </c>
      <c r="C28" s="28">
        <v>8</v>
      </c>
      <c r="D28" s="28">
        <v>0</v>
      </c>
      <c r="E28" s="28">
        <v>0</v>
      </c>
    </row>
    <row r="29" spans="1:9" ht="15">
      <c r="A29" s="128">
        <v>2900</v>
      </c>
      <c r="B29" s="28">
        <v>348.7</v>
      </c>
      <c r="C29" s="28">
        <v>8.3000000000000007</v>
      </c>
      <c r="D29" s="28">
        <v>0</v>
      </c>
      <c r="E29" s="28">
        <v>0</v>
      </c>
    </row>
    <row r="30" spans="1:9" ht="15">
      <c r="A30" s="130">
        <v>3000</v>
      </c>
      <c r="B30" s="29">
        <v>344.7</v>
      </c>
      <c r="C30" s="29">
        <v>8.6999999999999993</v>
      </c>
      <c r="D30" s="29">
        <v>0</v>
      </c>
      <c r="E30" s="29">
        <v>0</v>
      </c>
    </row>
    <row r="31" spans="1:9" ht="15">
      <c r="A31" s="128">
        <v>3100</v>
      </c>
      <c r="B31" s="28">
        <v>341.3</v>
      </c>
      <c r="C31" s="28">
        <v>9</v>
      </c>
      <c r="D31" s="28">
        <v>0</v>
      </c>
      <c r="E31" s="28">
        <v>0</v>
      </c>
    </row>
    <row r="32" spans="1:9" ht="15">
      <c r="A32" s="128">
        <v>3200</v>
      </c>
      <c r="B32" s="28">
        <v>338.4</v>
      </c>
      <c r="C32" s="28">
        <v>9.3000000000000007</v>
      </c>
      <c r="D32" s="28">
        <v>0</v>
      </c>
      <c r="E32" s="28">
        <v>0</v>
      </c>
    </row>
    <row r="33" spans="1:5" ht="15">
      <c r="A33" s="128">
        <v>3300</v>
      </c>
      <c r="B33" s="28">
        <v>336.1</v>
      </c>
      <c r="C33" s="28">
        <v>9.6999999999999993</v>
      </c>
      <c r="D33" s="28">
        <v>0</v>
      </c>
      <c r="E33" s="28">
        <v>0</v>
      </c>
    </row>
    <row r="34" spans="1:5" ht="15">
      <c r="A34" s="128">
        <v>3400</v>
      </c>
      <c r="B34" s="28">
        <v>334.2</v>
      </c>
      <c r="C34" s="28">
        <v>10</v>
      </c>
      <c r="D34" s="28">
        <v>0</v>
      </c>
      <c r="E34" s="28">
        <v>0</v>
      </c>
    </row>
    <row r="35" spans="1:5" ht="15">
      <c r="A35" s="130">
        <v>3500</v>
      </c>
      <c r="B35" s="29">
        <v>332.7</v>
      </c>
      <c r="C35" s="29">
        <v>10.4</v>
      </c>
      <c r="D35" s="29">
        <v>0</v>
      </c>
      <c r="E35" s="29">
        <v>0</v>
      </c>
    </row>
    <row r="36" spans="1:5" ht="15">
      <c r="A36" s="152">
        <v>3600</v>
      </c>
      <c r="B36" s="53">
        <v>331.6</v>
      </c>
      <c r="C36" s="53">
        <v>10.7</v>
      </c>
      <c r="D36" s="53">
        <v>0</v>
      </c>
      <c r="E36" s="53">
        <v>0</v>
      </c>
    </row>
    <row r="37" spans="1:5" ht="15">
      <c r="A37" s="128">
        <v>3700</v>
      </c>
      <c r="B37" s="28">
        <v>330.9</v>
      </c>
      <c r="C37" s="28">
        <v>11.1</v>
      </c>
      <c r="D37" s="28">
        <v>0</v>
      </c>
      <c r="E37" s="28">
        <v>0</v>
      </c>
    </row>
    <row r="38" spans="1:5" ht="15">
      <c r="A38" s="128">
        <v>3800</v>
      </c>
      <c r="B38" s="28">
        <v>330.5</v>
      </c>
      <c r="C38" s="28">
        <v>11.5</v>
      </c>
      <c r="D38" s="28">
        <v>0</v>
      </c>
      <c r="E38" s="28">
        <v>0</v>
      </c>
    </row>
    <row r="39" spans="1:5" ht="15">
      <c r="A39" s="128">
        <v>3900</v>
      </c>
      <c r="B39" s="28">
        <v>330.5</v>
      </c>
      <c r="C39" s="28">
        <v>11.8</v>
      </c>
      <c r="D39" s="28">
        <v>0</v>
      </c>
      <c r="E39" s="28">
        <v>0</v>
      </c>
    </row>
    <row r="40" spans="1:5" ht="15">
      <c r="A40" s="154">
        <v>4000</v>
      </c>
      <c r="B40" s="29">
        <v>330.9</v>
      </c>
      <c r="C40" s="29">
        <v>12.2</v>
      </c>
      <c r="D40" s="29">
        <v>0</v>
      </c>
      <c r="E40" s="29">
        <v>0</v>
      </c>
    </row>
    <row r="41" spans="1:5" ht="15">
      <c r="A41" s="152">
        <v>4100</v>
      </c>
      <c r="B41" s="53">
        <v>331.5</v>
      </c>
      <c r="C41" s="53">
        <v>12.6</v>
      </c>
      <c r="D41" s="53">
        <v>0</v>
      </c>
      <c r="E41" s="53">
        <v>0</v>
      </c>
    </row>
    <row r="42" spans="1:5" ht="15">
      <c r="A42" s="152">
        <v>4200</v>
      </c>
      <c r="B42" s="53">
        <v>332.4</v>
      </c>
      <c r="C42" s="53">
        <v>13</v>
      </c>
      <c r="D42" s="53">
        <v>0</v>
      </c>
      <c r="E42" s="53">
        <v>0</v>
      </c>
    </row>
    <row r="43" spans="1:5" ht="15">
      <c r="A43" s="128">
        <v>4300</v>
      </c>
      <c r="B43" s="28">
        <v>333.6</v>
      </c>
      <c r="C43" s="28">
        <v>13.3</v>
      </c>
      <c r="D43" s="28">
        <v>0</v>
      </c>
      <c r="E43" s="28">
        <v>0</v>
      </c>
    </row>
    <row r="44" spans="1:5" ht="15">
      <c r="A44" s="128">
        <v>4400</v>
      </c>
      <c r="B44" s="28">
        <v>335</v>
      </c>
      <c r="C44" s="28">
        <v>13.7</v>
      </c>
      <c r="D44" s="28">
        <v>0</v>
      </c>
      <c r="E44" s="28">
        <v>0</v>
      </c>
    </row>
    <row r="45" spans="1:5" ht="15">
      <c r="A45" s="130">
        <v>4500</v>
      </c>
      <c r="B45" s="29">
        <v>336.7</v>
      </c>
      <c r="C45" s="29">
        <v>14.1</v>
      </c>
      <c r="D45" s="29">
        <v>0</v>
      </c>
      <c r="E45" s="29">
        <v>0</v>
      </c>
    </row>
    <row r="46" spans="1:5" ht="15">
      <c r="A46" s="155">
        <v>4600</v>
      </c>
      <c r="B46" s="88">
        <v>338.7</v>
      </c>
      <c r="C46" s="88">
        <v>14.5</v>
      </c>
      <c r="D46" s="88">
        <v>0</v>
      </c>
      <c r="E46" s="88">
        <v>0</v>
      </c>
    </row>
    <row r="47" spans="1:5" ht="15">
      <c r="A47" s="155">
        <v>4700</v>
      </c>
      <c r="B47" s="88">
        <v>340.9</v>
      </c>
      <c r="C47" s="88">
        <v>14.9</v>
      </c>
      <c r="D47" s="88">
        <v>0</v>
      </c>
      <c r="E47" s="88">
        <v>0</v>
      </c>
    </row>
    <row r="48" spans="1:5" ht="15">
      <c r="A48" s="155">
        <v>4800</v>
      </c>
      <c r="B48" s="88">
        <v>343.3</v>
      </c>
      <c r="C48" s="88">
        <v>15.3</v>
      </c>
      <c r="D48" s="88">
        <v>0</v>
      </c>
      <c r="E48" s="88">
        <v>0</v>
      </c>
    </row>
    <row r="49" spans="1:5" ht="15">
      <c r="A49" s="155">
        <v>4900</v>
      </c>
      <c r="B49" s="88">
        <v>345.9</v>
      </c>
      <c r="C49" s="88">
        <v>15.7</v>
      </c>
      <c r="D49" s="88">
        <v>0</v>
      </c>
      <c r="E49" s="88">
        <v>0</v>
      </c>
    </row>
    <row r="50" spans="1:5" ht="15">
      <c r="A50" s="154">
        <v>5000</v>
      </c>
      <c r="B50" s="80">
        <v>348.8</v>
      </c>
      <c r="C50" s="80">
        <v>16.2</v>
      </c>
      <c r="D50" s="80">
        <v>0</v>
      </c>
      <c r="E50" s="80">
        <v>0</v>
      </c>
    </row>
    <row r="51" spans="1:5" ht="15">
      <c r="A51" s="155">
        <v>5100</v>
      </c>
      <c r="B51" s="88">
        <v>351.9</v>
      </c>
      <c r="C51" s="88">
        <v>16.600000000000001</v>
      </c>
      <c r="D51" s="88">
        <v>0</v>
      </c>
      <c r="E51" s="88">
        <v>0</v>
      </c>
    </row>
    <row r="52" spans="1:5" ht="15">
      <c r="A52" s="155">
        <v>5200</v>
      </c>
      <c r="B52" s="88">
        <v>355.2</v>
      </c>
      <c r="C52" s="88">
        <v>17</v>
      </c>
      <c r="D52" s="88">
        <v>0</v>
      </c>
      <c r="E52" s="88">
        <v>0</v>
      </c>
    </row>
    <row r="53" spans="1:5" ht="15">
      <c r="A53" s="155">
        <v>5300</v>
      </c>
      <c r="B53" s="88">
        <v>358.7</v>
      </c>
      <c r="C53" s="88">
        <v>17.399999999999999</v>
      </c>
      <c r="D53" s="88">
        <v>0</v>
      </c>
      <c r="E53" s="88">
        <v>0</v>
      </c>
    </row>
    <row r="54" spans="1:5" ht="15">
      <c r="A54" s="155">
        <v>5400</v>
      </c>
      <c r="B54" s="88">
        <v>362.4</v>
      </c>
      <c r="C54" s="88">
        <v>17.899999999999999</v>
      </c>
      <c r="D54" s="88">
        <v>0</v>
      </c>
      <c r="E54" s="88">
        <v>0</v>
      </c>
    </row>
    <row r="55" spans="1:5" ht="15">
      <c r="A55" s="154">
        <v>5500</v>
      </c>
      <c r="B55" s="80">
        <v>366.3</v>
      </c>
      <c r="C55" s="80">
        <v>18.3</v>
      </c>
      <c r="D55" s="80">
        <v>0</v>
      </c>
      <c r="E55" s="80">
        <v>0</v>
      </c>
    </row>
    <row r="56" spans="1:5" ht="15">
      <c r="A56" s="155">
        <v>5600</v>
      </c>
      <c r="B56" s="88">
        <v>370.4</v>
      </c>
      <c r="C56" s="88">
        <v>18.8</v>
      </c>
      <c r="D56" s="88">
        <v>1237.8</v>
      </c>
      <c r="E56" s="88">
        <v>65.8</v>
      </c>
    </row>
    <row r="57" spans="1:5" ht="15">
      <c r="A57" s="155">
        <v>5700</v>
      </c>
      <c r="B57" s="88">
        <v>374.7</v>
      </c>
      <c r="C57" s="88">
        <v>19.2</v>
      </c>
      <c r="D57" s="88">
        <v>1233.2</v>
      </c>
      <c r="E57" s="88">
        <v>65.599999999999994</v>
      </c>
    </row>
    <row r="58" spans="1:5" ht="15">
      <c r="A58" s="155">
        <v>5800</v>
      </c>
      <c r="B58" s="88">
        <v>379.2</v>
      </c>
      <c r="C58" s="88">
        <v>19.7</v>
      </c>
      <c r="D58" s="88">
        <v>1228.4000000000001</v>
      </c>
      <c r="E58" s="88">
        <v>65.400000000000006</v>
      </c>
    </row>
    <row r="59" spans="1:5" ht="15">
      <c r="A59" s="155">
        <v>5900</v>
      </c>
      <c r="B59" s="88">
        <v>383.9</v>
      </c>
      <c r="C59" s="88">
        <v>20.2</v>
      </c>
      <c r="D59" s="88">
        <v>1223.4000000000001</v>
      </c>
      <c r="E59" s="88">
        <v>65.2</v>
      </c>
    </row>
    <row r="60" spans="1:5" ht="15">
      <c r="A60" s="154">
        <v>6000</v>
      </c>
      <c r="B60" s="80">
        <v>388.8</v>
      </c>
      <c r="C60" s="80">
        <v>20.6</v>
      </c>
      <c r="D60" s="80">
        <v>1218.0999999999999</v>
      </c>
      <c r="E60" s="80">
        <v>65</v>
      </c>
    </row>
    <row r="61" spans="1:5" ht="15">
      <c r="A61" s="155">
        <v>6100</v>
      </c>
      <c r="B61" s="88">
        <v>393.9</v>
      </c>
      <c r="C61" s="88">
        <v>21.1</v>
      </c>
      <c r="D61" s="88">
        <v>1212.7</v>
      </c>
      <c r="E61" s="88">
        <v>64.8</v>
      </c>
    </row>
    <row r="62" spans="1:5" ht="15">
      <c r="A62" s="155">
        <v>6200</v>
      </c>
      <c r="B62" s="88">
        <v>399.2</v>
      </c>
      <c r="C62" s="88">
        <v>21.6</v>
      </c>
      <c r="D62" s="88">
        <v>11207</v>
      </c>
      <c r="E62" s="88">
        <v>64.599999999999994</v>
      </c>
    </row>
    <row r="63" spans="1:5" ht="15">
      <c r="A63" s="155">
        <v>6300</v>
      </c>
      <c r="B63" s="88">
        <v>404.7</v>
      </c>
      <c r="C63" s="88">
        <v>22.1</v>
      </c>
      <c r="D63" s="88">
        <v>1201.0999999999999</v>
      </c>
      <c r="E63" s="88">
        <v>64.400000000000006</v>
      </c>
    </row>
    <row r="64" spans="1:5" ht="15">
      <c r="A64" s="155">
        <v>6400</v>
      </c>
      <c r="B64" s="88">
        <v>410.4</v>
      </c>
      <c r="C64" s="88">
        <v>22.6</v>
      </c>
      <c r="D64" s="88">
        <v>1195</v>
      </c>
      <c r="E64" s="88">
        <v>64.099999999999994</v>
      </c>
    </row>
    <row r="65" spans="1:5" ht="15">
      <c r="A65" s="154">
        <v>6500</v>
      </c>
      <c r="B65" s="80">
        <v>416.3</v>
      </c>
      <c r="C65" s="80">
        <v>23.1</v>
      </c>
      <c r="D65" s="80">
        <v>1188.7</v>
      </c>
      <c r="E65" s="80">
        <v>63.9</v>
      </c>
    </row>
    <row r="66" spans="1:5" ht="15">
      <c r="A66" s="155">
        <v>6600</v>
      </c>
      <c r="B66" s="88">
        <v>422.5</v>
      </c>
      <c r="C66" s="88">
        <v>23.6</v>
      </c>
      <c r="D66" s="88">
        <v>1182.2</v>
      </c>
      <c r="E66" s="88">
        <v>63.7</v>
      </c>
    </row>
    <row r="67" spans="1:5" ht="15">
      <c r="A67" s="155">
        <v>6700</v>
      </c>
      <c r="B67" s="88">
        <v>428.9</v>
      </c>
      <c r="C67" s="88">
        <v>24.2</v>
      </c>
      <c r="D67" s="88">
        <v>1175.4000000000001</v>
      </c>
      <c r="E67" s="88">
        <v>63.5</v>
      </c>
    </row>
    <row r="68" spans="1:5" ht="15">
      <c r="A68" s="155">
        <v>6800</v>
      </c>
      <c r="B68" s="88">
        <v>435.5</v>
      </c>
      <c r="C68" s="88">
        <v>24.7</v>
      </c>
      <c r="D68" s="88">
        <v>1168.5</v>
      </c>
      <c r="E68" s="88">
        <v>63.2</v>
      </c>
    </row>
    <row r="69" spans="1:5" ht="15">
      <c r="A69" s="155">
        <v>6900</v>
      </c>
      <c r="B69" s="88">
        <v>442.3</v>
      </c>
      <c r="C69" s="88">
        <v>25.2</v>
      </c>
      <c r="D69" s="88">
        <v>1161.3</v>
      </c>
      <c r="E69" s="88">
        <v>63</v>
      </c>
    </row>
    <row r="70" spans="1:5" ht="15">
      <c r="A70" s="154">
        <v>7000</v>
      </c>
      <c r="B70" s="80">
        <v>449.4</v>
      </c>
      <c r="C70" s="80">
        <v>25.8</v>
      </c>
      <c r="D70" s="80">
        <v>1153.8</v>
      </c>
      <c r="E70" s="80">
        <v>62.7</v>
      </c>
    </row>
    <row r="71" spans="1:5" ht="15">
      <c r="A71" s="155">
        <v>7100</v>
      </c>
      <c r="B71" s="88">
        <v>456.8</v>
      </c>
      <c r="C71" s="88">
        <v>26.4</v>
      </c>
      <c r="D71" s="88">
        <v>1146.2</v>
      </c>
      <c r="E71" s="88">
        <v>62.4</v>
      </c>
    </row>
    <row r="72" spans="1:5" ht="15">
      <c r="A72" s="155">
        <v>7200</v>
      </c>
      <c r="B72" s="88">
        <v>464.4</v>
      </c>
      <c r="C72" s="88">
        <v>26.9</v>
      </c>
      <c r="D72" s="88">
        <v>1138.2</v>
      </c>
      <c r="E72" s="88">
        <v>62.1</v>
      </c>
    </row>
    <row r="73" spans="1:5" ht="15">
      <c r="A73" s="155">
        <v>7300</v>
      </c>
      <c r="B73" s="88">
        <v>472.3</v>
      </c>
      <c r="C73" s="88">
        <v>27.5</v>
      </c>
      <c r="D73" s="88">
        <v>1130</v>
      </c>
      <c r="E73" s="88">
        <v>61.8</v>
      </c>
    </row>
    <row r="74" spans="1:5" ht="15">
      <c r="A74" s="155">
        <v>7400</v>
      </c>
      <c r="B74" s="88">
        <v>480.6</v>
      </c>
      <c r="C74" s="88">
        <v>28.1</v>
      </c>
      <c r="D74" s="88">
        <v>1121.5</v>
      </c>
      <c r="E74" s="88">
        <v>61.5</v>
      </c>
    </row>
    <row r="75" spans="1:5" ht="15">
      <c r="A75" s="154">
        <v>7500</v>
      </c>
      <c r="B75" s="80">
        <v>489.1</v>
      </c>
      <c r="C75" s="80">
        <v>28.8</v>
      </c>
      <c r="D75" s="80">
        <v>1112.7</v>
      </c>
      <c r="E75" s="80">
        <v>61.2</v>
      </c>
    </row>
    <row r="76" spans="1:5" ht="15">
      <c r="A76" s="155">
        <v>7600</v>
      </c>
      <c r="B76" s="88">
        <v>498</v>
      </c>
      <c r="C76" s="88">
        <v>29.4</v>
      </c>
      <c r="D76" s="88">
        <v>1109.5999999999999</v>
      </c>
      <c r="E76" s="88">
        <v>60.9</v>
      </c>
    </row>
    <row r="77" spans="1:5" ht="15">
      <c r="A77" s="155">
        <v>7700</v>
      </c>
      <c r="B77" s="88">
        <v>507.3</v>
      </c>
      <c r="C77" s="88">
        <v>30</v>
      </c>
      <c r="D77" s="88">
        <v>1094.2</v>
      </c>
      <c r="E77" s="88">
        <v>60.5</v>
      </c>
    </row>
    <row r="78" spans="1:5" ht="15">
      <c r="A78" s="155">
        <v>7800</v>
      </c>
      <c r="B78" s="88">
        <v>517</v>
      </c>
      <c r="C78" s="88">
        <v>30.7</v>
      </c>
      <c r="D78" s="88">
        <v>1084.3</v>
      </c>
      <c r="E78" s="88">
        <v>60.2</v>
      </c>
    </row>
    <row r="79" spans="1:5" ht="15">
      <c r="A79" s="155">
        <v>7900</v>
      </c>
      <c r="B79" s="88">
        <v>527.1</v>
      </c>
      <c r="C79" s="88">
        <v>31.4</v>
      </c>
      <c r="D79" s="88">
        <v>1074.0999999999999</v>
      </c>
      <c r="E79" s="88">
        <v>59.8</v>
      </c>
    </row>
    <row r="80" spans="1:5" ht="15">
      <c r="A80" s="154">
        <v>8000</v>
      </c>
      <c r="B80" s="80">
        <v>537.79999999999995</v>
      </c>
      <c r="C80" s="80">
        <v>32.1</v>
      </c>
      <c r="D80" s="80">
        <v>1063.3</v>
      </c>
      <c r="E80" s="80">
        <v>59.4</v>
      </c>
    </row>
    <row r="81" spans="1:5" ht="15">
      <c r="A81" s="155">
        <v>8100</v>
      </c>
      <c r="B81" s="88">
        <v>549</v>
      </c>
      <c r="C81" s="88">
        <v>32.9</v>
      </c>
      <c r="D81" s="88">
        <v>1052.0999999999999</v>
      </c>
      <c r="E81" s="88">
        <v>58.9</v>
      </c>
    </row>
    <row r="82" spans="1:5" ht="15">
      <c r="A82" s="155">
        <v>8200</v>
      </c>
      <c r="B82" s="88">
        <v>560.79999999999995</v>
      </c>
      <c r="C82" s="88">
        <v>33.700000000000003</v>
      </c>
      <c r="D82" s="88">
        <v>1040.2</v>
      </c>
      <c r="E82" s="88">
        <v>58.4</v>
      </c>
    </row>
    <row r="83" spans="1:5" ht="15">
      <c r="A83" s="155">
        <v>8300</v>
      </c>
      <c r="B83" s="88">
        <v>573.29999999999995</v>
      </c>
      <c r="C83" s="88">
        <v>34.5</v>
      </c>
      <c r="D83" s="88">
        <v>1027.7</v>
      </c>
      <c r="E83" s="88">
        <v>57.9</v>
      </c>
    </row>
    <row r="84" spans="1:5" ht="15">
      <c r="A84" s="155">
        <v>8400</v>
      </c>
      <c r="B84" s="88">
        <v>586.6</v>
      </c>
      <c r="C84" s="88">
        <v>35.299999999999997</v>
      </c>
      <c r="D84" s="88">
        <v>1014.4</v>
      </c>
      <c r="E84" s="88">
        <v>57.4</v>
      </c>
    </row>
    <row r="85" spans="1:5" ht="15">
      <c r="A85" s="154">
        <v>8500</v>
      </c>
      <c r="B85" s="80">
        <v>601</v>
      </c>
      <c r="C85" s="80">
        <v>36.200000000000003</v>
      </c>
      <c r="D85" s="80">
        <v>1000.1</v>
      </c>
      <c r="E85" s="80">
        <v>56.8</v>
      </c>
    </row>
    <row r="86" spans="1:5" ht="15">
      <c r="A86" s="155">
        <v>8600</v>
      </c>
      <c r="B86" s="88">
        <v>616.6</v>
      </c>
      <c r="C86" s="88">
        <v>37.200000000000003</v>
      </c>
      <c r="D86" s="88">
        <v>984.6</v>
      </c>
      <c r="E86" s="88">
        <v>56.2</v>
      </c>
    </row>
    <row r="87" spans="1:5" ht="15">
      <c r="A87" s="155">
        <v>8700</v>
      </c>
      <c r="B87" s="88">
        <v>633.70000000000005</v>
      </c>
      <c r="C87" s="88">
        <v>38.200000000000003</v>
      </c>
      <c r="D87" s="88">
        <v>967.6</v>
      </c>
      <c r="E87" s="88">
        <v>55.4</v>
      </c>
    </row>
    <row r="88" spans="1:5" ht="15">
      <c r="A88" s="155">
        <v>8800</v>
      </c>
      <c r="B88" s="88">
        <v>663</v>
      </c>
      <c r="C88" s="88">
        <v>39.4</v>
      </c>
      <c r="D88" s="88">
        <v>948.6</v>
      </c>
      <c r="E88" s="88">
        <v>54.6</v>
      </c>
    </row>
    <row r="89" spans="1:5" ht="15">
      <c r="A89" s="155">
        <v>8900</v>
      </c>
      <c r="B89" s="88">
        <v>675.2</v>
      </c>
      <c r="C89" s="88">
        <v>40.700000000000003</v>
      </c>
      <c r="D89" s="88">
        <v>926.5</v>
      </c>
      <c r="E89" s="88">
        <v>53.6</v>
      </c>
    </row>
    <row r="90" spans="1:5" ht="15">
      <c r="A90" s="154">
        <v>9000</v>
      </c>
      <c r="B90" s="80">
        <v>702.5</v>
      </c>
      <c r="C90" s="80">
        <v>42.2</v>
      </c>
      <c r="D90" s="80">
        <v>899.5</v>
      </c>
      <c r="E90" s="80">
        <v>52.4</v>
      </c>
    </row>
    <row r="91" spans="1:5" ht="15">
      <c r="A91" s="155">
        <v>9100</v>
      </c>
      <c r="B91" s="88">
        <v>741.2</v>
      </c>
      <c r="C91" s="88">
        <v>44.4</v>
      </c>
      <c r="D91" s="88">
        <v>860.9</v>
      </c>
      <c r="E91" s="88">
        <v>50.5</v>
      </c>
    </row>
    <row r="92" spans="1:5" ht="15">
      <c r="A92" s="155">
        <v>9200</v>
      </c>
      <c r="B92" s="88">
        <v>0</v>
      </c>
      <c r="C92">
        <v>0</v>
      </c>
      <c r="D92">
        <v>0</v>
      </c>
      <c r="E92">
        <v>0</v>
      </c>
    </row>
  </sheetData>
  <sheetProtection selectLockedCells="1" selectUnlockedCells="1"/>
  <mergeCells count="3">
    <mergeCell ref="A1:E1"/>
    <mergeCell ref="F2:G2"/>
    <mergeCell ref="H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I16:I25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4.25"/>
  <sheetData>
    <row r="1" spans="1:4" ht="15" thickBot="1"/>
    <row r="2" spans="1:4">
      <c r="A2" s="308" t="s">
        <v>86</v>
      </c>
      <c r="B2" s="309"/>
      <c r="C2" s="309"/>
      <c r="D2" s="310"/>
    </row>
    <row r="3" spans="1:4" ht="15" thickBot="1">
      <c r="A3" s="311"/>
      <c r="B3" s="286"/>
      <c r="C3" s="286"/>
      <c r="D3" s="287"/>
    </row>
    <row r="4" spans="1:4" ht="15">
      <c r="A4" s="96" t="s">
        <v>12</v>
      </c>
      <c r="B4" s="94" t="s">
        <v>82</v>
      </c>
      <c r="C4" s="96" t="s">
        <v>81</v>
      </c>
      <c r="D4" s="95" t="s">
        <v>78</v>
      </c>
    </row>
    <row r="5" spans="1:4" ht="15">
      <c r="A5" s="97">
        <v>1</v>
      </c>
      <c r="B5" s="142">
        <f>'SAFETY FAN DATA'!$J$53</f>
        <v>0</v>
      </c>
      <c r="C5" s="143">
        <f>'SAFETY FAN DATA'!$K$53</f>
        <v>0</v>
      </c>
      <c r="D5" s="111" t="str">
        <f>'SAFETY FAN DATA'!L51</f>
        <v>No</v>
      </c>
    </row>
    <row r="6" spans="1:4" ht="15">
      <c r="A6" s="97">
        <v>2</v>
      </c>
      <c r="B6" s="142">
        <f>'SAFETY FAN DATA'!$J$53</f>
        <v>0</v>
      </c>
      <c r="C6" s="143">
        <f>'SAFETY FAN DATA'!$K$53</f>
        <v>0</v>
      </c>
      <c r="D6" s="111" t="str">
        <f t="shared" ref="D6:D14" si="0">D5</f>
        <v>No</v>
      </c>
    </row>
    <row r="7" spans="1:4" ht="15">
      <c r="A7" s="97">
        <v>3</v>
      </c>
      <c r="B7" s="142">
        <f>'SAFETY FAN DATA'!$J$53</f>
        <v>0</v>
      </c>
      <c r="C7" s="143">
        <f>'SAFETY FAN DATA'!$K$53</f>
        <v>0</v>
      </c>
      <c r="D7" s="111" t="str">
        <f t="shared" si="0"/>
        <v>No</v>
      </c>
    </row>
    <row r="8" spans="1:4" ht="15">
      <c r="A8" s="97">
        <v>4</v>
      </c>
      <c r="B8" s="142">
        <f>'SAFETY FAN DATA'!$J$53</f>
        <v>0</v>
      </c>
      <c r="C8" s="143">
        <f>'SAFETY FAN DATA'!$K$53</f>
        <v>0</v>
      </c>
      <c r="D8" s="111" t="str">
        <f t="shared" si="0"/>
        <v>No</v>
      </c>
    </row>
    <row r="9" spans="1:4" ht="15">
      <c r="A9" s="97">
        <v>5</v>
      </c>
      <c r="B9" s="142">
        <f>'SAFETY FAN DATA'!$J$53</f>
        <v>0</v>
      </c>
      <c r="C9" s="143">
        <f>'SAFETY FAN DATA'!$K$53</f>
        <v>0</v>
      </c>
      <c r="D9" s="111" t="str">
        <f t="shared" si="0"/>
        <v>No</v>
      </c>
    </row>
    <row r="10" spans="1:4" ht="15">
      <c r="A10" s="97">
        <v>6</v>
      </c>
      <c r="B10" s="142">
        <f>'SAFETY FAN DATA'!$J$53</f>
        <v>0</v>
      </c>
      <c r="C10" s="143">
        <f>'SAFETY FAN DATA'!$K$53</f>
        <v>0</v>
      </c>
      <c r="D10" s="111" t="str">
        <f t="shared" si="0"/>
        <v>No</v>
      </c>
    </row>
    <row r="11" spans="1:4" ht="15">
      <c r="A11" s="97">
        <v>7</v>
      </c>
      <c r="B11" s="142">
        <f>'SAFETY FAN DATA'!$J$53</f>
        <v>0</v>
      </c>
      <c r="C11" s="143">
        <f>'SAFETY FAN DATA'!$K$53</f>
        <v>0</v>
      </c>
      <c r="D11" s="111" t="str">
        <f t="shared" si="0"/>
        <v>No</v>
      </c>
    </row>
    <row r="12" spans="1:4" ht="15">
      <c r="A12" s="97">
        <v>8</v>
      </c>
      <c r="B12" s="142">
        <f>'SAFETY FAN DATA'!$J$53</f>
        <v>0</v>
      </c>
      <c r="C12" s="143">
        <f>'SAFETY FAN DATA'!$K$53</f>
        <v>0</v>
      </c>
      <c r="D12" s="111" t="str">
        <f t="shared" si="0"/>
        <v>No</v>
      </c>
    </row>
    <row r="13" spans="1:4" ht="15">
      <c r="A13" s="97">
        <v>9</v>
      </c>
      <c r="B13" s="142">
        <f>'SAFETY FAN DATA'!$J$53</f>
        <v>0</v>
      </c>
      <c r="C13" s="143">
        <f>'SAFETY FAN DATA'!$K$53</f>
        <v>0</v>
      </c>
      <c r="D13" s="111" t="str">
        <f t="shared" si="0"/>
        <v>No</v>
      </c>
    </row>
    <row r="14" spans="1:4" ht="15.75" thickBot="1">
      <c r="A14" s="98">
        <v>10</v>
      </c>
      <c r="B14" s="142">
        <f>'SAFETY FAN DATA'!$J$53</f>
        <v>0</v>
      </c>
      <c r="C14" s="143">
        <f>'SAFETY FAN DATA'!$K$53</f>
        <v>0</v>
      </c>
      <c r="D14" s="111" t="str">
        <f t="shared" si="0"/>
        <v>No</v>
      </c>
    </row>
  </sheetData>
  <sheetProtection algorithmName="SHA-512" hashValue="ZWpKx2Eq/PsofQiE7e46Zp6W9Mz+4pLN1DY+gLMptp9ndZKau3u+KFEIW7UE8nmTvS/tIADAPs5xgQ61umDaDw==" saltValue="bx/Zfv5rjrIyLmMnZD8iAw==" spinCount="100000" sheet="1" objects="1" scenarios="1" selectLockedCells="1" selectUnlockedCells="1"/>
  <mergeCells count="1">
    <mergeCell ref="A2:D3"/>
  </mergeCells>
  <conditionalFormatting sqref="D5:D14">
    <cfRule type="cellIs" dxfId="2" priority="1" operator="equal">
      <formula>"Yes"</formula>
    </cfRule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HE'!$M$5:$M$6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abSelected="1" workbookViewId="0">
      <selection activeCell="I3" sqref="I3:M4"/>
    </sheetView>
  </sheetViews>
  <sheetFormatPr defaultRowHeight="14.25"/>
  <cols>
    <col min="2" max="2" width="10.125" bestFit="1" customWidth="1"/>
    <col min="3" max="3" width="10.125" customWidth="1"/>
    <col min="4" max="4" width="9.375" bestFit="1" customWidth="1"/>
    <col min="5" max="6" width="9.875" bestFit="1" customWidth="1"/>
    <col min="7" max="7" width="7.5" style="241" bestFit="1" customWidth="1"/>
    <col min="10" max="10" width="12.625" bestFit="1" customWidth="1"/>
    <col min="11" max="11" width="12.125" customWidth="1"/>
    <col min="12" max="12" width="11.25" bestFit="1" customWidth="1"/>
    <col min="13" max="13" width="10.5" customWidth="1"/>
    <col min="14" max="14" width="9.625" customWidth="1"/>
    <col min="15" max="15" width="7.25" customWidth="1"/>
    <col min="16" max="16" width="10" customWidth="1"/>
    <col min="17" max="17" width="10.625" customWidth="1"/>
    <col min="18" max="18" width="10.375" customWidth="1"/>
    <col min="19" max="19" width="9.875" bestFit="1" customWidth="1"/>
    <col min="20" max="20" width="9.375" style="241" bestFit="1" customWidth="1"/>
    <col min="21" max="22" width="8.625" bestFit="1" customWidth="1"/>
    <col min="23" max="23" width="7.625" bestFit="1" customWidth="1"/>
  </cols>
  <sheetData>
    <row r="1" spans="1:24" ht="15" customHeight="1">
      <c r="A1" s="93"/>
      <c r="B1" s="267" t="s">
        <v>37</v>
      </c>
      <c r="C1" s="267"/>
      <c r="D1" s="267"/>
      <c r="E1" s="267"/>
      <c r="F1" s="267"/>
      <c r="G1" s="267"/>
      <c r="H1" s="93"/>
      <c r="I1" s="257" t="s">
        <v>128</v>
      </c>
      <c r="J1" s="257"/>
      <c r="K1" s="257"/>
      <c r="L1" s="257"/>
      <c r="M1" s="257"/>
      <c r="N1" s="93"/>
      <c r="O1" s="250" t="s">
        <v>36</v>
      </c>
      <c r="P1" s="250"/>
      <c r="Q1" s="250"/>
      <c r="R1" s="250"/>
      <c r="S1" s="250"/>
      <c r="T1" s="250"/>
      <c r="U1" s="92"/>
    </row>
    <row r="2" spans="1:24" ht="15" customHeight="1" thickBot="1">
      <c r="A2" s="93"/>
      <c r="B2" s="267"/>
      <c r="C2" s="267"/>
      <c r="D2" s="267"/>
      <c r="E2" s="267"/>
      <c r="F2" s="267"/>
      <c r="G2" s="267"/>
      <c r="H2" s="93"/>
      <c r="I2" s="258"/>
      <c r="J2" s="258"/>
      <c r="K2" s="258"/>
      <c r="L2" s="258"/>
      <c r="M2" s="258"/>
      <c r="N2" s="93"/>
      <c r="O2" s="250"/>
      <c r="P2" s="250"/>
      <c r="Q2" s="250"/>
      <c r="R2" s="250"/>
      <c r="S2" s="250"/>
      <c r="T2" s="250"/>
      <c r="U2" s="92"/>
    </row>
    <row r="3" spans="1:24" ht="15" thickBot="1">
      <c r="A3" s="93"/>
      <c r="B3" s="92"/>
      <c r="C3" s="92"/>
      <c r="D3" s="92"/>
      <c r="E3" s="92"/>
      <c r="F3" s="92"/>
      <c r="G3" s="234"/>
      <c r="H3" s="93"/>
      <c r="I3" s="265" t="s">
        <v>131</v>
      </c>
      <c r="J3" s="265"/>
      <c r="K3" s="265"/>
      <c r="L3" s="265"/>
      <c r="M3" s="265"/>
      <c r="N3" s="93"/>
      <c r="O3" s="92"/>
      <c r="P3" s="92"/>
      <c r="Q3" s="92"/>
      <c r="R3" s="92"/>
      <c r="S3" s="92"/>
      <c r="T3" s="234"/>
      <c r="U3" s="92"/>
    </row>
    <row r="4" spans="1:24" ht="15.75" thickBot="1">
      <c r="A4" s="93"/>
      <c r="B4" s="251" t="s">
        <v>14</v>
      </c>
      <c r="C4" s="252"/>
      <c r="D4" s="252"/>
      <c r="E4" s="252"/>
      <c r="F4" s="252"/>
      <c r="G4" s="253"/>
      <c r="H4" s="93"/>
      <c r="I4" s="266"/>
      <c r="J4" s="266"/>
      <c r="K4" s="266"/>
      <c r="L4" s="266"/>
      <c r="M4" s="266"/>
      <c r="N4" s="93"/>
      <c r="O4" s="254" t="s">
        <v>28</v>
      </c>
      <c r="P4" s="255"/>
      <c r="Q4" s="255"/>
      <c r="R4" s="255"/>
      <c r="S4" s="255"/>
      <c r="T4" s="256"/>
      <c r="U4" s="92"/>
    </row>
    <row r="5" spans="1:24" ht="15">
      <c r="A5" s="93"/>
      <c r="B5" s="99" t="s">
        <v>12</v>
      </c>
      <c r="C5" s="102" t="s">
        <v>8</v>
      </c>
      <c r="D5" s="102" t="s">
        <v>9</v>
      </c>
      <c r="E5" s="105" t="s">
        <v>10</v>
      </c>
      <c r="F5" s="105" t="s">
        <v>11</v>
      </c>
      <c r="G5" s="242" t="s">
        <v>0</v>
      </c>
      <c r="H5" s="93"/>
      <c r="I5" s="93"/>
      <c r="J5" s="93"/>
      <c r="K5" s="93"/>
      <c r="L5" s="93"/>
      <c r="M5" s="93"/>
      <c r="N5" s="93"/>
      <c r="O5" s="99" t="s">
        <v>12</v>
      </c>
      <c r="P5" s="102" t="s">
        <v>8</v>
      </c>
      <c r="Q5" s="102" t="s">
        <v>9</v>
      </c>
      <c r="R5" s="105" t="s">
        <v>10</v>
      </c>
      <c r="S5" s="105" t="s">
        <v>11</v>
      </c>
      <c r="T5" s="235" t="s">
        <v>0</v>
      </c>
      <c r="U5" s="92"/>
    </row>
    <row r="6" spans="1:24" ht="15.75" thickBot="1">
      <c r="A6" s="93"/>
      <c r="B6" s="100">
        <v>1</v>
      </c>
      <c r="C6" s="103" t="str">
        <f>IF('1 HE'!J4="YES","CRESTED",IF(INPUT!$D$5="H/A","H/A",IF(K30=3700,'1 HE'!Q45,'1 HE'!S45)+(INPUT!C5/(INPUT!B5/1000))))</f>
        <v>CRESTED</v>
      </c>
      <c r="D6" s="103" t="str">
        <f>IF('1 HE'!J4="YES","CRESTED",IF(INPUT!$D$5="H/A","H/A",IF(K30=3700,'1 HE'!N45,'1 HE'!P45)-(2*('1 HE'!L32))))</f>
        <v>CRESTED</v>
      </c>
      <c r="E6" s="106" t="str">
        <f>IF('1 HE'!K4="yes","CRESTED",IF(INPUT!D5="L/A","L/A",IF(K30=3700,'1 HE'!Q45,'1 HE'!S45+((L30/(K30/1000))+(('1 HE'!O32)*(((L30/(K30/1000))^2)^0.5))))))</f>
        <v>CRESTED</v>
      </c>
      <c r="F6" s="108" t="str">
        <f>IF('1 HE'!K4="YES","CRESTED",(IF(INPUT!D5="L/A","L/A",(IF(K30=3700,'1 HE'!N45,('1 HE'!N45+(('1 HE'!O45-'1 HE'!N45)*'1 HE'!M45))-(2*'1 HE'!L32))))))</f>
        <v>CRESTED</v>
      </c>
      <c r="G6" s="236">
        <f>'1 HE'!K19</f>
        <v>0</v>
      </c>
      <c r="H6" s="93"/>
      <c r="I6" s="93"/>
      <c r="J6" s="93"/>
      <c r="K6" s="93"/>
      <c r="L6" s="93"/>
      <c r="M6" s="93"/>
      <c r="N6" s="93"/>
      <c r="O6" s="100">
        <v>1</v>
      </c>
      <c r="P6" s="103" t="str">
        <f>IF('1 IM'!F4="YES","CRESTED",IF('1 IM'!I17="L/A",IF('1 IM'!G17=2300,'1 IM'!O4,'1 IM'!Q4),"H/A"))</f>
        <v>CRESTED</v>
      </c>
      <c r="Q6" s="103" t="str">
        <f>IF('1 IM'!F4="YES","CRESTED",IF('1 IM'!I17="H/A","H/A",IF(K30=2300,'1 IM'!L4,('1 IM'!K4*('1 IM'!M4-'1 IM'!L4))+'1 IM'!L4)))</f>
        <v>CRESTED</v>
      </c>
      <c r="R6" s="106" t="str">
        <f>IF('1 IM'!G4="Yes","CRESTED",IF('1 IM'!I17="L/a","L/A",IF('1 IM'!G17=2300,'1 IM'!O4,'1 IM'!Q4)))</f>
        <v>CRESTED</v>
      </c>
      <c r="S6" s="108" t="str">
        <f>IF('1 IM'!G4="YES","CRESTED",IF('1 IM'!I17="L/A","L/A",IF('1 IM'!G17=2300,'1 IM'!L4,'1 IM'!N4)))</f>
        <v>CRESTED</v>
      </c>
      <c r="T6" s="236">
        <f>'1 IM'!G17</f>
        <v>0</v>
      </c>
      <c r="U6" s="92"/>
    </row>
    <row r="7" spans="1:24" ht="15">
      <c r="A7" s="93"/>
      <c r="B7" s="100">
        <v>2</v>
      </c>
      <c r="C7" s="103" t="str">
        <f>IF('1 HE'!J5="YES","CRESTED",IF(INPUT!$D$5="H/A","H/A",IF(K31=3700,'1 HE'!Q46,'1 HE'!S46)+(INPUT!C6/(INPUT!B6/1000))))</f>
        <v>CRESTED</v>
      </c>
      <c r="D7" s="103" t="str">
        <f>IF('1 HE'!J5="YES","CRESTED",IF(INPUT!$D$5="H/A","H/A",IF(K31=3700,'1 HE'!N46,'1 HE'!P46)-(2*('1 HE'!L33))))</f>
        <v>CRESTED</v>
      </c>
      <c r="E7" s="106" t="str">
        <f>IF('1 HE'!K5="yes","CRESTED",IF('1 HE'!N3="L/A","L/A",IF(K31=3700,'1 HE'!Q46,'1 HE'!S46+((L31/(K31/1000))+(('1 HE'!O33)*(((L31/(K31/1000))^2)^0.5))))))</f>
        <v>CRESTED</v>
      </c>
      <c r="F7" s="108" t="str">
        <f>IF('1 HE'!K5="YES","CRESTED",(IF('1 HE'!N3="L/A","L/A",(IF(K31=3700,'1 HE'!N46,('1 HE'!N46+(('1 HE'!O46-'1 HE'!N46)*'1 HE'!M46))-(2*'1 HE'!L33))))))</f>
        <v>CRESTED</v>
      </c>
      <c r="G7" s="236">
        <f>'1 HE'!K20</f>
        <v>0</v>
      </c>
      <c r="H7" s="93"/>
      <c r="I7" s="274" t="s">
        <v>122</v>
      </c>
      <c r="J7" s="275"/>
      <c r="K7" s="275"/>
      <c r="L7" s="275"/>
      <c r="M7" s="276"/>
      <c r="N7" s="93"/>
      <c r="O7" s="100">
        <v>2</v>
      </c>
      <c r="P7" s="103" t="str">
        <f>IF('1 IM'!F5="YES","CRESTED",IF('1 IM'!I18="L/A",IF('1 IM'!G18=2300,'1 IM'!O5,'1 IM'!Q5),"H/A"))</f>
        <v>CRESTED</v>
      </c>
      <c r="Q7" s="103" t="str">
        <f>IF('1 IM'!F5="YES","CRESTED",IF('1 IM'!I18="H/A","H/A",IF(K31=2300,'1 IM'!L5,('1 IM'!K5*('1 IM'!M5-'1 IM'!L5))+'1 IM'!L5)))</f>
        <v>CRESTED</v>
      </c>
      <c r="R7" s="106" t="str">
        <f>IF('1 IM'!G5="Yes","CRESTED",IF('1 IM'!I18="L/a","L/A",IF('1 IM'!G18=2300,'1 IM'!O5,'1 IM'!Q5)))</f>
        <v>CRESTED</v>
      </c>
      <c r="S7" s="108" t="str">
        <f>IF('1 IM'!G5="YES","CRESTED",IF('1 IM'!I18="L/A","L/A",IF('1 IM'!G18=2300,'1 IM'!L5,'1 IM'!N5)))</f>
        <v>CRESTED</v>
      </c>
      <c r="T7" s="236">
        <f>'1 IM'!G18</f>
        <v>0</v>
      </c>
      <c r="U7" s="92"/>
    </row>
    <row r="8" spans="1:24" ht="15.75" thickBot="1">
      <c r="A8" s="93"/>
      <c r="B8" s="100">
        <v>3</v>
      </c>
      <c r="C8" s="103" t="str">
        <f>IF('1 HE'!J6="YES","CRESTED",IF(INPUT!$D$5="H/A","H/A",IF(K32=3700,'1 HE'!Q47,'1 HE'!S47)+(INPUT!C7/(INPUT!B7/1000))))</f>
        <v>CRESTED</v>
      </c>
      <c r="D8" s="103" t="str">
        <f>IF('1 HE'!J6="YES","CRESTED",IF(INPUT!$D$5="H/A","H/A",IF(K32=3700,'1 HE'!N47,'1 HE'!P47)-(2*('1 HE'!L34))))</f>
        <v>CRESTED</v>
      </c>
      <c r="E8" s="106" t="str">
        <f>IF('1 HE'!K6="yes","CRESTED",IF('1 HE'!N4="L/A","L/A",IF(K32=3700,'1 HE'!Q47,'1 HE'!S47+((L32/(K32/1000))+(('1 HE'!O34)*(((L32/(K32/1000))^2)^0.5))))))</f>
        <v>CRESTED</v>
      </c>
      <c r="F8" s="108" t="str">
        <f>IF('1 HE'!K6="YES","CRESTED",(IF('1 HE'!N4="L/A","L/A",(IF(K32=3700,'1 HE'!N47,('1 HE'!N47+(('1 HE'!O47-'1 HE'!N47)*'1 HE'!M47))-(2*'1 HE'!L34))))))</f>
        <v>CRESTED</v>
      </c>
      <c r="G8" s="236">
        <f>'1 HE'!K21</f>
        <v>0</v>
      </c>
      <c r="H8" s="93"/>
      <c r="I8" s="277"/>
      <c r="J8" s="278"/>
      <c r="K8" s="278"/>
      <c r="L8" s="278"/>
      <c r="M8" s="279"/>
      <c r="N8" s="93"/>
      <c r="O8" s="100">
        <v>3</v>
      </c>
      <c r="P8" s="103" t="str">
        <f>IF('1 IM'!F6="YES","CRESTED",IF('1 IM'!I19="L/A",IF('1 IM'!G19=2300,'1 IM'!O6,'1 IM'!Q6),"H/A"))</f>
        <v>CRESTED</v>
      </c>
      <c r="Q8" s="103" t="str">
        <f>IF('1 IM'!F6="YES","CRESTED",IF('1 IM'!I19="H/A","H/A",IF(K32=2300,'1 IM'!L6,('1 IM'!K6*('1 IM'!M6-'1 IM'!L6))+'1 IM'!L6)))</f>
        <v>CRESTED</v>
      </c>
      <c r="R8" s="106" t="str">
        <f>IF('1 IM'!G6="Yes","CRESTED",IF('1 IM'!I19="L/a","L/A",IF('1 IM'!G19=2300,'1 IM'!O6,'1 IM'!Q6)))</f>
        <v>CRESTED</v>
      </c>
      <c r="S8" s="108" t="str">
        <f>IF('1 IM'!G6="YES","CRESTED",IF('1 IM'!I19="L/A","L/A",IF('1 IM'!G19=2300,'1 IM'!L6,'1 IM'!N6)))</f>
        <v>CRESTED</v>
      </c>
      <c r="T8" s="236">
        <f>'1 IM'!G19</f>
        <v>0</v>
      </c>
      <c r="U8" s="92"/>
    </row>
    <row r="9" spans="1:24" ht="15">
      <c r="A9" s="93"/>
      <c r="B9" s="100">
        <v>4</v>
      </c>
      <c r="C9" s="103" t="str">
        <f>IF('1 HE'!J7="YES","CRESTED",IF(INPUT!$D$5="H/A","H/A",IF(K33=3700,'1 HE'!Q48,'1 HE'!S48)+(INPUT!C8/(INPUT!B8/1000))))</f>
        <v>CRESTED</v>
      </c>
      <c r="D9" s="103" t="str">
        <f>IF('1 HE'!J7="YES","CRESTED",IF(INPUT!$D$5="H/A","H/A",IF(K33=3700,'1 HE'!N48,'1 HE'!P48)-(2*('1 HE'!L35))))</f>
        <v>CRESTED</v>
      </c>
      <c r="E9" s="106" t="str">
        <f>IF('1 HE'!K7="yes","CRESTED",IF('1 HE'!N5="L/A","L/A",IF(K33=3700,'1 HE'!Q48,'1 HE'!S48+((L33/(K33/1000))+(('1 HE'!O35)*(((L33/(K33/1000))^2)^0.5))))))</f>
        <v>CRESTED</v>
      </c>
      <c r="F9" s="108" t="str">
        <f>IF('1 HE'!K7="YES","CRESTED",(IF('1 HE'!N5="L/A","L/A",(IF(K33=3700,'1 HE'!N48,('1 HE'!N48+(('1 HE'!O48-'1 HE'!N48)*'1 HE'!M48))-(2*'1 HE'!L35))))))</f>
        <v>CRESTED</v>
      </c>
      <c r="G9" s="236">
        <f>'1 HE'!K22</f>
        <v>0</v>
      </c>
      <c r="H9" s="93"/>
      <c r="I9" s="245" t="s">
        <v>12</v>
      </c>
      <c r="J9" s="164"/>
      <c r="K9" s="161" t="s">
        <v>104</v>
      </c>
      <c r="L9" s="161" t="s">
        <v>105</v>
      </c>
      <c r="M9" s="161" t="s">
        <v>111</v>
      </c>
      <c r="N9" s="93"/>
      <c r="O9" s="100">
        <v>4</v>
      </c>
      <c r="P9" s="103" t="str">
        <f>IF('1 IM'!F7="YES","CRESTED",IF('1 IM'!I20="L/A",IF('1 IM'!G20=2300,'1 IM'!O7,'1 IM'!Q7),"H/A"))</f>
        <v>CRESTED</v>
      </c>
      <c r="Q9" s="103" t="str">
        <f>IF('1 IM'!F7="YES","CRESTED",IF('1 IM'!I20="H/A","H/A",IF(K33=2300,'1 IM'!L7,('1 IM'!K7*('1 IM'!M7-'1 IM'!L7))+'1 IM'!L7)))</f>
        <v>CRESTED</v>
      </c>
      <c r="R9" s="106" t="str">
        <f>IF('1 IM'!G7="Yes","CRESTED",IF('1 IM'!I20="L/a","L/A",IF('1 IM'!G20=2300,'1 IM'!O7,'1 IM'!Q7)))</f>
        <v>CRESTED</v>
      </c>
      <c r="S9" s="108" t="str">
        <f>IF('1 IM'!G7="YES","CRESTED",IF('1 IM'!I20="L/A","L/A",IF('1 IM'!G20=2300,'1 IM'!L7,'1 IM'!N7)))</f>
        <v>CRESTED</v>
      </c>
      <c r="T9" s="236">
        <f>'1 IM'!G20</f>
        <v>0</v>
      </c>
      <c r="U9" s="92"/>
    </row>
    <row r="10" spans="1:24" ht="15">
      <c r="A10" s="93"/>
      <c r="B10" s="100">
        <v>5</v>
      </c>
      <c r="C10" s="103" t="str">
        <f>IF('1 HE'!J8="YES","CRESTED",IF(INPUT!$D$5="H/A","H/A",IF(K34=3700,'1 HE'!Q49,'1 HE'!S49)+(INPUT!C9/(INPUT!B9/1000))))</f>
        <v>CRESTED</v>
      </c>
      <c r="D10" s="103" t="str">
        <f>IF('1 HE'!J8="YES","CRESTED",IF(INPUT!$D$5="H/A","H/A",IF(K34=3700,'1 HE'!N49,'1 HE'!P49)-(2*('1 HE'!L36))))</f>
        <v>CRESTED</v>
      </c>
      <c r="E10" s="106" t="str">
        <f>IF('1 HE'!K8="yes","CRESTED",IF('1 HE'!N6="L/A","L/A",IF(K34=3700,'1 HE'!Q49,'1 HE'!S49+((L34/(K34/1000))+(('1 HE'!O36)*(((L34/(K34/1000))^2)^0.5))))))</f>
        <v>CRESTED</v>
      </c>
      <c r="F10" s="108" t="str">
        <f>IF('1 HE'!K8="YES","CRESTED",(IF('1 HE'!N6="L/A","L/A",(IF(K34=3700,'1 HE'!N49,('1 HE'!N49+(('1 HE'!O49-'1 HE'!N49)*'1 HE'!M49))-(2*'1 HE'!L36))))))</f>
        <v>CRESTED</v>
      </c>
      <c r="G10" s="236">
        <f>'1 HE'!K23</f>
        <v>0</v>
      </c>
      <c r="H10" s="93"/>
      <c r="I10" s="243" t="s">
        <v>106</v>
      </c>
      <c r="J10" s="244" t="s">
        <v>120</v>
      </c>
      <c r="K10" s="108">
        <v>9800</v>
      </c>
      <c r="L10" s="108">
        <v>3600</v>
      </c>
      <c r="M10" s="108">
        <v>0</v>
      </c>
      <c r="N10" s="93"/>
      <c r="O10" s="100">
        <v>5</v>
      </c>
      <c r="P10" s="103" t="str">
        <f>IF('1 IM'!F8="YES","CRESTED",IF('1 IM'!I21="L/A",IF('1 IM'!G21=2300,'1 IM'!O8,'1 IM'!Q8),"H/A"))</f>
        <v>CRESTED</v>
      </c>
      <c r="Q10" s="103" t="str">
        <f>IF('1 IM'!F8="YES","CRESTED",IF('1 IM'!I21="H/A","H/A",IF(K34=2300,'1 IM'!L8,('1 IM'!K8*('1 IM'!M8-'1 IM'!L8))+'1 IM'!L8)))</f>
        <v>CRESTED</v>
      </c>
      <c r="R10" s="106" t="str">
        <f>IF('1 IM'!G8="Yes","CRESTED",IF('1 IM'!I21="L/a","L/A",IF('1 IM'!G21=2300,'1 IM'!O8,'1 IM'!Q8)))</f>
        <v>CRESTED</v>
      </c>
      <c r="S10" s="108" t="str">
        <f>IF('1 IM'!G8="YES","CRESTED",IF('1 IM'!I21="L/A","L/A",IF('1 IM'!G21=2300,'1 IM'!L8,'1 IM'!N8)))</f>
        <v>CRESTED</v>
      </c>
      <c r="T10" s="236">
        <f>'1 IM'!G21</f>
        <v>0</v>
      </c>
      <c r="U10" s="92"/>
    </row>
    <row r="11" spans="1:24" ht="15">
      <c r="A11" s="93"/>
      <c r="B11" s="100">
        <v>6</v>
      </c>
      <c r="C11" s="103" t="str">
        <f>IF('1 HE'!J9="YES","CRESTED",IF(INPUT!$D$5="H/A","H/A",IF(K35=3700,'1 HE'!Q50,'1 HE'!S50)+(INPUT!C10/(INPUT!B10/1000))))</f>
        <v>CRESTED</v>
      </c>
      <c r="D11" s="103" t="str">
        <f>IF('1 HE'!J9="YES","CRESTED",IF(INPUT!$D$5="H/A","H/A",IF(K35=3700,'1 HE'!N50,'1 HE'!P50)-(2*('1 HE'!L37))))</f>
        <v>CRESTED</v>
      </c>
      <c r="E11" s="106" t="str">
        <f>IF('1 HE'!K9="yes","CRESTED",IF('1 HE'!N7="L/A","L/A",IF(K35=3700,'1 HE'!Q50,'1 HE'!S50+((L35/(K35/1000))+(('1 HE'!O37)*(((L35/(K35/1000))^2)^0.5))))))</f>
        <v>CRESTED</v>
      </c>
      <c r="F11" s="108" t="str">
        <f>IF('1 HE'!K9="YES","CRESTED",(IF('1 HE'!N7="L/A","L/A",(IF(K35=3700,'1 HE'!N50,('1 HE'!N50+(('1 HE'!O50-'1 HE'!N50)*'1 HE'!M50))-(2*'1 HE'!L37))))))</f>
        <v>CRESTED</v>
      </c>
      <c r="G11" s="236">
        <f>'1 HE'!K24</f>
        <v>0</v>
      </c>
      <c r="H11" s="93"/>
      <c r="I11" s="222">
        <v>1</v>
      </c>
      <c r="J11" s="224" t="str">
        <f>Sheet1!J12</f>
        <v>UB</v>
      </c>
      <c r="K11" s="221">
        <f>Sheet1!K12</f>
        <v>9790</v>
      </c>
      <c r="L11" s="221">
        <f>Sheet1!L12</f>
        <v>0</v>
      </c>
      <c r="M11" s="221">
        <f>Sheet1!M12</f>
        <v>0</v>
      </c>
      <c r="N11" s="93"/>
      <c r="O11" s="100">
        <v>6</v>
      </c>
      <c r="P11" s="103" t="str">
        <f>IF('1 IM'!F9="YES","CRESTED",IF('1 IM'!I22="L/A",IF('1 IM'!G22=2300,'1 IM'!O9,'1 IM'!Q9),"H/A"))</f>
        <v>CRESTED</v>
      </c>
      <c r="Q11" s="103" t="str">
        <f>IF('1 IM'!F9="YES","CRESTED",IF('1 IM'!I22="H/A","H/A",IF(K35=2300,'1 IM'!L9,('1 IM'!K9*('1 IM'!M9-'1 IM'!L9))+'1 IM'!L9)))</f>
        <v>CRESTED</v>
      </c>
      <c r="R11" s="106" t="str">
        <f>IF('1 IM'!G9="Yes","CRESTED",IF('1 IM'!I22="L/a","L/A",IF('1 IM'!G22=2300,'1 IM'!O9,'1 IM'!Q9)))</f>
        <v>CRESTED</v>
      </c>
      <c r="S11" s="108" t="str">
        <f>IF('1 IM'!G9="YES","CRESTED",IF('1 IM'!I22="L/A","L/A",IF('1 IM'!G22=2300,'1 IM'!L9,'1 IM'!N9)))</f>
        <v>CRESTED</v>
      </c>
      <c r="T11" s="236">
        <f>'1 IM'!G22</f>
        <v>0</v>
      </c>
      <c r="U11" s="92"/>
    </row>
    <row r="12" spans="1:24" ht="15">
      <c r="A12" s="93"/>
      <c r="B12" s="100">
        <v>7</v>
      </c>
      <c r="C12" s="103" t="str">
        <f>IF('1 HE'!J10="YES","CRESTED",IF(INPUT!$D$5="H/A","H/A",IF(K36=3700,'1 HE'!Q51,'1 HE'!S51)+(INPUT!C11/(INPUT!B11/1000))))</f>
        <v>CRESTED</v>
      </c>
      <c r="D12" s="103" t="str">
        <f>IF('1 HE'!J10="YES","CRESTED",IF(INPUT!$D$5="H/A","H/A",IF(K36=3700,'1 HE'!N51,'1 HE'!P51)-(2*('1 HE'!L38))))</f>
        <v>CRESTED</v>
      </c>
      <c r="E12" s="106" t="str">
        <f>IF('1 HE'!K10="yes","CRESTED",IF('1 HE'!N8="L/A","L/A",IF(K36=3700,'1 HE'!Q51,'1 HE'!S51+((L36/(K36/1000))+(('1 HE'!O38)*(((L36/(K36/1000))^2)^0.5))))))</f>
        <v>CRESTED</v>
      </c>
      <c r="F12" s="108" t="str">
        <f>IF('1 HE'!K10="YES","CRESTED",(IF('1 HE'!N8="L/A","L/A",(IF(K36=3700,'1 HE'!N51,('1 HE'!N51+(('1 HE'!O51-'1 HE'!N51)*'1 HE'!M51))-(2*'1 HE'!L38))))))</f>
        <v>CRESTED</v>
      </c>
      <c r="G12" s="236">
        <f>'1 HE'!K25</f>
        <v>0</v>
      </c>
      <c r="H12" s="93"/>
      <c r="I12" s="222">
        <v>2</v>
      </c>
      <c r="J12" s="224" t="str">
        <f>Sheet1!J13</f>
        <v>UB</v>
      </c>
      <c r="K12" s="221">
        <f>Sheet1!K13</f>
        <v>0</v>
      </c>
      <c r="L12" s="221">
        <f>Sheet1!L13</f>
        <v>0</v>
      </c>
      <c r="M12" s="221">
        <f>Sheet1!M13</f>
        <v>0</v>
      </c>
      <c r="N12" s="93"/>
      <c r="O12" s="100">
        <v>7</v>
      </c>
      <c r="P12" s="103" t="str">
        <f>IF('1 IM'!F10="YES","CRESTED",IF('1 IM'!I23="L/A",IF('1 IM'!G23=2300,'1 IM'!O10,'1 IM'!Q10),"H/A"))</f>
        <v>CRESTED</v>
      </c>
      <c r="Q12" s="103" t="str">
        <f>IF('1 IM'!F10="YES","CRESTED",IF('1 IM'!I23="H/A","H/A",IF(K36=2300,'1 IM'!L10,('1 IM'!K10*('1 IM'!M10-'1 IM'!L10))+'1 IM'!L10)))</f>
        <v>CRESTED</v>
      </c>
      <c r="R12" s="106" t="str">
        <f>IF('1 IM'!G10="Yes","CRESTED",IF('1 IM'!I23="L/a","L/A",IF('1 IM'!G23=2300,'1 IM'!O10,'1 IM'!Q10)))</f>
        <v>CRESTED</v>
      </c>
      <c r="S12" s="108" t="str">
        <f>IF('1 IM'!G10="YES","CRESTED",IF('1 IM'!I23="L/A","L/A",IF('1 IM'!G23=2300,'1 IM'!L10,'1 IM'!N10)))</f>
        <v>CRESTED</v>
      </c>
      <c r="T12" s="236">
        <f>'1 IM'!G23</f>
        <v>0</v>
      </c>
      <c r="U12" s="92"/>
    </row>
    <row r="13" spans="1:24" ht="15">
      <c r="A13" s="93"/>
      <c r="B13" s="100">
        <v>8</v>
      </c>
      <c r="C13" s="103" t="str">
        <f>IF('1 HE'!J11="YES","CRESTED",IF(INPUT!$D$5="H/A","H/A",IF(K37=3700,'1 HE'!Q52,'1 HE'!S52)+(INPUT!C12/(INPUT!B12/1000))))</f>
        <v>CRESTED</v>
      </c>
      <c r="D13" s="103" t="str">
        <f>IF('1 HE'!J11="YES","CRESTED",IF(INPUT!$D$5="H/A","H/A",IF(K37=3700,'1 HE'!N52,'1 HE'!P52)-(2*('1 HE'!L39))))</f>
        <v>CRESTED</v>
      </c>
      <c r="E13" s="106" t="str">
        <f>IF('1 HE'!K11="yes","CRESTED",IF('1 HE'!N9="L/A","L/A",IF(K37=3700,'1 HE'!Q52,'1 HE'!S52+((L37/(K37/1000))+(('1 HE'!O39)*(((L37/(K37/1000))^2)^0.5))))))</f>
        <v>CRESTED</v>
      </c>
      <c r="F13" s="108" t="str">
        <f>IF('1 HE'!K11="YES","CRESTED",(IF('1 HE'!N9="L/A","L/A",(IF(K37=3700,'1 HE'!N52,('1 HE'!N52+(('1 HE'!O52-'1 HE'!N52)*'1 HE'!M52))-(2*'1 HE'!L39))))))</f>
        <v>CRESTED</v>
      </c>
      <c r="G13" s="236">
        <f>'1 HE'!K26</f>
        <v>0</v>
      </c>
      <c r="H13" s="93"/>
      <c r="I13" s="222">
        <v>3</v>
      </c>
      <c r="J13" s="224" t="str">
        <f>Sheet1!J14</f>
        <v>VB</v>
      </c>
      <c r="K13" s="221">
        <f>Sheet1!K14</f>
        <v>0</v>
      </c>
      <c r="L13" s="221">
        <f>Sheet1!L14</f>
        <v>0</v>
      </c>
      <c r="M13" s="221">
        <f>Sheet1!M14</f>
        <v>0</v>
      </c>
      <c r="N13" s="93"/>
      <c r="O13" s="100">
        <v>8</v>
      </c>
      <c r="P13" s="103" t="str">
        <f>IF('1 IM'!F11="YES","CRESTED",IF('1 IM'!I24="L/A",IF('1 IM'!G24=2300,'1 IM'!O11,'1 IM'!Q11),"H/A"))</f>
        <v>CRESTED</v>
      </c>
      <c r="Q13" s="103" t="str">
        <f>IF('1 IM'!F11="YES","CRESTED",IF('1 IM'!I24="H/A","H/A",IF(K37=2300,'1 IM'!L11,('1 IM'!K11*('1 IM'!M11-'1 IM'!L11))+'1 IM'!L11)))</f>
        <v>CRESTED</v>
      </c>
      <c r="R13" s="106" t="str">
        <f>IF('1 IM'!G11="Yes","CRESTED",IF('1 IM'!I24="L/a","L/A",IF('1 IM'!G24=2300,'1 IM'!O11,'1 IM'!Q11)))</f>
        <v>CRESTED</v>
      </c>
      <c r="S13" s="108" t="str">
        <f>IF('1 IM'!G11="YES","CRESTED",IF('1 IM'!I24="L/A","L/A",IF('1 IM'!G24=2300,'1 IM'!L11,'1 IM'!N11)))</f>
        <v>CRESTED</v>
      </c>
      <c r="T13" s="236">
        <f>'1 IM'!G24</f>
        <v>0</v>
      </c>
      <c r="U13" s="92"/>
    </row>
    <row r="14" spans="1:24" ht="15">
      <c r="A14" s="93"/>
      <c r="B14" s="100">
        <v>9</v>
      </c>
      <c r="C14" s="103" t="str">
        <f>IF('1 HE'!J12="YES","CRESTED",IF(INPUT!$D$5="H/A","H/A",IF(K38=3700,'1 HE'!Q53,'1 HE'!S53)+(INPUT!C13/(INPUT!B13/1000))))</f>
        <v>CRESTED</v>
      </c>
      <c r="D14" s="103" t="str">
        <f>IF('1 HE'!J12="YES","CRESTED",IF(INPUT!$D$5="H/A","H/A",IF(K38=3700,'1 HE'!N53,'1 HE'!P53)-(2*('1 HE'!L40))))</f>
        <v>CRESTED</v>
      </c>
      <c r="E14" s="106" t="str">
        <f>IF('1 HE'!K12="yes","CRESTED",IF('1 HE'!N10="L/A","L/A",IF(K38=3700,'1 HE'!Q53,'1 HE'!S53+((L38/(K38/1000))+(('1 HE'!O40)*(((L38/(K38/1000))^2)^0.5))))))</f>
        <v>CRESTED</v>
      </c>
      <c r="F14" s="108" t="str">
        <f>IF('1 HE'!K12="YES","CRESTED",(IF('1 HE'!N10="L/A","L/A",(IF(K38=3700,'1 HE'!N53,('1 HE'!N53+(('1 HE'!O53-'1 HE'!N53)*'1 HE'!M53))-(2*'1 HE'!L40))))))</f>
        <v>CRESTED</v>
      </c>
      <c r="G14" s="236">
        <f>'1 HE'!K27</f>
        <v>0</v>
      </c>
      <c r="H14" s="93"/>
      <c r="I14" s="222">
        <v>4</v>
      </c>
      <c r="J14" s="224" t="str">
        <f>Sheet1!J15</f>
        <v>UB</v>
      </c>
      <c r="K14" s="221">
        <f>Sheet1!K15</f>
        <v>0</v>
      </c>
      <c r="L14" s="221">
        <f>Sheet1!L15</f>
        <v>0</v>
      </c>
      <c r="M14" s="221">
        <f>Sheet1!M15</f>
        <v>0</v>
      </c>
      <c r="N14" s="93"/>
      <c r="O14" s="100">
        <v>9</v>
      </c>
      <c r="P14" s="103" t="str">
        <f>IF('1 IM'!F12="YES","CRESTED",IF('1 IM'!I25="L/A",IF('1 IM'!G25=2300,'1 IM'!O12,'1 IM'!Q12),"H/A"))</f>
        <v>CRESTED</v>
      </c>
      <c r="Q14" s="103" t="str">
        <f>IF('1 IM'!F12="YES","CRESTED",IF('1 IM'!I25="H/A","H/A",IF(K38=2300,'1 IM'!L12,('1 IM'!K12*('1 IM'!M12-'1 IM'!L12))+'1 IM'!L12)))</f>
        <v>CRESTED</v>
      </c>
      <c r="R14" s="106" t="str">
        <f>IF('1 IM'!G12="Yes","CRESTED",IF('1 IM'!I25="L/a","L/A",IF('1 IM'!G25=2300,'1 IM'!O12,'1 IM'!Q12)))</f>
        <v>CRESTED</v>
      </c>
      <c r="S14" s="108" t="str">
        <f>IF('1 IM'!G12="YES","CRESTED",IF('1 IM'!I25="L/A","L/A",IF('1 IM'!G25=2300,'1 IM'!L12,'1 IM'!N12)))</f>
        <v>CRESTED</v>
      </c>
      <c r="T14" s="236">
        <f>'1 IM'!G25</f>
        <v>0</v>
      </c>
      <c r="U14" s="92"/>
      <c r="X14" s="64"/>
    </row>
    <row r="15" spans="1:24" ht="15.75" thickBot="1">
      <c r="A15" s="93"/>
      <c r="B15" s="101">
        <v>10</v>
      </c>
      <c r="C15" s="104" t="str">
        <f>IF('1 HE'!J13="YES","CRESTED",IF(INPUT!$D$5="H/A","H/A",IF(K39=3700,'1 HE'!Q54,'1 HE'!S54)+(INPUT!C14/(INPUT!B14/1000))))</f>
        <v>CRESTED</v>
      </c>
      <c r="D15" s="104" t="str">
        <f>IF('1 HE'!J13="YES","CRESTED",IF(INPUT!$D$5="H/A","H/A",IF(K39=3700,'1 HE'!N54,'1 HE'!P54)-(2*('1 HE'!L41))))</f>
        <v>CRESTED</v>
      </c>
      <c r="E15" s="107" t="str">
        <f>IF('1 HE'!K13="yes","CRESTED",IF('1 HE'!N11="L/A","L/A",IF(K39=3700,'1 HE'!Q54,'1 HE'!S54+((L39/(K39/1000))+(('1 HE'!O41)*(((L39/(K39/1000))^2)^0.5))))))</f>
        <v>CRESTED</v>
      </c>
      <c r="F15" s="109" t="str">
        <f>IF('1 HE'!K13="YES","CRESTED",(IF('1 HE'!N11="L/A","L/A",(IF(K39=3700,'1 HE'!N54,('1 HE'!N54+(('1 HE'!O54-'1 HE'!N54)*'1 HE'!M54))-(2*'1 HE'!L41))))))</f>
        <v>CRESTED</v>
      </c>
      <c r="G15" s="237">
        <f>'1 HE'!K28</f>
        <v>0</v>
      </c>
      <c r="H15" s="93"/>
      <c r="I15" s="222">
        <v>5</v>
      </c>
      <c r="J15" s="224" t="str">
        <f>Sheet1!J16</f>
        <v>UB</v>
      </c>
      <c r="K15" s="221">
        <f>Sheet1!K16</f>
        <v>0</v>
      </c>
      <c r="L15" s="221">
        <f>Sheet1!L16</f>
        <v>0</v>
      </c>
      <c r="M15" s="221">
        <f>Sheet1!M16</f>
        <v>0</v>
      </c>
      <c r="N15" s="93"/>
      <c r="O15" s="101">
        <v>10</v>
      </c>
      <c r="P15" s="104" t="str">
        <f>IF('1 IM'!F13="YES","CRESTED",IF('1 IM'!I26="L/A",IF('1 IM'!G26=2300,'1 IM'!O13,'1 IM'!Q13),"H/A"))</f>
        <v>CRESTED</v>
      </c>
      <c r="Q15" s="104" t="str">
        <f>IF('1 IM'!F13="YES","CRESTED",IF('1 IM'!I26="H/A","H/A",IF(K39=2300,'1 IM'!L13,('1 IM'!K13*('1 IM'!M13-'1 IM'!L13))+'1 IM'!L13)))</f>
        <v>CRESTED</v>
      </c>
      <c r="R15" s="107" t="str">
        <f>IF('1 IM'!G13="Yes","CRESTED",IF('1 IM'!I26="L/a","L/A",IF('1 IM'!G26=2300,'1 IM'!O13,'1 IM'!Q13)))</f>
        <v>CRESTED</v>
      </c>
      <c r="S15" s="109" t="str">
        <f>IF('1 IM'!G13="YES","CRESTED",IF('1 IM'!I26="L/A","L/A",IF('1 IM'!G26=2300,'1 IM'!L13,'1 IM'!N13)))</f>
        <v>CRESTED</v>
      </c>
      <c r="T15" s="237">
        <f>'1 IM'!G26</f>
        <v>0</v>
      </c>
      <c r="U15" s="92"/>
      <c r="X15" s="64"/>
    </row>
    <row r="16" spans="1:24" ht="15">
      <c r="A16" s="93"/>
      <c r="B16" s="93"/>
      <c r="C16" s="93"/>
      <c r="D16" s="93"/>
      <c r="E16" s="93"/>
      <c r="F16" s="93"/>
      <c r="G16" s="238"/>
      <c r="H16" s="93"/>
      <c r="I16" s="222">
        <v>6</v>
      </c>
      <c r="J16" s="224" t="str">
        <f>Sheet1!J17</f>
        <v>UB</v>
      </c>
      <c r="K16" s="221">
        <f>Sheet1!K17</f>
        <v>0</v>
      </c>
      <c r="L16" s="221">
        <f>Sheet1!L17</f>
        <v>0</v>
      </c>
      <c r="M16" s="221">
        <f>Sheet1!M17</f>
        <v>0</v>
      </c>
      <c r="N16" s="93"/>
      <c r="O16" s="93"/>
      <c r="P16" s="93"/>
      <c r="Q16" s="93"/>
      <c r="R16" s="93"/>
      <c r="S16" s="93"/>
      <c r="T16" s="238"/>
      <c r="U16" s="93"/>
    </row>
    <row r="17" spans="1:21" ht="15" customHeight="1" thickBot="1">
      <c r="A17" s="93"/>
      <c r="B17" s="93"/>
      <c r="C17" s="93"/>
      <c r="D17" s="93"/>
      <c r="E17" s="93"/>
      <c r="F17" s="93"/>
      <c r="G17" s="238"/>
      <c r="H17" s="93"/>
      <c r="I17" s="222">
        <v>7</v>
      </c>
      <c r="J17" s="224" t="str">
        <f>Sheet1!J18</f>
        <v>UB</v>
      </c>
      <c r="K17" s="221">
        <f>Sheet1!K18</f>
        <v>0</v>
      </c>
      <c r="L17" s="221">
        <f>Sheet1!L18</f>
        <v>0</v>
      </c>
      <c r="M17" s="221">
        <f>Sheet1!M18</f>
        <v>0</v>
      </c>
      <c r="N17" s="93"/>
      <c r="O17" s="93"/>
      <c r="P17" s="93"/>
      <c r="Q17" s="93"/>
      <c r="R17" s="93"/>
      <c r="S17" s="93"/>
      <c r="T17" s="238"/>
      <c r="U17" s="93"/>
    </row>
    <row r="18" spans="1:21" ht="14.25" customHeight="1" thickBot="1">
      <c r="A18" s="93"/>
      <c r="B18" s="251" t="s">
        <v>30</v>
      </c>
      <c r="C18" s="252"/>
      <c r="D18" s="252"/>
      <c r="E18" s="252"/>
      <c r="F18" s="252"/>
      <c r="G18" s="253"/>
      <c r="H18" s="93"/>
      <c r="I18" s="222">
        <v>8</v>
      </c>
      <c r="J18" s="224" t="str">
        <f>Sheet1!J19</f>
        <v>UB</v>
      </c>
      <c r="K18" s="221">
        <f>Sheet1!K19</f>
        <v>0</v>
      </c>
      <c r="L18" s="221">
        <f>Sheet1!L19</f>
        <v>0</v>
      </c>
      <c r="M18" s="221">
        <f>Sheet1!M19</f>
        <v>0</v>
      </c>
      <c r="N18" s="93"/>
      <c r="O18" s="254" t="s">
        <v>32</v>
      </c>
      <c r="P18" s="255"/>
      <c r="Q18" s="255"/>
      <c r="R18" s="255"/>
      <c r="S18" s="255"/>
      <c r="T18" s="256"/>
      <c r="U18" s="93"/>
    </row>
    <row r="19" spans="1:21" ht="14.25" customHeight="1">
      <c r="A19" s="93"/>
      <c r="B19" s="99" t="s">
        <v>12</v>
      </c>
      <c r="C19" s="102" t="s">
        <v>8</v>
      </c>
      <c r="D19" s="102" t="s">
        <v>9</v>
      </c>
      <c r="E19" s="105" t="s">
        <v>10</v>
      </c>
      <c r="F19" s="105" t="s">
        <v>11</v>
      </c>
      <c r="G19" s="242" t="s">
        <v>0</v>
      </c>
      <c r="H19" s="93"/>
      <c r="I19" s="222">
        <v>9</v>
      </c>
      <c r="J19" s="224" t="str">
        <f>Sheet1!J20</f>
        <v>UB</v>
      </c>
      <c r="K19" s="221">
        <f>Sheet1!K20</f>
        <v>0</v>
      </c>
      <c r="L19" s="221">
        <f>Sheet1!L20</f>
        <v>0</v>
      </c>
      <c r="M19" s="221">
        <f>Sheet1!M20</f>
        <v>0</v>
      </c>
      <c r="N19" s="93"/>
      <c r="O19" s="99" t="s">
        <v>12</v>
      </c>
      <c r="P19" s="102" t="s">
        <v>8</v>
      </c>
      <c r="Q19" s="102" t="s">
        <v>9</v>
      </c>
      <c r="R19" s="105" t="s">
        <v>10</v>
      </c>
      <c r="S19" s="105" t="s">
        <v>11</v>
      </c>
      <c r="T19" s="239" t="s">
        <v>0</v>
      </c>
      <c r="U19" s="93"/>
    </row>
    <row r="20" spans="1:21" ht="18" customHeight="1" thickBot="1">
      <c r="A20" s="93"/>
      <c r="B20" s="100">
        <v>1</v>
      </c>
      <c r="C20" s="103" t="str">
        <f>IF('2 HE'!J4="YES","CRESTED",IF('2 HE'!M18="H/A","H/A",IF('2 HE'!K18=4300,'2 HE'!Q43,'2 HE'!S43)+('2 HE'!L18/('2 HE'!K18/1000))))</f>
        <v>CRESTED</v>
      </c>
      <c r="D20" s="103" t="str">
        <f>IF('2 HE'!J4="YES","CRESTED",IF('2 HE'!M18="H/A","H/A",('2 HE'!P43)-(2*('2 HE'!L30))))</f>
        <v>CRESTED</v>
      </c>
      <c r="E20" s="106" t="str">
        <f>IF('2 HE'!K4="yes","CRESTED",(IF('2 HE'!M18="L/A","L/A",'2 HE'!S43+(('2 HE'!L18/'2 HE'!K18/1000)+(('2 HE'!O30)*((('2 HE'!L18/('2 HE'!K18/1000))^2)^0.5))))))</f>
        <v>CRESTED</v>
      </c>
      <c r="F20" s="108" t="str">
        <f>IF('2 HE'!K4="YES","CRESTED",(IF('2 HE'!M18="L/A","L/A",(IF('2 HE'!K18=4300,'2 HE'!N43,'2 HE'!P43)-(2*(VLOOKUP('2 HE'!K43,'2 HE'!A:I,9,FALSE)))))))</f>
        <v>CRESTED</v>
      </c>
      <c r="G20" s="236">
        <f>'2 HE'!K18</f>
        <v>0</v>
      </c>
      <c r="H20" s="93"/>
      <c r="I20" s="223">
        <v>10</v>
      </c>
      <c r="J20" s="224" t="str">
        <f>Sheet1!J21</f>
        <v>UB</v>
      </c>
      <c r="K20" s="221">
        <f>Sheet1!K21</f>
        <v>0</v>
      </c>
      <c r="L20" s="221">
        <f>Sheet1!L21</f>
        <v>0</v>
      </c>
      <c r="M20" s="221">
        <f>Sheet1!M21</f>
        <v>0</v>
      </c>
      <c r="N20" s="93"/>
      <c r="O20" s="100">
        <v>1</v>
      </c>
      <c r="P20" s="103" t="str">
        <f>IF('2 IM'!F4="YES","CRESTED",IF('2 IM'!I17="L/A",IF('2 IM'!G17=2900,'2 IM'!N4,'2 IM'!P4),"H/A"))</f>
        <v>CRESTED</v>
      </c>
      <c r="Q20" s="103" t="str">
        <f>IF('2 IM'!F4="YES","CRESTED",(IF(INPUT!D5="H/A","H/A",IF('2 IM'!G17=2900,'2 IM'!K4,'2 IM'!M4))))</f>
        <v>CRESTED</v>
      </c>
      <c r="R20" s="106" t="str">
        <f>IF('2 IM'!G4="Yes","CRESTED",IF('2 IM'!I17="L/a","L/A",IF('2 IM'!G17=2900,'2 IM'!N4,'2 IM'!P4)))</f>
        <v>CRESTED</v>
      </c>
      <c r="S20" s="108" t="str">
        <f>IF('2 IM'!G4="Yes","CRESTED",IF('2 IM'!I17="L/a","L/A",IF('2 IM'!G17=2900,'2 IM'!K4,'2 IM'!M4)))</f>
        <v>CRESTED</v>
      </c>
      <c r="T20" s="240">
        <f>'2 IM'!G17</f>
        <v>0</v>
      </c>
      <c r="U20" s="93"/>
    </row>
    <row r="21" spans="1:21" ht="15" customHeight="1" thickBot="1">
      <c r="A21" s="93"/>
      <c r="B21" s="100">
        <v>2</v>
      </c>
      <c r="C21" s="103" t="str">
        <f>IF('2 HE'!J5="YES","CRESTED",IF('2 HE'!M19="H/A","H/A",IF('2 HE'!K19=4300,'2 HE'!Q44,'2 HE'!S44)+('2 HE'!L19/('2 HE'!K19/1000))))</f>
        <v>CRESTED</v>
      </c>
      <c r="D21" s="103" t="str">
        <f>IF('2 HE'!J5="YES","CRESTED",IF('2 HE'!M19="H/A","H/A",('2 HE'!P44)-(2*('2 HE'!L31))))</f>
        <v>CRESTED</v>
      </c>
      <c r="E21" s="106" t="str">
        <f>IF('2 HE'!K5="yes","CRESTED",(IF('2 HE'!M19="L/A","L/A",'2 HE'!S44+(('2 HE'!L19/'2 HE'!K19/1000)+(('2 HE'!O31)*((('2 HE'!L19/('2 HE'!K19/1000))^2)^0.5))))))</f>
        <v>CRESTED</v>
      </c>
      <c r="F21" s="108" t="str">
        <f>IF('2 HE'!K5="YES","CRESTED",(IF('2 HE'!M19="L/A","L/A",(IF('2 HE'!K19=4300,'2 HE'!N44,'2 HE'!P44)-(2*(VLOOKUP('2 HE'!K44,'2 HE'!A:I,9,FALSE)))))))</f>
        <v>CRESTED</v>
      </c>
      <c r="G21" s="236">
        <f>'2 HE'!K19</f>
        <v>0</v>
      </c>
      <c r="H21" s="93"/>
      <c r="I21" s="92"/>
      <c r="J21" s="92"/>
      <c r="K21" s="92"/>
      <c r="L21" s="92"/>
      <c r="M21" s="92"/>
      <c r="N21" s="93"/>
      <c r="O21" s="100">
        <v>2</v>
      </c>
      <c r="P21" s="103" t="str">
        <f>IF('2 IM'!F5="YES","CRESTED",IF('2 IM'!I18="L/A",IF('2 IM'!G18=2900,'2 IM'!N5,'2 IM'!P5),"H/A"))</f>
        <v>CRESTED</v>
      </c>
      <c r="Q21" s="103" t="str">
        <f>IF('2 IM'!F5="YES","CRESTED",(IF('1 HE'!N3="H/A","H/A",IF('2 IM'!G18=2900,'2 IM'!K5,'2 IM'!M5))))</f>
        <v>CRESTED</v>
      </c>
      <c r="R21" s="106" t="str">
        <f>IF('2 IM'!G5="Yes","CRESTED",IF('2 IM'!I18="L/a","L/A",IF('2 IM'!G18=2900,'2 IM'!N5,'2 IM'!P5)))</f>
        <v>CRESTED</v>
      </c>
      <c r="S21" s="108" t="str">
        <f>IF('2 IM'!G5="Yes","CRESTED",IF('2 IM'!I18="L/a","L/A",IF('2 IM'!G18=2900,'2 IM'!K5,'2 IM'!M5)))</f>
        <v>CRESTED</v>
      </c>
      <c r="T21" s="240">
        <f>'2 IM'!G18</f>
        <v>0</v>
      </c>
      <c r="U21" s="93"/>
    </row>
    <row r="22" spans="1:21" ht="18" customHeight="1" thickBot="1">
      <c r="A22" s="93"/>
      <c r="B22" s="100">
        <v>3</v>
      </c>
      <c r="C22" s="103" t="str">
        <f>IF('2 HE'!J6="YES","CRESTED",IF('2 HE'!M20="H/A","H/A",IF('2 HE'!K20=4300,'2 HE'!Q45,'2 HE'!S45)+('2 HE'!L20/('2 HE'!K20/1000))))</f>
        <v>CRESTED</v>
      </c>
      <c r="D22" s="103" t="str">
        <f>IF('2 HE'!J6="YES","CRESTED",IF('2 HE'!M20="H/A","H/A",('2 HE'!P45)-(2*('2 HE'!L32))))</f>
        <v>CRESTED</v>
      </c>
      <c r="E22" s="106" t="str">
        <f>IF('2 HE'!K6="yes","CRESTED",(IF('2 HE'!M20="L/A","L/A",'2 HE'!S45+(('2 HE'!L20/'2 HE'!K20/1000)+(('2 HE'!O32)*((('2 HE'!L20/('2 HE'!K20/1000))^2)^0.5))))))</f>
        <v>CRESTED</v>
      </c>
      <c r="F22" s="108" t="str">
        <f>IF('2 HE'!K6="YES","CRESTED",(IF('2 HE'!M20="L/A","L/A",(IF('2 HE'!K20=4300,'2 HE'!N45,'2 HE'!P45)-(2*(VLOOKUP('2 HE'!K45,'2 HE'!A:I,9,FALSE)))))))</f>
        <v>CRESTED</v>
      </c>
      <c r="G22" s="236">
        <f>'2 HE'!K20</f>
        <v>0</v>
      </c>
      <c r="H22" s="93"/>
      <c r="I22" s="280" t="s">
        <v>117</v>
      </c>
      <c r="J22" s="281"/>
      <c r="K22" s="281"/>
      <c r="L22" s="281"/>
      <c r="M22" s="282"/>
      <c r="N22" s="93"/>
      <c r="O22" s="100">
        <v>3</v>
      </c>
      <c r="P22" s="103" t="str">
        <f>IF('2 IM'!F6="YES","CRESTED",IF('2 IM'!I19="L/A",IF('2 IM'!G19=2900,'2 IM'!N6,'2 IM'!P6),"H/A"))</f>
        <v>CRESTED</v>
      </c>
      <c r="Q22" s="103" t="str">
        <f>IF('2 IM'!F6="YES","CRESTED",(IF('1 HE'!N4="H/A","H/A",IF('2 IM'!G19=2900,'2 IM'!K6,'2 IM'!M6))))</f>
        <v>CRESTED</v>
      </c>
      <c r="R22" s="106" t="str">
        <f>IF('2 IM'!G6="Yes","CRESTED",IF('2 IM'!I19="L/a","L/A",IF('2 IM'!G19=2900,'2 IM'!N6,'2 IM'!P6)))</f>
        <v>CRESTED</v>
      </c>
      <c r="S22" s="108" t="str">
        <f>IF('2 IM'!G6="Yes","CRESTED",IF('2 IM'!I19="L/a","L/A",IF('2 IM'!G19=2900,'2 IM'!K6,'2 IM'!M6)))</f>
        <v>CRESTED</v>
      </c>
      <c r="T22" s="240">
        <f>'2 IM'!G19</f>
        <v>0</v>
      </c>
      <c r="U22" s="93"/>
    </row>
    <row r="23" spans="1:21" ht="15">
      <c r="A23" s="93"/>
      <c r="B23" s="100">
        <v>4</v>
      </c>
      <c r="C23" s="103" t="str">
        <f>IF('2 HE'!J7="YES","CRESTED",IF('2 HE'!M21="H/A","H/A",IF('2 HE'!K21=4300,'2 HE'!Q46,'2 HE'!S46)+('2 HE'!L21/('2 HE'!K21/1000))))</f>
        <v>CRESTED</v>
      </c>
      <c r="D23" s="103" t="str">
        <f>IF('2 HE'!J7="YES","CRESTED",IF('2 HE'!M21="H/A","H/A",('2 HE'!P46)-(2*('2 HE'!L33))))</f>
        <v>CRESTED</v>
      </c>
      <c r="E23" s="106" t="str">
        <f>IF('2 HE'!K7="yes","CRESTED",(IF('2 HE'!M21="L/A","L/A",'2 HE'!S46+(('2 HE'!L21/'2 HE'!K21/1000)+(('2 HE'!O33)*((('2 HE'!L21/('2 HE'!K21/1000))^2)^0.5))))))</f>
        <v>CRESTED</v>
      </c>
      <c r="F23" s="108" t="str">
        <f>IF('2 HE'!K7="YES","CRESTED",(IF('2 HE'!M21="L/A","L/A",(IF('2 HE'!K21=4300,'2 HE'!N46,'2 HE'!P46)-(2*(VLOOKUP('2 HE'!K46,'2 HE'!A:I,9,FALSE)))))))</f>
        <v>CRESTED</v>
      </c>
      <c r="G23" s="236">
        <f>'2 HE'!K21</f>
        <v>0</v>
      </c>
      <c r="H23" s="93"/>
      <c r="I23" s="268" t="s">
        <v>0</v>
      </c>
      <c r="J23" s="269"/>
      <c r="K23" s="269"/>
      <c r="L23" s="269"/>
      <c r="M23" s="270"/>
      <c r="N23" s="93"/>
      <c r="O23" s="100">
        <v>4</v>
      </c>
      <c r="P23" s="103" t="str">
        <f>IF('2 IM'!F7="YES","CRESTED",IF('2 IM'!I20="L/A",IF('2 IM'!G20=2900,'2 IM'!N7,'2 IM'!P7),"H/A"))</f>
        <v>CRESTED</v>
      </c>
      <c r="Q23" s="103" t="str">
        <f>IF('2 IM'!F7="YES","CRESTED",(IF('1 HE'!N5="H/A","H/A",IF('2 IM'!G20=2900,'2 IM'!K7,'2 IM'!M7))))</f>
        <v>CRESTED</v>
      </c>
      <c r="R23" s="106" t="str">
        <f>IF('2 IM'!G7="Yes","CRESTED",IF('2 IM'!I20="L/a","L/A",IF('2 IM'!G20=2900,'2 IM'!N7,'2 IM'!P7)))</f>
        <v>CRESTED</v>
      </c>
      <c r="S23" s="108" t="str">
        <f>IF('2 IM'!G7="Yes","CRESTED",IF('2 IM'!I20="L/a","L/A",IF('2 IM'!G20=2900,'2 IM'!K7,'2 IM'!M7)))</f>
        <v>CRESTED</v>
      </c>
      <c r="T23" s="240">
        <f>'2 IM'!G20</f>
        <v>0</v>
      </c>
      <c r="U23" s="93"/>
    </row>
    <row r="24" spans="1:21" ht="15" customHeight="1" thickBot="1">
      <c r="A24" s="93"/>
      <c r="B24" s="100">
        <v>5</v>
      </c>
      <c r="C24" s="103" t="str">
        <f>IF('2 HE'!J8="YES","CRESTED",IF('2 HE'!M22="H/A","H/A",IF('2 HE'!K22=4300,'2 HE'!Q47,'2 HE'!S47)+('2 HE'!L22/('2 HE'!K22/1000))))</f>
        <v>CRESTED</v>
      </c>
      <c r="D24" s="103" t="str">
        <f>IF('2 HE'!J8="YES","CRESTED",IF('2 HE'!M22="H/A","H/A",('2 HE'!P47)-(2*('2 HE'!L34))))</f>
        <v>CRESTED</v>
      </c>
      <c r="E24" s="106" t="str">
        <f>IF('2 HE'!K8="yes","CRESTED",(IF('2 HE'!M22="L/A","L/A",'2 HE'!S47+(('2 HE'!L22/'2 HE'!K22/1000)+(('2 HE'!O34)*((('2 HE'!L22/('2 HE'!K22/1000))^2)^0.5))))))</f>
        <v>CRESTED</v>
      </c>
      <c r="F24" s="108" t="str">
        <f>IF('2 HE'!K8="YES","CRESTED",(IF('2 HE'!M22="L/A","L/A",(IF('2 HE'!K22=4300,'2 HE'!N47,'2 HE'!P47)-(2*(VLOOKUP('2 HE'!K47,'2 HE'!A:I,9,FALSE)))))))</f>
        <v>CRESTED</v>
      </c>
      <c r="G24" s="236">
        <f>'2 HE'!K22</f>
        <v>0</v>
      </c>
      <c r="H24" s="93"/>
      <c r="I24" s="271"/>
      <c r="J24" s="272"/>
      <c r="K24" s="272"/>
      <c r="L24" s="272"/>
      <c r="M24" s="273"/>
      <c r="N24" s="93"/>
      <c r="O24" s="100">
        <v>5</v>
      </c>
      <c r="P24" s="103" t="str">
        <f>IF('2 IM'!F8="YES","CRESTED",IF('2 IM'!I21="L/A",IF('2 IM'!G21=2900,'2 IM'!N8,'2 IM'!P8),"H/A"))</f>
        <v>CRESTED</v>
      </c>
      <c r="Q24" s="103" t="str">
        <f>IF('2 IM'!F8="YES","CRESTED",(IF('1 HE'!N6="H/A","H/A",IF('2 IM'!G21=2900,'2 IM'!K8,'2 IM'!M8))))</f>
        <v>CRESTED</v>
      </c>
      <c r="R24" s="106" t="str">
        <f>IF('2 IM'!G8="Yes","CRESTED",IF('2 IM'!I21="L/a","L/A",IF('2 IM'!G21=2900,'2 IM'!N8,'2 IM'!P8)))</f>
        <v>CRESTED</v>
      </c>
      <c r="S24" s="108" t="str">
        <f>IF('2 IM'!G8="Yes","CRESTED",IF('2 IM'!I21="L/a","L/A",IF('2 IM'!G21=2900,'2 IM'!K8,'2 IM'!M8)))</f>
        <v>CRESTED</v>
      </c>
      <c r="T24" s="240">
        <f>'2 IM'!G21</f>
        <v>0</v>
      </c>
      <c r="U24" s="93"/>
    </row>
    <row r="25" spans="1:21" ht="15.75" customHeight="1">
      <c r="A25" s="93"/>
      <c r="B25" s="100">
        <v>6</v>
      </c>
      <c r="C25" s="103" t="str">
        <f>IF('2 HE'!J9="YES","CRESTED",IF('2 HE'!M23="H/A","H/A",IF('2 HE'!K23=4300,'2 HE'!Q48,'2 HE'!S48)+('2 HE'!L23/('2 HE'!K23/1000))))</f>
        <v>CRESTED</v>
      </c>
      <c r="D25" s="103" t="str">
        <f>IF('2 HE'!J9="YES","CRESTED",IF('2 HE'!M23="H/A","H/A",('2 HE'!P48)-(2*('2 HE'!L35))))</f>
        <v>CRESTED</v>
      </c>
      <c r="E25" s="106" t="str">
        <f>IF('2 HE'!K9="yes","CRESTED",(IF('2 HE'!M23="L/A","L/A",'2 HE'!S48+(('2 HE'!L23/'2 HE'!K23/1000)+(('2 HE'!O35)*((('2 HE'!L23/('2 HE'!K23/1000))^2)^0.5))))))</f>
        <v>CRESTED</v>
      </c>
      <c r="F25" s="108" t="str">
        <f>IF('2 HE'!K9="YES","CRESTED",(IF('2 HE'!M23="L/A","L/A",(IF('2 HE'!K23=4300,'2 HE'!N48,'2 HE'!P48)-(2*(VLOOKUP('2 HE'!K48,'2 HE'!A:I,9,FALSE)))))))</f>
        <v>CRESTED</v>
      </c>
      <c r="G25" s="236">
        <f>'2 HE'!K23</f>
        <v>0</v>
      </c>
      <c r="H25" s="93"/>
      <c r="I25" s="93"/>
      <c r="J25" s="93"/>
      <c r="K25" s="93"/>
      <c r="L25" s="93"/>
      <c r="M25" s="93"/>
      <c r="N25" s="93"/>
      <c r="O25" s="100">
        <v>6</v>
      </c>
      <c r="P25" s="103" t="str">
        <f>IF('2 IM'!F9="YES","CRESTED",IF('2 IM'!I22="L/A",IF('2 IM'!G22=2900,'2 IM'!N9,'2 IM'!P9),"H/A"))</f>
        <v>CRESTED</v>
      </c>
      <c r="Q25" s="103" t="str">
        <f>IF('2 IM'!F9="YES","CRESTED",(IF('1 HE'!N7="H/A","H/A",IF('2 IM'!G22=2900,'2 IM'!K9,'2 IM'!M9))))</f>
        <v>CRESTED</v>
      </c>
      <c r="R25" s="106" t="str">
        <f>IF('2 IM'!G9="Yes","CRESTED",IF('2 IM'!I22="L/a","L/A",IF('2 IM'!G22=2900,'2 IM'!N9,'2 IM'!P9)))</f>
        <v>CRESTED</v>
      </c>
      <c r="S25" s="108" t="str">
        <f>IF('2 IM'!G9="Yes","CRESTED",IF('2 IM'!I22="L/a","L/A",IF('2 IM'!G22=2900,'2 IM'!K9,'2 IM'!M9)))</f>
        <v>CRESTED</v>
      </c>
      <c r="T25" s="240">
        <f>'2 IM'!G22</f>
        <v>0</v>
      </c>
      <c r="U25" s="93"/>
    </row>
    <row r="26" spans="1:21" ht="15">
      <c r="A26" s="93"/>
      <c r="B26" s="100">
        <v>7</v>
      </c>
      <c r="C26" s="103" t="str">
        <f>IF('2 HE'!J10="YES","CRESTED",IF('2 HE'!M24="H/A","H/A",IF('2 HE'!K24=4300,'2 HE'!Q49,'2 HE'!S49)+('2 HE'!L24/('2 HE'!K24/1000))))</f>
        <v>CRESTED</v>
      </c>
      <c r="D26" s="103" t="str">
        <f>IF('2 HE'!J10="YES","CRESTED",IF('2 HE'!M24="H/A","H/A",('2 HE'!P49)-(2*('2 HE'!L36))))</f>
        <v>CRESTED</v>
      </c>
      <c r="E26" s="106" t="str">
        <f>IF('2 HE'!K10="yes","CRESTED",(IF('2 HE'!M24="L/A","L/A",'2 HE'!S49+(('2 HE'!L24/'2 HE'!K24/1000)+(('2 HE'!O36)*((('2 HE'!L24/('2 HE'!K24/1000))^2)^0.5))))))</f>
        <v>CRESTED</v>
      </c>
      <c r="F26" s="108" t="str">
        <f>IF('2 HE'!K10="YES","CRESTED",(IF('2 HE'!M24="L/A","L/A",(IF('2 HE'!K24=4300,'2 HE'!N49,'2 HE'!P49)-(2*(VLOOKUP('2 HE'!K49,'2 HE'!A:I,9,FALSE)))))))</f>
        <v>CRESTED</v>
      </c>
      <c r="G26" s="236">
        <f>'2 HE'!K24</f>
        <v>0</v>
      </c>
      <c r="H26" s="93"/>
      <c r="I26" s="93"/>
      <c r="J26" s="93"/>
      <c r="K26" s="93"/>
      <c r="L26" s="93"/>
      <c r="M26" s="93"/>
      <c r="N26" s="93"/>
      <c r="O26" s="100">
        <v>7</v>
      </c>
      <c r="P26" s="103" t="str">
        <f>IF('2 IM'!F10="YES","CRESTED",IF('2 IM'!I23="L/A",IF('2 IM'!G23=2900,'2 IM'!N10,'2 IM'!P10),"H/A"))</f>
        <v>CRESTED</v>
      </c>
      <c r="Q26" s="103" t="str">
        <f>IF('2 IM'!F10="YES","CRESTED",(IF('1 HE'!N8="H/A","H/A",IF('2 IM'!G23=2900,'2 IM'!K10,'2 IM'!M10))))</f>
        <v>CRESTED</v>
      </c>
      <c r="R26" s="106" t="str">
        <f>IF('2 IM'!G10="Yes","CRESTED",IF('2 IM'!I23="L/a","L/A",IF('2 IM'!G23=2900,'2 IM'!N10,'2 IM'!P10)))</f>
        <v>CRESTED</v>
      </c>
      <c r="S26" s="108" t="str">
        <f>IF('2 IM'!G10="Yes","CRESTED",IF('2 IM'!I23="L/a","L/A",IF('2 IM'!G23=2900,'2 IM'!K10,'2 IM'!M10)))</f>
        <v>CRESTED</v>
      </c>
      <c r="T26" s="240">
        <f>'2 IM'!G23</f>
        <v>0</v>
      </c>
      <c r="U26" s="93"/>
    </row>
    <row r="27" spans="1:21" ht="15" customHeight="1">
      <c r="A27" s="93"/>
      <c r="B27" s="100">
        <v>8</v>
      </c>
      <c r="C27" s="103" t="str">
        <f>IF('2 HE'!J11="YES","CRESTED",IF('2 HE'!M25="H/A","H/A",IF('2 HE'!K25=4300,'2 HE'!Q50,'2 HE'!S50)+('2 HE'!L25/('2 HE'!K25/1000))))</f>
        <v>CRESTED</v>
      </c>
      <c r="D27" s="103" t="str">
        <f>IF('2 HE'!J11="YES","CRESTED",IF('2 HE'!M25="H/A","H/A",('2 HE'!P50)-(2*('2 HE'!L37))))</f>
        <v>CRESTED</v>
      </c>
      <c r="E27" s="106" t="str">
        <f>IF('2 HE'!K11="yes","CRESTED",(IF('2 HE'!M25="L/A","L/A",'2 HE'!S50+(('2 HE'!L25/'2 HE'!K25/1000)+(('2 HE'!O37)*((('2 HE'!L25/('2 HE'!K25/1000))^2)^0.5))))))</f>
        <v>CRESTED</v>
      </c>
      <c r="F27" s="108" t="str">
        <f>IF('2 HE'!K11="YES","CRESTED",(IF('2 HE'!M25="L/A","L/A",(IF('2 HE'!K25=4300,'2 HE'!N50,'2 HE'!P50)-(2*(VLOOKUP('2 HE'!K50,'2 HE'!A:I,9,FALSE)))))))</f>
        <v>CRESTED</v>
      </c>
      <c r="G27" s="236">
        <f>'2 HE'!K25</f>
        <v>0</v>
      </c>
      <c r="H27" s="93"/>
      <c r="I27" s="93"/>
      <c r="J27" s="257" t="s">
        <v>118</v>
      </c>
      <c r="K27" s="257"/>
      <c r="L27" s="257"/>
      <c r="M27" s="93"/>
      <c r="N27" s="93"/>
      <c r="O27" s="100">
        <v>8</v>
      </c>
      <c r="P27" s="103" t="str">
        <f>IF('2 IM'!F11="YES","CRESTED",IF('2 IM'!I24="L/A",IF('2 IM'!G24=2900,'2 IM'!N11,'2 IM'!P11),"H/A"))</f>
        <v>CRESTED</v>
      </c>
      <c r="Q27" s="103" t="str">
        <f>IF('2 IM'!F11="YES","CRESTED",(IF('1 HE'!N9="H/A","H/A",IF('2 IM'!G24=2900,'2 IM'!K11,'2 IM'!M11))))</f>
        <v>CRESTED</v>
      </c>
      <c r="R27" s="106" t="str">
        <f>IF('2 IM'!G11="Yes","CRESTED",IF('2 IM'!I24="L/a","L/A",IF('2 IM'!G24=2900,'2 IM'!N11,'2 IM'!P11)))</f>
        <v>CRESTED</v>
      </c>
      <c r="S27" s="108" t="str">
        <f>IF('2 IM'!G11="Yes","CRESTED",IF('2 IM'!I24="L/a","L/A",IF('2 IM'!G24=2900,'2 IM'!K11,'2 IM'!M11)))</f>
        <v>CRESTED</v>
      </c>
      <c r="T27" s="240">
        <f>'2 IM'!G24</f>
        <v>0</v>
      </c>
      <c r="U27" s="93"/>
    </row>
    <row r="28" spans="1:21" ht="15" customHeight="1" thickBot="1">
      <c r="A28" s="93"/>
      <c r="B28" s="100">
        <v>9</v>
      </c>
      <c r="C28" s="103" t="str">
        <f>IF('2 HE'!J12="YES","CRESTED",IF('2 HE'!M26="H/A","H/A",IF('2 HE'!K26=4300,'2 HE'!Q51,'2 HE'!S51)+('2 HE'!L26/('2 HE'!K26/1000))))</f>
        <v>CRESTED</v>
      </c>
      <c r="D28" s="103" t="str">
        <f>IF('2 HE'!J12="YES","CRESTED",IF('2 HE'!M26="H/A","H/A",('2 HE'!P51)-(2*('2 HE'!L38))))</f>
        <v>CRESTED</v>
      </c>
      <c r="E28" s="106" t="str">
        <f>IF('2 HE'!K12="yes","CRESTED",(IF('2 HE'!M26="L/A","L/A",'2 HE'!S51+(('2 HE'!L26/'2 HE'!K26/1000)+(('2 HE'!O38)*((('2 HE'!L26/('2 HE'!K26/1000))^2)^0.5))))))</f>
        <v>CRESTED</v>
      </c>
      <c r="F28" s="108" t="str">
        <f>IF('2 HE'!K12="YES","CRESTED",(IF('2 HE'!M26="L/A","L/A",(IF('2 HE'!K26=4300,'2 HE'!N51,'2 HE'!P51)-(2*(VLOOKUP('2 HE'!K51,'2 HE'!A:I,9,FALSE)))))))</f>
        <v>CRESTED</v>
      </c>
      <c r="G28" s="236">
        <f>'2 HE'!K26</f>
        <v>0</v>
      </c>
      <c r="H28" s="93"/>
      <c r="I28" s="93"/>
      <c r="J28" s="258"/>
      <c r="K28" s="258"/>
      <c r="L28" s="258"/>
      <c r="M28" s="93"/>
      <c r="N28" s="93"/>
      <c r="O28" s="100">
        <v>9</v>
      </c>
      <c r="P28" s="103" t="str">
        <f>IF('2 IM'!F12="YES","CRESTED",IF('2 IM'!I25="L/A",IF('2 IM'!G25=2900,'2 IM'!N12,'2 IM'!P12),"H/A"))</f>
        <v>CRESTED</v>
      </c>
      <c r="Q28" s="103" t="str">
        <f>IF('2 IM'!F12="YES","CRESTED",(IF('1 HE'!N10="H/A","H/A",IF('2 IM'!G25=2900,'2 IM'!K12,'2 IM'!M12))))</f>
        <v>CRESTED</v>
      </c>
      <c r="R28" s="106" t="str">
        <f>IF('2 IM'!G12="Yes","CRESTED",IF('2 IM'!I25="L/a","L/A",IF('2 IM'!G25=2900,'2 IM'!N12,'2 IM'!P12)))</f>
        <v>CRESTED</v>
      </c>
      <c r="S28" s="108" t="str">
        <f>IF('2 IM'!G12="Yes","CRESTED",IF('2 IM'!I25="L/a","L/A",IF('2 IM'!G25=2900,'2 IM'!K12,'2 IM'!M12)))</f>
        <v>CRESTED</v>
      </c>
      <c r="T28" s="240">
        <f>'2 IM'!G25</f>
        <v>0</v>
      </c>
      <c r="U28" s="93"/>
    </row>
    <row r="29" spans="1:21" ht="15.75" customHeight="1" thickBot="1">
      <c r="A29" s="93"/>
      <c r="B29" s="101">
        <v>10</v>
      </c>
      <c r="C29" s="104" t="str">
        <f>IF('2 HE'!J13="YES","CRESTED",IF('2 HE'!M27="H/A","H/A",IF('2 HE'!K27=4300,'2 HE'!Q52,'2 HE'!S52)+('2 HE'!L27/('2 HE'!K27/1000))))</f>
        <v>CRESTED</v>
      </c>
      <c r="D29" s="104" t="str">
        <f>IF('2 HE'!J13="YES","CRESTED",IF('2 HE'!M27="H/A","H/A",('2 HE'!P52)-(2*('2 HE'!L39))))</f>
        <v>CRESTED</v>
      </c>
      <c r="E29" s="107" t="str">
        <f>IF('2 HE'!K13="yes","CRESTED",(IF('2 HE'!M27="L/A","L/A",'2 HE'!S52+(('2 HE'!L27/'2 HE'!K27/1000)+(('2 HE'!O39)*((('2 HE'!L27/('2 HE'!K27/1000))^2)^0.5))))))</f>
        <v>CRESTED</v>
      </c>
      <c r="F29" s="109" t="str">
        <f>IF('2 HE'!K13="YES","CRESTED",(IF('2 HE'!M27="L/A","L/A",(IF('2 HE'!K27=4300,'2 HE'!N52,'2 HE'!P52)-(2*(VLOOKUP('2 HE'!K52,'2 HE'!A:I,9,FALSE)))))))</f>
        <v>CRESTED</v>
      </c>
      <c r="G29" s="237">
        <f>'2 HE'!K27</f>
        <v>0</v>
      </c>
      <c r="H29" s="93"/>
      <c r="I29" s="93"/>
      <c r="J29" s="96" t="s">
        <v>12</v>
      </c>
      <c r="K29" s="96" t="s">
        <v>123</v>
      </c>
      <c r="L29" s="96" t="s">
        <v>124</v>
      </c>
      <c r="M29" s="93"/>
      <c r="N29" s="93"/>
      <c r="O29" s="101">
        <v>10</v>
      </c>
      <c r="P29" s="104" t="str">
        <f>IF('2 IM'!F13="YES","CRESTED",IF('2 IM'!I26="L/A",IF('2 IM'!G26=2900,'2 IM'!N13,'2 IM'!P13),"H/A"))</f>
        <v>CRESTED</v>
      </c>
      <c r="Q29" s="104" t="str">
        <f>IF('2 IM'!F13="YES","CRESTED",(IF('1 HE'!N11="H/A","H/A",IF('2 IM'!G26=2900,'2 IM'!K13,'2 IM'!M13))))</f>
        <v>CRESTED</v>
      </c>
      <c r="R29" s="107" t="str">
        <f>IF('2 IM'!G13="Yes","CRESTED",IF('2 IM'!I26="L/a","L/A",IF('2 IM'!G26=2900,'2 IM'!N13,'2 IM'!P13)))</f>
        <v>CRESTED</v>
      </c>
      <c r="S29" s="109" t="str">
        <f>IF('2 IM'!G13="Yes","CRESTED",IF('2 IM'!I26="L/a","L/A",IF('2 IM'!G26=2900,'2 IM'!K13,'2 IM'!M13)))</f>
        <v>CRESTED</v>
      </c>
      <c r="T29" s="240">
        <f>'2 IM'!G26</f>
        <v>0</v>
      </c>
      <c r="U29" s="93"/>
    </row>
    <row r="30" spans="1:21" ht="15">
      <c r="A30" s="93"/>
      <c r="B30" s="93"/>
      <c r="C30" s="93"/>
      <c r="D30" s="93"/>
      <c r="E30" s="93"/>
      <c r="F30" s="93"/>
      <c r="G30" s="238"/>
      <c r="H30" s="93"/>
      <c r="I30" s="93"/>
      <c r="J30" s="97">
        <v>1</v>
      </c>
      <c r="K30" s="210"/>
      <c r="L30" s="108"/>
      <c r="M30" s="93"/>
      <c r="N30" s="93"/>
      <c r="O30" s="93"/>
      <c r="P30" s="93"/>
      <c r="Q30" s="93"/>
      <c r="R30" s="93"/>
      <c r="S30" s="93"/>
      <c r="T30" s="238"/>
      <c r="U30" s="93"/>
    </row>
    <row r="31" spans="1:21" ht="15.75" customHeight="1" thickBot="1">
      <c r="A31" s="93"/>
      <c r="B31" s="93"/>
      <c r="C31" s="93"/>
      <c r="D31" s="93"/>
      <c r="E31" s="93"/>
      <c r="F31" s="93"/>
      <c r="G31" s="238"/>
      <c r="H31" s="93"/>
      <c r="I31" s="93"/>
      <c r="J31" s="97">
        <v>2</v>
      </c>
      <c r="K31" s="210"/>
      <c r="L31" s="108"/>
      <c r="M31" s="93"/>
      <c r="N31" s="93"/>
      <c r="O31" s="93"/>
      <c r="P31" s="93"/>
      <c r="Q31" s="93"/>
      <c r="R31" s="93"/>
      <c r="S31" s="93"/>
      <c r="T31" s="238"/>
      <c r="U31" s="93"/>
    </row>
    <row r="32" spans="1:21" ht="15.75" customHeight="1" thickBot="1">
      <c r="A32" s="93"/>
      <c r="B32" s="251" t="s">
        <v>35</v>
      </c>
      <c r="C32" s="252"/>
      <c r="D32" s="252"/>
      <c r="E32" s="252"/>
      <c r="F32" s="252"/>
      <c r="G32" s="253"/>
      <c r="H32" s="93"/>
      <c r="I32" s="93"/>
      <c r="J32" s="97">
        <v>3</v>
      </c>
      <c r="K32" s="210"/>
      <c r="L32" s="108"/>
      <c r="M32" s="93"/>
      <c r="N32" s="93"/>
      <c r="O32" s="254" t="s">
        <v>41</v>
      </c>
      <c r="P32" s="255"/>
      <c r="Q32" s="255"/>
      <c r="R32" s="255"/>
      <c r="S32" s="255"/>
      <c r="T32" s="256"/>
      <c r="U32" s="93"/>
    </row>
    <row r="33" spans="1:21" ht="15.75" customHeight="1">
      <c r="A33" s="93"/>
      <c r="B33" s="99" t="s">
        <v>12</v>
      </c>
      <c r="C33" s="102" t="s">
        <v>8</v>
      </c>
      <c r="D33" s="102" t="s">
        <v>9</v>
      </c>
      <c r="E33" s="105" t="s">
        <v>10</v>
      </c>
      <c r="F33" s="105" t="s">
        <v>11</v>
      </c>
      <c r="G33" s="235" t="s">
        <v>0</v>
      </c>
      <c r="H33" s="93"/>
      <c r="I33" s="93"/>
      <c r="J33" s="97">
        <v>4</v>
      </c>
      <c r="K33" s="210"/>
      <c r="L33" s="108"/>
      <c r="M33" s="93"/>
      <c r="N33" s="93"/>
      <c r="O33" s="99" t="s">
        <v>12</v>
      </c>
      <c r="P33" s="102" t="s">
        <v>8</v>
      </c>
      <c r="Q33" s="102" t="s">
        <v>9</v>
      </c>
      <c r="R33" s="105" t="s">
        <v>10</v>
      </c>
      <c r="S33" s="105" t="s">
        <v>11</v>
      </c>
      <c r="T33" s="235" t="s">
        <v>0</v>
      </c>
      <c r="U33" s="93"/>
    </row>
    <row r="34" spans="1:21" ht="15" customHeight="1">
      <c r="A34" s="93"/>
      <c r="B34" s="100">
        <v>1</v>
      </c>
      <c r="C34" s="103" t="str">
        <f>IF('3 HE'!J4="YES","CRESTED",IF('3 HE'!M19="H/A","H/A",IF('3 HE'!K19=5200,'3 HE'!P45,'3 HE'!R45)+('3 HE'!L19/('3 HE'!K19/1000))))</f>
        <v>CRESTED</v>
      </c>
      <c r="D34" s="103" t="str">
        <f>IF('3 HE'!J4="YES","CRESTED",IF('3 HE'!M19="H/A","H/A",(IF('3 HE'!K19=5200,'3 HE'!M45,'3 HE'!O45))-(2*('3 HE'!L32))))</f>
        <v>CRESTED</v>
      </c>
      <c r="E34" s="106" t="str">
        <f>IF('3 HE'!K4="yes","CRESTED",(IF('3 HE'!M19="L/A","L/A",IF('3 HE'!K19=5200,'3 HE'!P45,'3 HE'!R45)+(('3 HE'!L19/'3 HE'!K19/1000)+(('3 HE'!O32)*((('3 HE'!L19/('3 HE'!K19/1000))^2)^0.5))))))</f>
        <v>CRESTED</v>
      </c>
      <c r="F34" s="108" t="str">
        <f>IF('3 HE'!K4="YES","CRESTED",(IF('3 HE'!M19="L/A","L/A",(IF('3 HE'!K19=5200,'3 HE'!M45,'3 HE'!O45)-(2*('3 HE'!L32))))))</f>
        <v>CRESTED</v>
      </c>
      <c r="G34" s="236">
        <f>'3 HE'!K19</f>
        <v>0</v>
      </c>
      <c r="H34" s="93"/>
      <c r="I34" s="93"/>
      <c r="J34" s="97">
        <v>5</v>
      </c>
      <c r="K34" s="210"/>
      <c r="L34" s="108"/>
      <c r="M34" s="93"/>
      <c r="N34" s="93"/>
      <c r="O34" s="100">
        <v>1</v>
      </c>
      <c r="P34" s="103" t="str">
        <f>IF('3 IM'!F4="YES","CRESTED",IF('3 IM'!I16="L/A",'3 IM'!P4,"H/A"))</f>
        <v>CRESTED</v>
      </c>
      <c r="Q34" s="103" t="str">
        <f>IF('3 IM'!F4="YES","CRESTED",IF('3 IM'!I16="H/A","H/A",'3 IM'!M4))</f>
        <v>CRESTED</v>
      </c>
      <c r="R34" s="106" t="str">
        <f>IF('3 IM'!G4="Yes","CRESTED",IF('3 IM'!I16="L/a","L/A",'3 IM'!P4))</f>
        <v>CRESTED</v>
      </c>
      <c r="S34" s="108" t="str">
        <f>IF('3 IM'!G4="Yes","CRESTED",IF('3 IM'!I16="L/a","L/A",'3 IM'!M4))</f>
        <v>CRESTED</v>
      </c>
      <c r="T34" s="236">
        <f>'3 IM'!G16</f>
        <v>0</v>
      </c>
      <c r="U34" s="93"/>
    </row>
    <row r="35" spans="1:21" ht="15" customHeight="1">
      <c r="A35" s="93"/>
      <c r="B35" s="100">
        <v>2</v>
      </c>
      <c r="C35" s="103" t="str">
        <f>IF('3 HE'!J5="YES","CRESTED",IF('3 HE'!M20="H/A","H/A",IF('3 HE'!K20=5200,'3 HE'!P46,'3 HE'!R46)+('3 HE'!L20/('3 HE'!K20/1000))))</f>
        <v>CRESTED</v>
      </c>
      <c r="D35" s="103" t="str">
        <f>IF('3 HE'!J5="YES","CRESTED",IF('3 HE'!M20="H/A","H/A",(IF('3 HE'!K20=5200,'3 HE'!M46,'3 HE'!O46))-(2*('3 HE'!L33))))</f>
        <v>CRESTED</v>
      </c>
      <c r="E35" s="106" t="str">
        <f>IF('3 HE'!K5="yes","CRESTED",(IF('3 HE'!M20="L/A","L/A",IF('3 HE'!K20=5200,'3 HE'!P46,'3 HE'!R46)+(('3 HE'!L20/'3 HE'!K20/1000)+(('3 HE'!O33)*((('3 HE'!L20/('3 HE'!K20/1000))^2)^0.5))))))</f>
        <v>CRESTED</v>
      </c>
      <c r="F35" s="108" t="str">
        <f>IF('3 HE'!K5="YES","CRESTED",(IF('3 HE'!M20="L/A","L/A",(IF('3 HE'!K20=5200,'3 HE'!M46,'3 HE'!O46)-(2*('3 HE'!L33))))))</f>
        <v>CRESTED</v>
      </c>
      <c r="G35" s="236">
        <f>'3 HE'!K20</f>
        <v>0</v>
      </c>
      <c r="H35" s="93"/>
      <c r="I35" s="93"/>
      <c r="J35" s="97">
        <v>6</v>
      </c>
      <c r="K35" s="210"/>
      <c r="L35" s="108"/>
      <c r="M35" s="93"/>
      <c r="N35" s="93"/>
      <c r="O35" s="100">
        <v>2</v>
      </c>
      <c r="P35" s="103" t="str">
        <f>IF('3 IM'!F5="YES","CRESTED",IF('3 IM'!I17="L/A",'3 IM'!P5,"H/A"))</f>
        <v>CRESTED</v>
      </c>
      <c r="Q35" s="103" t="str">
        <f>IF('3 IM'!F5="YES","CRESTED",IF('3 IM'!I17="H/A","H/A",'3 IM'!M5))</f>
        <v>CRESTED</v>
      </c>
      <c r="R35" s="106" t="str">
        <f>IF('3 IM'!G5="Yes","CRESTED",IF('3 IM'!I17="L/a","L/A",'3 IM'!P5))</f>
        <v>CRESTED</v>
      </c>
      <c r="S35" s="108" t="str">
        <f>IF('3 IM'!G5="Yes","CRESTED",IF('3 IM'!I17="L/a","L/A",'3 IM'!M5))</f>
        <v>CRESTED</v>
      </c>
      <c r="T35" s="236">
        <f>'3 IM'!G17</f>
        <v>0</v>
      </c>
      <c r="U35" s="93"/>
    </row>
    <row r="36" spans="1:21" ht="15" customHeight="1">
      <c r="A36" s="93"/>
      <c r="B36" s="100">
        <v>3</v>
      </c>
      <c r="C36" s="103" t="str">
        <f>IF('3 HE'!J6="YES","CRESTED",IF('3 HE'!M21="H/A","H/A",IF('3 HE'!K21=5200,'3 HE'!P47,'3 HE'!R47)+('3 HE'!L21/('3 HE'!K21/1000))))</f>
        <v>CRESTED</v>
      </c>
      <c r="D36" s="103" t="str">
        <f>IF('3 HE'!J6="YES","CRESTED",IF('3 HE'!M21="H/A","H/A",(IF('3 HE'!K21=5200,'3 HE'!M47,'3 HE'!O47))-(2*('3 HE'!L34))))</f>
        <v>CRESTED</v>
      </c>
      <c r="E36" s="106" t="str">
        <f>IF('3 HE'!K6="yes","CRESTED",(IF('3 HE'!M21="L/A","L/A",IF('3 HE'!K21=5200,'3 HE'!P47,'3 HE'!R47)+(('3 HE'!L21/'3 HE'!K21/1000)+(('3 HE'!O34)*((('3 HE'!L21/('3 HE'!K21/1000))^2)^0.5))))))</f>
        <v>CRESTED</v>
      </c>
      <c r="F36" s="108" t="str">
        <f>IF('3 HE'!K6="YES","CRESTED",(IF('3 HE'!M21="L/A","L/A",(IF('3 HE'!K21=5200,'3 HE'!M47,'3 HE'!O47)-(2*('3 HE'!L34))))))</f>
        <v>CRESTED</v>
      </c>
      <c r="G36" s="236">
        <f>'3 HE'!K21</f>
        <v>0</v>
      </c>
      <c r="H36" s="93"/>
      <c r="I36" s="93"/>
      <c r="J36" s="97">
        <v>7</v>
      </c>
      <c r="K36" s="210"/>
      <c r="L36" s="108"/>
      <c r="M36" s="93"/>
      <c r="N36" s="93"/>
      <c r="O36" s="100">
        <v>3</v>
      </c>
      <c r="P36" s="103" t="str">
        <f>IF('3 IM'!F6="YES","CRESTED",IF('3 IM'!I18="L/A",'3 IM'!P6,"H/A"))</f>
        <v>CRESTED</v>
      </c>
      <c r="Q36" s="103" t="str">
        <f>IF('3 IM'!F6="YES","CRESTED",IF('3 IM'!I18="H/A","H/A",'3 IM'!M6))</f>
        <v>CRESTED</v>
      </c>
      <c r="R36" s="106" t="str">
        <f>IF('3 IM'!G6="Yes","CRESTED",IF('3 IM'!I18="L/a","L/A",'3 IM'!P6))</f>
        <v>CRESTED</v>
      </c>
      <c r="S36" s="108" t="str">
        <f>IF('3 IM'!G6="Yes","CRESTED",IF('3 IM'!I18="L/a","L/A",'3 IM'!M6))</f>
        <v>CRESTED</v>
      </c>
      <c r="T36" s="236">
        <f>'3 IM'!G18</f>
        <v>0</v>
      </c>
      <c r="U36" s="93"/>
    </row>
    <row r="37" spans="1:21" ht="15" customHeight="1">
      <c r="A37" s="93"/>
      <c r="B37" s="100">
        <v>4</v>
      </c>
      <c r="C37" s="103" t="str">
        <f>IF('3 HE'!J7="YES","CRESTED",IF('3 HE'!M22="H/A","H/A",IF('3 HE'!K22=5200,'3 HE'!P48,'3 HE'!R48)+('3 HE'!L22/('3 HE'!K22/1000))))</f>
        <v>CRESTED</v>
      </c>
      <c r="D37" s="103" t="str">
        <f>IF('3 HE'!J7="YES","CRESTED",IF('3 HE'!M22="H/A","H/A",(IF('3 HE'!K22=5200,'3 HE'!M48,'3 HE'!O48))-(2*('3 HE'!L35))))</f>
        <v>CRESTED</v>
      </c>
      <c r="E37" s="106" t="str">
        <f>IF('3 HE'!K7="yes","CRESTED",(IF('3 HE'!M22="L/A","L/A",IF('3 HE'!K22=5200,'3 HE'!P48,'3 HE'!R48)+(('3 HE'!L22/'3 HE'!K22/1000)+(('3 HE'!O35)*((('3 HE'!L22/('3 HE'!K22/1000))^2)^0.5))))))</f>
        <v>CRESTED</v>
      </c>
      <c r="F37" s="108" t="str">
        <f>IF('3 HE'!K7="YES","CRESTED",(IF('3 HE'!M22="L/A","L/A",(IF('3 HE'!K22=5200,'3 HE'!M48,'3 HE'!O48)-(2*('3 HE'!L35))))))</f>
        <v>CRESTED</v>
      </c>
      <c r="G37" s="236">
        <f>'3 HE'!K22</f>
        <v>0</v>
      </c>
      <c r="H37" s="93"/>
      <c r="I37" s="93"/>
      <c r="J37" s="97">
        <v>8</v>
      </c>
      <c r="K37" s="210"/>
      <c r="L37" s="108"/>
      <c r="M37" s="93"/>
      <c r="N37" s="93"/>
      <c r="O37" s="100">
        <v>4</v>
      </c>
      <c r="P37" s="103" t="str">
        <f>IF('3 IM'!F7="YES","CRESTED",IF('3 IM'!I19="L/A",'3 IM'!P7,"H/A"))</f>
        <v>CRESTED</v>
      </c>
      <c r="Q37" s="103" t="str">
        <f>IF('3 IM'!F7="YES","CRESTED",IF('3 IM'!I19="H/A","H/A",'3 IM'!M7))</f>
        <v>CRESTED</v>
      </c>
      <c r="R37" s="106" t="str">
        <f>IF('3 IM'!G7="Yes","CRESTED",IF('3 IM'!I19="L/a","L/A",'3 IM'!P7))</f>
        <v>CRESTED</v>
      </c>
      <c r="S37" s="108" t="str">
        <f>IF('3 IM'!G7="Yes","CRESTED",IF('3 IM'!I19="L/a","L/A",'3 IM'!M7))</f>
        <v>CRESTED</v>
      </c>
      <c r="T37" s="236">
        <f>'3 IM'!G19</f>
        <v>0</v>
      </c>
      <c r="U37" s="93"/>
    </row>
    <row r="38" spans="1:21" ht="15" customHeight="1">
      <c r="A38" s="93"/>
      <c r="B38" s="100">
        <v>5</v>
      </c>
      <c r="C38" s="103" t="str">
        <f>IF('3 HE'!J8="YES","CRESTED",IF('3 HE'!M23="H/A","H/A",IF('3 HE'!K23=5200,'3 HE'!P49,'3 HE'!R49)+('3 HE'!L23/('3 HE'!K23/1000))))</f>
        <v>CRESTED</v>
      </c>
      <c r="D38" s="103" t="str">
        <f>IF('3 HE'!J8="YES","CRESTED",IF('3 HE'!M23="H/A","H/A",(IF('3 HE'!K23=5200,'3 HE'!M49,'3 HE'!O49))-(2*('3 HE'!L36))))</f>
        <v>CRESTED</v>
      </c>
      <c r="E38" s="106" t="str">
        <f>IF('3 HE'!K8="yes","CRESTED",(IF('3 HE'!M23="L/A","L/A",IF('3 HE'!K23=5200,'3 HE'!P49,'3 HE'!R49)+(('3 HE'!L23/'3 HE'!K23/1000)+(('3 HE'!O36)*((('3 HE'!L23/('3 HE'!K23/1000))^2)^0.5))))))</f>
        <v>CRESTED</v>
      </c>
      <c r="F38" s="108" t="str">
        <f>IF('3 HE'!K8="YES","CRESTED",(IF('3 HE'!M23="L/A","L/A",(IF('3 HE'!K23=5200,'3 HE'!M49,'3 HE'!O49)-(2*('3 HE'!L36))))))</f>
        <v>CRESTED</v>
      </c>
      <c r="G38" s="236">
        <f>'3 HE'!K23</f>
        <v>0</v>
      </c>
      <c r="H38" s="93"/>
      <c r="I38" s="93"/>
      <c r="J38" s="97">
        <v>9</v>
      </c>
      <c r="K38" s="210"/>
      <c r="L38" s="108"/>
      <c r="M38" s="93"/>
      <c r="N38" s="93"/>
      <c r="O38" s="100">
        <v>5</v>
      </c>
      <c r="P38" s="103" t="str">
        <f>IF('3 IM'!F8="YES","CRESTED",IF('3 IM'!I20="L/A",'3 IM'!P8,"H/A"))</f>
        <v>CRESTED</v>
      </c>
      <c r="Q38" s="103" t="str">
        <f>IF('3 IM'!F8="YES","CRESTED",IF('3 IM'!I20="H/A","H/A",'3 IM'!M8))</f>
        <v>CRESTED</v>
      </c>
      <c r="R38" s="106" t="str">
        <f>IF('3 IM'!G8="Yes","CRESTED",IF('3 IM'!I20="L/a","L/A",'3 IM'!P8))</f>
        <v>CRESTED</v>
      </c>
      <c r="S38" s="108" t="str">
        <f>IF('3 IM'!G8="Yes","CRESTED",IF('3 IM'!I20="L/a","L/A",'3 IM'!M8))</f>
        <v>CRESTED</v>
      </c>
      <c r="T38" s="236">
        <f>'3 IM'!G20</f>
        <v>0</v>
      </c>
      <c r="U38" s="93"/>
    </row>
    <row r="39" spans="1:21" ht="15" customHeight="1" thickBot="1">
      <c r="A39" s="93"/>
      <c r="B39" s="100">
        <v>6</v>
      </c>
      <c r="C39" s="103" t="str">
        <f>IF('3 HE'!J9="YES","CRESTED",IF('3 HE'!M24="H/A","H/A",IF('3 HE'!K24=5200,'3 HE'!P50,'3 HE'!R50)+('3 HE'!L24/('3 HE'!K24/1000))))</f>
        <v>CRESTED</v>
      </c>
      <c r="D39" s="103" t="str">
        <f>IF('3 HE'!J9="YES","CRESTED",IF('3 HE'!M24="H/A","H/A",(IF('3 HE'!K24=5200,'3 HE'!M50,'3 HE'!O50))-(2*('3 HE'!L37))))</f>
        <v>CRESTED</v>
      </c>
      <c r="E39" s="106" t="str">
        <f>IF('3 HE'!K9="yes","CRESTED",(IF('3 HE'!M24="L/A","L/A",IF('3 HE'!K24=5200,'3 HE'!P50,'3 HE'!R50)+(('3 HE'!L24/'3 HE'!K24/1000)+(('3 HE'!O37)*((('3 HE'!L24/('3 HE'!K24/1000))^2)^0.5))))))</f>
        <v>CRESTED</v>
      </c>
      <c r="F39" s="108" t="str">
        <f>IF('3 HE'!K9="YES","CRESTED",(IF('3 HE'!M24="L/A","L/A",(IF('3 HE'!K24=5200,'3 HE'!M50,'3 HE'!O50)-(2*('3 HE'!L37))))))</f>
        <v>CRESTED</v>
      </c>
      <c r="G39" s="236">
        <f>'3 HE'!K24</f>
        <v>0</v>
      </c>
      <c r="H39" s="93"/>
      <c r="I39" s="93"/>
      <c r="J39" s="98">
        <v>10</v>
      </c>
      <c r="K39" s="220"/>
      <c r="L39" s="109"/>
      <c r="M39" s="93"/>
      <c r="N39" s="93"/>
      <c r="O39" s="100">
        <v>6</v>
      </c>
      <c r="P39" s="103" t="str">
        <f>IF('3 IM'!F9="YES","CRESTED",IF('3 IM'!I21="L/A",'3 IM'!P9,"H/A"))</f>
        <v>CRESTED</v>
      </c>
      <c r="Q39" s="103" t="str">
        <f>IF('3 IM'!F9="YES","CRESTED",IF('3 IM'!I21="H/A","H/A",'3 IM'!M9))</f>
        <v>CRESTED</v>
      </c>
      <c r="R39" s="106" t="str">
        <f>IF('3 IM'!G9="Yes","CRESTED",IF('3 IM'!I21="L/a","L/A",'3 IM'!P9))</f>
        <v>CRESTED</v>
      </c>
      <c r="S39" s="108" t="str">
        <f>IF('3 IM'!G9="Yes","CRESTED",IF('3 IM'!I21="L/a","L/A",'3 IM'!M9))</f>
        <v>CRESTED</v>
      </c>
      <c r="T39" s="236">
        <f>'3 IM'!G21</f>
        <v>0</v>
      </c>
      <c r="U39" s="93"/>
    </row>
    <row r="40" spans="1:21" ht="15" customHeight="1">
      <c r="A40" s="93"/>
      <c r="B40" s="100">
        <v>7</v>
      </c>
      <c r="C40" s="103" t="str">
        <f>IF('3 HE'!J10="YES","CRESTED",IF('3 HE'!M25="H/A","H/A",IF('3 HE'!K25=5200,'3 HE'!P51,'3 HE'!R51)+('3 HE'!L25/('3 HE'!K25/1000))))</f>
        <v>CRESTED</v>
      </c>
      <c r="D40" s="103" t="str">
        <f>IF('3 HE'!J10="YES","CRESTED",IF('3 HE'!M25="H/A","H/A",(IF('3 HE'!K25=5200,'3 HE'!M51,'3 HE'!O51))-(2*('3 HE'!L38))))</f>
        <v>CRESTED</v>
      </c>
      <c r="E40" s="106" t="str">
        <f>IF('3 HE'!K10="yes","CRESTED",(IF('3 HE'!M25="L/A","L/A",IF('3 HE'!K25=5200,'3 HE'!P51,'3 HE'!R51)+(('3 HE'!L25/'3 HE'!K25/1000)+(('3 HE'!O38)*((('3 HE'!L25/('3 HE'!K25/1000))^2)^0.5))))))</f>
        <v>CRESTED</v>
      </c>
      <c r="F40" s="108" t="str">
        <f>IF('3 HE'!K10="YES","CRESTED",(IF('3 HE'!M25="L/A","L/A",(IF('3 HE'!K25=5200,'3 HE'!M51,'3 HE'!O51)-(2*('3 HE'!L38))))))</f>
        <v>CRESTED</v>
      </c>
      <c r="G40" s="236">
        <f>'3 HE'!K25</f>
        <v>0</v>
      </c>
      <c r="H40" s="93"/>
      <c r="I40" s="93"/>
      <c r="J40" s="93"/>
      <c r="K40" s="93"/>
      <c r="L40" s="93"/>
      <c r="M40" s="93"/>
      <c r="N40" s="93"/>
      <c r="O40" s="100">
        <v>7</v>
      </c>
      <c r="P40" s="103" t="str">
        <f>IF('3 IM'!F10="YES","CRESTED",IF('3 IM'!I22="L/A",'3 IM'!P10,"H/A"))</f>
        <v>CRESTED</v>
      </c>
      <c r="Q40" s="103" t="str">
        <f>IF('3 IM'!F10="YES","CRESTED",IF('3 IM'!I22="H/A","H/A",'3 IM'!M10))</f>
        <v>CRESTED</v>
      </c>
      <c r="R40" s="106" t="str">
        <f>IF('3 IM'!G10="Yes","CRESTED",IF('3 IM'!I22="L/a","L/A",'3 IM'!P10))</f>
        <v>CRESTED</v>
      </c>
      <c r="S40" s="108" t="str">
        <f>IF('3 IM'!G10="Yes","CRESTED",IF('3 IM'!I22="L/a","L/A",'3 IM'!M10))</f>
        <v>CRESTED</v>
      </c>
      <c r="T40" s="236">
        <f>'3 IM'!G22</f>
        <v>0</v>
      </c>
      <c r="U40" s="93"/>
    </row>
    <row r="41" spans="1:21" ht="15" customHeight="1" thickBot="1">
      <c r="A41" s="93"/>
      <c r="B41" s="100">
        <v>8</v>
      </c>
      <c r="C41" s="103" t="str">
        <f>IF('3 HE'!J11="YES","CRESTED",IF('3 HE'!M26="H/A","H/A",IF('3 HE'!K26=5200,'3 HE'!P52,'3 HE'!R52)+('3 HE'!L26/('3 HE'!K26/1000))))</f>
        <v>CRESTED</v>
      </c>
      <c r="D41" s="103" t="str">
        <f>IF('3 HE'!J11="YES","CRESTED",IF('3 HE'!M26="H/A","H/A",(IF('3 HE'!K26=5200,'3 HE'!M52,'3 HE'!O52))-(2*('3 HE'!L39))))</f>
        <v>CRESTED</v>
      </c>
      <c r="E41" s="106" t="str">
        <f>IF('3 HE'!K11="yes","CRESTED",(IF('3 HE'!M26="L/A","L/A",IF('3 HE'!K26=5200,'3 HE'!P52,'3 HE'!R52)+(('3 HE'!L26/'3 HE'!K26/1000)+(('3 HE'!O39)*((('3 HE'!L26/('3 HE'!K26/1000))^2)^0.5))))))</f>
        <v>CRESTED</v>
      </c>
      <c r="F41" s="108" t="str">
        <f>IF('3 HE'!K11="YES","CRESTED",(IF('3 HE'!M26="L/A","L/A",(IF('3 HE'!K26=5200,'3 HE'!M52,'3 HE'!O52)-(2*('3 HE'!L39))))))</f>
        <v>CRESTED</v>
      </c>
      <c r="G41" s="236">
        <f>'3 HE'!K26</f>
        <v>0</v>
      </c>
      <c r="H41" s="93"/>
      <c r="I41" s="93"/>
      <c r="J41" s="93"/>
      <c r="K41" s="93"/>
      <c r="L41" s="93"/>
      <c r="M41" s="93"/>
      <c r="N41" s="93"/>
      <c r="O41" s="100">
        <v>8</v>
      </c>
      <c r="P41" s="103" t="str">
        <f>IF('3 IM'!F11="YES","CRESTED",IF('3 IM'!I23="L/A",'3 IM'!P11,"H/A"))</f>
        <v>CRESTED</v>
      </c>
      <c r="Q41" s="103" t="str">
        <f>IF('3 IM'!F11="YES","CRESTED",IF('3 IM'!I23="H/A","H/A",'3 IM'!M11))</f>
        <v>CRESTED</v>
      </c>
      <c r="R41" s="106" t="str">
        <f>IF('3 IM'!G11="Yes","CRESTED",IF('3 IM'!I23="L/a","L/A",'3 IM'!P11))</f>
        <v>CRESTED</v>
      </c>
      <c r="S41" s="108" t="str">
        <f>IF('3 IM'!G11="Yes","CRESTED",IF('3 IM'!I23="L/a","L/A",'3 IM'!M11))</f>
        <v>CRESTED</v>
      </c>
      <c r="T41" s="236">
        <f>'3 IM'!G23</f>
        <v>0</v>
      </c>
      <c r="U41" s="93"/>
    </row>
    <row r="42" spans="1:21" ht="15" customHeight="1">
      <c r="A42" s="93"/>
      <c r="B42" s="100">
        <v>9</v>
      </c>
      <c r="C42" s="103" t="str">
        <f>IF('3 HE'!J12="YES","CRESTED",IF('3 HE'!M27="H/A","H/A",IF('3 HE'!K27=5200,'3 HE'!P53,'3 HE'!R53)+('3 HE'!L27/('3 HE'!K27/1000))))</f>
        <v>CRESTED</v>
      </c>
      <c r="D42" s="103" t="str">
        <f>IF('3 HE'!J12="YES","CRESTED",IF('3 HE'!M27="H/A","H/A",(IF('3 HE'!K27=5200,'3 HE'!M53,'3 HE'!O53))-(2*('3 HE'!L40))))</f>
        <v>CRESTED</v>
      </c>
      <c r="E42" s="106" t="str">
        <f>IF('3 HE'!K12="yes","CRESTED",(IF('3 HE'!M27="L/A","L/A",IF('3 HE'!K27=5200,'3 HE'!P53,'3 HE'!R53)+(('3 HE'!L27/'3 HE'!K27/1000)+(('3 HE'!O40)*((('3 HE'!L27/('3 HE'!K27/1000))^2)^0.5))))))</f>
        <v>CRESTED</v>
      </c>
      <c r="F42" s="108" t="str">
        <f>IF('3 HE'!K12="YES","CRESTED",(IF('3 HE'!M27="L/A","L/A",(IF('3 HE'!K27=5200,'3 HE'!M53,'3 HE'!O53)-(2*('3 HE'!L40))))))</f>
        <v>CRESTED</v>
      </c>
      <c r="G42" s="236">
        <f>'3 HE'!K27</f>
        <v>0</v>
      </c>
      <c r="H42" s="93"/>
      <c r="I42" s="259" t="s">
        <v>119</v>
      </c>
      <c r="J42" s="260"/>
      <c r="K42" s="260"/>
      <c r="L42" s="260"/>
      <c r="M42" s="261"/>
      <c r="N42" s="93"/>
      <c r="O42" s="100">
        <v>9</v>
      </c>
      <c r="P42" s="103" t="str">
        <f>IF('3 IM'!F12="YES","CRESTED",IF('3 IM'!I24="L/A",'3 IM'!P12,"H/A"))</f>
        <v>CRESTED</v>
      </c>
      <c r="Q42" s="103" t="str">
        <f>IF('3 IM'!F12="YES","CRESTED",IF('3 IM'!I24="H/A","H/A",'3 IM'!M12))</f>
        <v>CRESTED</v>
      </c>
      <c r="R42" s="106" t="str">
        <f>IF('3 IM'!G12="Yes","CRESTED",IF('3 IM'!I24="L/a","L/A",'3 IM'!P12))</f>
        <v>CRESTED</v>
      </c>
      <c r="S42" s="108" t="str">
        <f>IF('3 IM'!G12="Yes","CRESTED",IF('3 IM'!I24="L/a","L/A",'3 IM'!M12))</f>
        <v>CRESTED</v>
      </c>
      <c r="T42" s="236">
        <f>'3 IM'!G24</f>
        <v>0</v>
      </c>
      <c r="U42" s="93"/>
    </row>
    <row r="43" spans="1:21" ht="15.75" customHeight="1" thickBot="1">
      <c r="A43" s="93"/>
      <c r="B43" s="101">
        <v>10</v>
      </c>
      <c r="C43" s="104" t="str">
        <f>IF('3 HE'!J13="YES","CRESTED",IF('3 HE'!M28="H/A","H/A",IF('3 HE'!K28=5200,'3 HE'!P54,'3 HE'!R54)+('3 HE'!L28/('3 HE'!K28/1000))))</f>
        <v>CRESTED</v>
      </c>
      <c r="D43" s="104" t="str">
        <f>IF('3 HE'!J13="YES","CRESTED",IF('3 HE'!M28="H/A","H/A",(IF('3 HE'!K28=5200,'3 HE'!M54,'3 HE'!O54))-(2*('3 HE'!L41))))</f>
        <v>CRESTED</v>
      </c>
      <c r="E43" s="107" t="str">
        <f>IF('3 HE'!K13="yes","CRESTED",(IF('3 HE'!M28="L/A","L/A",IF('3 HE'!K28=5200,'3 HE'!P54,'3 HE'!R54)+(('3 HE'!L28/'3 HE'!K28/1000)+(('3 HE'!O41)*((('3 HE'!L28/('3 HE'!K28/1000))^2)^0.5))))))</f>
        <v>CRESTED</v>
      </c>
      <c r="F43" s="109" t="str">
        <f>IF('3 HE'!K13="YES","CRESTED",(IF('3 HE'!M28="L/A","L/A",(IF('3 HE'!K28=5200,'3 HE'!M54,'3 HE'!O54)-(2*('3 HE'!L41))))))</f>
        <v>CRESTED</v>
      </c>
      <c r="G43" s="237">
        <f>'3 HE'!K28</f>
        <v>0</v>
      </c>
      <c r="H43" s="93"/>
      <c r="I43" s="262"/>
      <c r="J43" s="263"/>
      <c r="K43" s="263"/>
      <c r="L43" s="263"/>
      <c r="M43" s="264"/>
      <c r="N43" s="93"/>
      <c r="O43" s="101">
        <v>10</v>
      </c>
      <c r="P43" s="104" t="str">
        <f>IF('3 IM'!F13="YES","CRESTED",IF('3 IM'!I25="L/A",'3 IM'!P13,"H/A"))</f>
        <v>CRESTED</v>
      </c>
      <c r="Q43" s="104" t="str">
        <f>IF('3 IM'!F13="YES","CRESTED",IF('3 IM'!I25="H/A","H/A",'3 IM'!M13))</f>
        <v>CRESTED</v>
      </c>
      <c r="R43" s="107" t="str">
        <f>IF('3 IM'!G13="Yes","CRESTED",IF('3 IM'!I25="L/a","L/A",'3 IM'!P13))</f>
        <v>CRESTED</v>
      </c>
      <c r="S43" s="109" t="str">
        <f>IF('3 IM'!G13="Yes","CRESTED",IF('3 IM'!I25="L/a","L/A",'3 IM'!M13))</f>
        <v>CRESTED</v>
      </c>
      <c r="T43" s="237">
        <f>'3 IM'!G25</f>
        <v>0</v>
      </c>
      <c r="U43" s="93"/>
    </row>
    <row r="44" spans="1:21">
      <c r="A44" s="93"/>
      <c r="B44" s="93"/>
      <c r="C44" s="93"/>
      <c r="D44" s="93"/>
      <c r="E44" s="93"/>
      <c r="F44" s="93"/>
      <c r="G44" s="238"/>
      <c r="H44" s="93"/>
      <c r="I44" s="268" t="s">
        <v>23</v>
      </c>
      <c r="J44" s="269"/>
      <c r="K44" s="269"/>
      <c r="L44" s="269"/>
      <c r="M44" s="270"/>
      <c r="N44" s="93"/>
      <c r="O44" s="93"/>
      <c r="P44" s="93"/>
      <c r="Q44" s="93"/>
      <c r="R44" s="93"/>
      <c r="S44" s="93"/>
      <c r="T44" s="238"/>
      <c r="U44" s="93"/>
    </row>
    <row r="45" spans="1:21" ht="15" thickBot="1">
      <c r="A45" s="93"/>
      <c r="B45" s="93"/>
      <c r="C45" s="93"/>
      <c r="D45" s="93"/>
      <c r="E45" s="93"/>
      <c r="F45" s="93"/>
      <c r="G45" s="238"/>
      <c r="H45" s="93"/>
      <c r="I45" s="271"/>
      <c r="J45" s="272"/>
      <c r="K45" s="272"/>
      <c r="L45" s="272"/>
      <c r="M45" s="273"/>
      <c r="N45" s="93"/>
      <c r="O45" s="93"/>
      <c r="P45" s="93"/>
      <c r="Q45" s="93"/>
      <c r="R45" s="93"/>
      <c r="S45" s="93"/>
      <c r="T45" s="238"/>
      <c r="U45" s="93"/>
    </row>
    <row r="46" spans="1:21" ht="15.75" customHeight="1" thickBot="1">
      <c r="A46" s="93"/>
      <c r="B46" s="251" t="s">
        <v>45</v>
      </c>
      <c r="C46" s="252"/>
      <c r="D46" s="252"/>
      <c r="E46" s="252"/>
      <c r="F46" s="252"/>
      <c r="G46" s="253"/>
      <c r="H46" s="93"/>
      <c r="I46" s="93"/>
      <c r="J46" s="93"/>
      <c r="K46" s="93"/>
      <c r="L46" s="93"/>
      <c r="M46" s="93"/>
      <c r="N46" s="93"/>
      <c r="O46" s="254" t="s">
        <v>48</v>
      </c>
      <c r="P46" s="255"/>
      <c r="Q46" s="255"/>
      <c r="R46" s="255"/>
      <c r="S46" s="255"/>
      <c r="T46" s="256"/>
      <c r="U46" s="93"/>
    </row>
    <row r="47" spans="1:21" ht="15">
      <c r="A47" s="93"/>
      <c r="B47" s="99" t="s">
        <v>12</v>
      </c>
      <c r="C47" s="102" t="s">
        <v>8</v>
      </c>
      <c r="D47" s="102" t="s">
        <v>9</v>
      </c>
      <c r="E47" s="105" t="s">
        <v>10</v>
      </c>
      <c r="F47" s="105" t="s">
        <v>11</v>
      </c>
      <c r="G47" s="235" t="s">
        <v>0</v>
      </c>
      <c r="H47" s="93"/>
      <c r="I47" s="93"/>
      <c r="J47" s="93"/>
      <c r="K47" s="93"/>
      <c r="L47" s="93"/>
      <c r="M47" s="93"/>
      <c r="N47" s="93"/>
      <c r="O47" s="99" t="s">
        <v>12</v>
      </c>
      <c r="P47" s="102" t="s">
        <v>8</v>
      </c>
      <c r="Q47" s="102" t="s">
        <v>9</v>
      </c>
      <c r="R47" s="105" t="s">
        <v>10</v>
      </c>
      <c r="S47" s="105" t="s">
        <v>11</v>
      </c>
      <c r="T47" s="235" t="s">
        <v>0</v>
      </c>
      <c r="U47" s="93"/>
    </row>
    <row r="48" spans="1:21" ht="15">
      <c r="A48" s="93"/>
      <c r="B48" s="100">
        <v>1</v>
      </c>
      <c r="C48" s="103" t="str">
        <f>IF('4 HE'!J4="YES","CRESTED",IF('4 HE'!M19="H/A","H/A",IF('4 HE'!J45=6400,'4 HE'!P45,'4 HE'!R45)+('4 HE'!L19/('4 HE'!K19/1000))))</f>
        <v>CRESTED</v>
      </c>
      <c r="D48" s="103" t="str">
        <f>IF('4 HE'!J4="YES","CRESTED",IF('4 HE'!M19="H/A","H/A",(IF('4 HE'!K19=6400,'4 HE'!M45,'4 HE'!O45))-(2*('4 HE'!L32))))</f>
        <v>CRESTED</v>
      </c>
      <c r="E48" s="106" t="str">
        <f>IF('4 HE'!K4="yes","CRESTED",(IF('4 HE'!M19="L/A","L/A",IF('4 HE'!K19=6400,'4 HE'!P45,'4 HE'!R45)+(('4 HE'!L19/'4 HE'!K19/1000)+(('4 HE'!O32)*((('4 HE'!L19/('4 HE'!K19/1000))^2)^0.5))))))</f>
        <v>CRESTED</v>
      </c>
      <c r="F48" s="108" t="str">
        <f>IF('4 HE'!K4="YES","CRESTED",(IF('4 HE'!M19="L/A","L/A",(IF('4 HE'!K19=6400,'4 HE'!M45,'4 HE'!O45)-(2*('4 HE'!L32))))))</f>
        <v>CRESTED</v>
      </c>
      <c r="G48" s="236">
        <f>G34</f>
        <v>0</v>
      </c>
      <c r="H48" s="93"/>
      <c r="I48" s="284" t="s">
        <v>92</v>
      </c>
      <c r="J48" s="284"/>
      <c r="K48" s="284"/>
      <c r="L48" s="285"/>
      <c r="M48" s="93"/>
      <c r="N48" s="93"/>
      <c r="O48" s="100">
        <v>1</v>
      </c>
      <c r="P48" s="103" t="str">
        <f>IF('4 IM'!F4="YES","CRESTED",IF('4 IM'!I16="L/A",'4 IM'!P4,"H/A"))</f>
        <v>CRESTED</v>
      </c>
      <c r="Q48" s="103" t="str">
        <f>IF('4 IM'!F4="YES","CRESTED",IF('4 IM'!I16="H/A","H/A",'4 IM'!M4))</f>
        <v>CRESTED</v>
      </c>
      <c r="R48" s="106" t="str">
        <f>IF('4 IM'!G4="Yes","CRESTED",IF('4 IM'!I16="L/a","L/A",'4 IM'!P4))</f>
        <v>CRESTED</v>
      </c>
      <c r="S48" s="108" t="str">
        <f>IF('4 IM'!G4="Yes","CRESTED",IF('4 IM'!I16="L/a","L/A",'4 IM'!M4))</f>
        <v>CRESTED</v>
      </c>
      <c r="T48" s="236">
        <f>T34</f>
        <v>0</v>
      </c>
      <c r="U48" s="93"/>
    </row>
    <row r="49" spans="1:21" ht="15.75" thickBot="1">
      <c r="A49" s="93"/>
      <c r="B49" s="100">
        <v>2</v>
      </c>
      <c r="C49" s="103" t="str">
        <f>IF('4 HE'!J5="YES","CRESTED",IF('4 HE'!M20="H/A","H/A",IF('4 HE'!J46=6400,'4 HE'!P46,'4 HE'!R46)+('4 HE'!L20/('4 HE'!K20/1000))))</f>
        <v>CRESTED</v>
      </c>
      <c r="D49" s="103" t="str">
        <f>IF('4 HE'!J5="YES","CRESTED",IF('4 HE'!M20="H/A","H/A",(IF('4 HE'!K20=6400,'4 HE'!M46,'4 HE'!O46))-(2*('4 HE'!L33))))</f>
        <v>CRESTED</v>
      </c>
      <c r="E49" s="106" t="str">
        <f>IF('4 HE'!K5="yes","CRESTED",(IF('4 HE'!M20="L/A","L/A",IF('4 HE'!K20=6400,'4 HE'!P46,'4 HE'!R46)+(('4 HE'!L20/'4 HE'!K20/1000)+(('4 HE'!O33)*((('4 HE'!L20/('4 HE'!K20/1000))^2)^0.5))))))</f>
        <v>CRESTED</v>
      </c>
      <c r="F49" s="108" t="str">
        <f>IF('4 HE'!K5="YES","CRESTED",(IF('4 HE'!M20="L/A","L/A",(IF('4 HE'!K20=6400,'4 HE'!M46,'4 HE'!O46)-(2*('4 HE'!L33))))))</f>
        <v>CRESTED</v>
      </c>
      <c r="G49" s="236">
        <f t="shared" ref="G49:G57" si="0">G35</f>
        <v>0</v>
      </c>
      <c r="H49" s="93"/>
      <c r="I49" s="286"/>
      <c r="J49" s="286"/>
      <c r="K49" s="286"/>
      <c r="L49" s="287"/>
      <c r="M49" s="93"/>
      <c r="N49" s="93"/>
      <c r="O49" s="100">
        <v>2</v>
      </c>
      <c r="P49" s="103" t="str">
        <f>IF('4 IM'!F5="YES","CRESTED",IF('4 IM'!I17="L/A",'4 IM'!P5,"H/A"))</f>
        <v>CRESTED</v>
      </c>
      <c r="Q49" s="103" t="str">
        <f>IF('4 IM'!F5="YES","CRESTED",IF('4 IM'!I17="H/A","H/A",'4 IM'!M5))</f>
        <v>CRESTED</v>
      </c>
      <c r="R49" s="106" t="str">
        <f>IF('4 IM'!G5="Yes","CRESTED",IF('4 IM'!I17="L/a","L/A",'4 IM'!P5))</f>
        <v>CRESTED</v>
      </c>
      <c r="S49" s="108" t="str">
        <f>IF('4 IM'!G5="Yes","CRESTED",IF('4 IM'!I17="L/a","L/A",'4 IM'!M5))</f>
        <v>CRESTED</v>
      </c>
      <c r="T49" s="236">
        <f>T35</f>
        <v>0</v>
      </c>
      <c r="U49" s="93"/>
    </row>
    <row r="50" spans="1:21" ht="15">
      <c r="A50" s="93"/>
      <c r="B50" s="100">
        <v>3</v>
      </c>
      <c r="C50" s="103" t="str">
        <f>IF('4 HE'!J6="YES","CRESTED",IF('4 HE'!M21="H/A","H/A",IF('4 HE'!J47=6400,'4 HE'!P47,'4 HE'!R47)+('4 HE'!L21/('4 HE'!K21/1000))))</f>
        <v>CRESTED</v>
      </c>
      <c r="D50" s="103" t="str">
        <f>IF('4 HE'!J6="YES","CRESTED",IF('4 HE'!M21="H/A","H/A",(IF('4 HE'!K21=6400,'4 HE'!M47,'4 HE'!O47))-(2*('4 HE'!L34))))</f>
        <v>CRESTED</v>
      </c>
      <c r="E50" s="106" t="str">
        <f>IF('4 HE'!K6="yes","CRESTED",(IF('4 HE'!M21="L/A","L/A",IF('4 HE'!K21=6400,'4 HE'!P47,'4 HE'!R47)+(('4 HE'!L21/'4 HE'!K21/1000)+(('4 HE'!O34)*((('4 HE'!L21/('4 HE'!K21/1000))^2)^0.5))))))</f>
        <v>CRESTED</v>
      </c>
      <c r="F50" s="108" t="str">
        <f>IF('4 HE'!K6="YES","CRESTED",(IF('4 HE'!M21="L/A","L/A",(IF('4 HE'!K21=6400,'4 HE'!M47,'4 HE'!O47)-(2*('4 HE'!L34))))))</f>
        <v>CRESTED</v>
      </c>
      <c r="G50" s="236">
        <f t="shared" si="0"/>
        <v>0</v>
      </c>
      <c r="H50" s="93"/>
      <c r="I50" s="164"/>
      <c r="J50" s="162" t="s">
        <v>93</v>
      </c>
      <c r="K50" s="162" t="s">
        <v>38</v>
      </c>
      <c r="L50" s="161" t="s">
        <v>78</v>
      </c>
      <c r="M50" s="93"/>
      <c r="N50" s="93"/>
      <c r="O50" s="100">
        <v>3</v>
      </c>
      <c r="P50" s="103" t="str">
        <f>IF('4 IM'!F6="YES","CRESTED",IF('4 IM'!I18="L/A",'4 IM'!P6,"H/A"))</f>
        <v>CRESTED</v>
      </c>
      <c r="Q50" s="103" t="str">
        <f>IF('4 IM'!F6="YES","CRESTED",IF('4 IM'!I18="H/A","H/A",'4 IM'!M6))</f>
        <v>CRESTED</v>
      </c>
      <c r="R50" s="106" t="str">
        <f>IF('4 IM'!G6="Yes","CRESTED",IF('4 IM'!I18="L/a","L/A",'4 IM'!P6))</f>
        <v>CRESTED</v>
      </c>
      <c r="S50" s="108" t="str">
        <f>IF('4 IM'!G6="Yes","CRESTED",IF('4 IM'!I18="L/a","L/A",'4 IM'!M6))</f>
        <v>CRESTED</v>
      </c>
      <c r="T50" s="236">
        <f t="shared" ref="T50:T57" si="1">T36</f>
        <v>0</v>
      </c>
      <c r="U50" s="93"/>
    </row>
    <row r="51" spans="1:21" ht="15">
      <c r="A51" s="93"/>
      <c r="B51" s="100">
        <v>4</v>
      </c>
      <c r="C51" s="103" t="str">
        <f>IF('4 HE'!J7="YES","CRESTED",IF('4 HE'!M22="H/A","H/A",IF('4 HE'!J48=6400,'4 HE'!P48,'4 HE'!R48)+('4 HE'!L22/('4 HE'!K22/1000))))</f>
        <v>CRESTED</v>
      </c>
      <c r="D51" s="103" t="str">
        <f>IF('4 HE'!J7="YES","CRESTED",IF('4 HE'!M22="H/A","H/A",(IF('4 HE'!K22=6400,'4 HE'!M48,'4 HE'!O48))-(2*('4 HE'!L35))))</f>
        <v>CRESTED</v>
      </c>
      <c r="E51" s="106" t="str">
        <f>IF('4 HE'!K7="yes","CRESTED",(IF('4 HE'!M22="L/A","L/A",IF('4 HE'!K22=6400,'4 HE'!P48,'4 HE'!R48)+(('4 HE'!L22/'4 HE'!K22/1000)+(('4 HE'!O35)*((('4 HE'!L22/('4 HE'!K22/1000))^2)^0.5))))))</f>
        <v>CRESTED</v>
      </c>
      <c r="F51" s="108" t="str">
        <f>IF('4 HE'!K7="YES","CRESTED",(IF('4 HE'!M22="L/A","L/A",(IF('4 HE'!K22=6400,'4 HE'!M48,'4 HE'!O48)-(2*('4 HE'!L35))))))</f>
        <v>CRESTED</v>
      </c>
      <c r="G51" s="236">
        <f t="shared" si="0"/>
        <v>0</v>
      </c>
      <c r="H51" s="93"/>
      <c r="I51" s="100" t="s">
        <v>83</v>
      </c>
      <c r="J51" s="108"/>
      <c r="K51" s="108"/>
      <c r="L51" s="288" t="s">
        <v>79</v>
      </c>
      <c r="M51" s="93"/>
      <c r="N51" s="93"/>
      <c r="O51" s="100">
        <v>4</v>
      </c>
      <c r="P51" s="103" t="str">
        <f>IF('4 IM'!F7="YES","CRESTED",IF('4 IM'!I19="L/A",'4 IM'!P7,"H/A"))</f>
        <v>CRESTED</v>
      </c>
      <c r="Q51" s="103" t="str">
        <f>IF('4 IM'!F7="YES","CRESTED",IF('4 IM'!I19="H/A","H/A",'4 IM'!M7))</f>
        <v>CRESTED</v>
      </c>
      <c r="R51" s="106" t="str">
        <f>IF('4 IM'!G7="Yes","CRESTED",IF('4 IM'!I19="L/a","L/A",'4 IM'!P7))</f>
        <v>CRESTED</v>
      </c>
      <c r="S51" s="108" t="str">
        <f>IF('4 IM'!G7="Yes","CRESTED",IF('4 IM'!I19="L/a","L/A",'4 IM'!M7))</f>
        <v>CRESTED</v>
      </c>
      <c r="T51" s="236">
        <f t="shared" si="1"/>
        <v>0</v>
      </c>
      <c r="U51" s="93"/>
    </row>
    <row r="52" spans="1:21" ht="15">
      <c r="A52" s="93"/>
      <c r="B52" s="100">
        <v>5</v>
      </c>
      <c r="C52" s="103" t="str">
        <f>IF('4 HE'!J8="YES","CRESTED",IF('4 HE'!M23="H/A","H/A",IF('4 HE'!J49=6400,'4 HE'!P49,'4 HE'!R49)+('4 HE'!L23/('4 HE'!K23/1000))))</f>
        <v>CRESTED</v>
      </c>
      <c r="D52" s="103" t="str">
        <f>IF('4 HE'!J8="YES","CRESTED",IF('4 HE'!M23="H/A","H/A",(IF('4 HE'!K23=6400,'4 HE'!M49,'4 HE'!O49))-(2*('4 HE'!L36))))</f>
        <v>CRESTED</v>
      </c>
      <c r="E52" s="106" t="str">
        <f>IF('4 HE'!K8="yes","CRESTED",(IF('4 HE'!M23="L/A","L/A",IF('4 HE'!K23=6400,'4 HE'!P49,'4 HE'!R49)+(('4 HE'!L23/'4 HE'!K23/1000)+(('4 HE'!O36)*((('4 HE'!L23/('4 HE'!K23/1000))^2)^0.5))))))</f>
        <v>CRESTED</v>
      </c>
      <c r="F52" s="108" t="str">
        <f>IF('4 HE'!K8="YES","CRESTED",(IF('4 HE'!M23="L/A","L/A",(IF('4 HE'!K23=6400,'4 HE'!M49,'4 HE'!O49)-(2*('4 HE'!L36))))))</f>
        <v>CRESTED</v>
      </c>
      <c r="G52" s="236">
        <f t="shared" si="0"/>
        <v>0</v>
      </c>
      <c r="H52" s="93"/>
      <c r="I52" s="100" t="s">
        <v>84</v>
      </c>
      <c r="J52" s="108"/>
      <c r="K52" s="108"/>
      <c r="L52" s="289"/>
      <c r="M52" s="93"/>
      <c r="N52" s="93"/>
      <c r="O52" s="100">
        <v>5</v>
      </c>
      <c r="P52" s="103" t="str">
        <f>IF('4 IM'!F8="YES","CRESTED",IF('4 IM'!I20="L/A",'4 IM'!P8,"H/A"))</f>
        <v>CRESTED</v>
      </c>
      <c r="Q52" s="103" t="str">
        <f>IF('4 IM'!F8="YES","CRESTED",IF('4 IM'!I20="H/A","H/A",'4 IM'!M8))</f>
        <v>CRESTED</v>
      </c>
      <c r="R52" s="106" t="str">
        <f>IF('4 IM'!G8="Yes","CRESTED",IF('4 IM'!I20="L/a","L/A",'4 IM'!P8))</f>
        <v>CRESTED</v>
      </c>
      <c r="S52" s="108" t="str">
        <f>IF('4 IM'!G8="Yes","CRESTED",IF('4 IM'!I20="L/a","L/A",'4 IM'!M8))</f>
        <v>CRESTED</v>
      </c>
      <c r="T52" s="236">
        <f t="shared" si="1"/>
        <v>0</v>
      </c>
      <c r="U52" s="93"/>
    </row>
    <row r="53" spans="1:21" ht="15.75" thickBot="1">
      <c r="A53" s="93"/>
      <c r="B53" s="100">
        <v>6</v>
      </c>
      <c r="C53" s="103" t="str">
        <f>IF('4 HE'!J9="YES","CRESTED",IF('4 HE'!M24="H/A","H/A",IF('4 HE'!J50=6400,'4 HE'!P50,'4 HE'!R50)+('4 HE'!L24/('4 HE'!K24/1000))))</f>
        <v>CRESTED</v>
      </c>
      <c r="D53" s="103" t="str">
        <f>IF('4 HE'!J9="YES","CRESTED",IF('4 HE'!M24="H/A","H/A",(IF('4 HE'!K24=6400,'4 HE'!M50,'4 HE'!O50))-(2*('4 HE'!L37))))</f>
        <v>CRESTED</v>
      </c>
      <c r="E53" s="106" t="str">
        <f>IF('4 HE'!K9="yes","CRESTED",(IF('4 HE'!M24="L/A","L/A",IF('4 HE'!K24=6400,'4 HE'!P50,'4 HE'!R50)+(('4 HE'!L24/'4 HE'!K24/1000)+(('4 HE'!O37)*((('4 HE'!L24/('4 HE'!K24/1000))^2)^0.5))))))</f>
        <v>CRESTED</v>
      </c>
      <c r="F53" s="108" t="str">
        <f>IF('4 HE'!K9="YES","CRESTED",(IF('4 HE'!M24="L/A","L/A",(IF('4 HE'!K24=6400,'4 HE'!M50,'4 HE'!O50)-(2*('4 HE'!L37))))))</f>
        <v>CRESTED</v>
      </c>
      <c r="G53" s="236">
        <f t="shared" si="0"/>
        <v>0</v>
      </c>
      <c r="H53" s="93"/>
      <c r="I53" s="101" t="s">
        <v>85</v>
      </c>
      <c r="J53" s="163">
        <f>J52-J51</f>
        <v>0</v>
      </c>
      <c r="K53" s="163">
        <f>K52-K51</f>
        <v>0</v>
      </c>
      <c r="L53" s="290"/>
      <c r="M53" s="93"/>
      <c r="N53" s="93"/>
      <c r="O53" s="100">
        <v>6</v>
      </c>
      <c r="P53" s="103" t="str">
        <f>IF('4 IM'!F9="YES","CRESTED",IF('4 IM'!I21="L/A",'4 IM'!P9,"H/A"))</f>
        <v>CRESTED</v>
      </c>
      <c r="Q53" s="103" t="str">
        <f>IF('4 IM'!F9="YES","CRESTED",IF('4 IM'!I21="H/A","H/A",'4 IM'!M9))</f>
        <v>CRESTED</v>
      </c>
      <c r="R53" s="106" t="str">
        <f>IF('4 IM'!G9="Yes","CRESTED",IF('4 IM'!I21="L/a","L/A",'4 IM'!P9))</f>
        <v>CRESTED</v>
      </c>
      <c r="S53" s="108" t="str">
        <f>IF('4 IM'!G9="Yes","CRESTED",IF('4 IM'!I21="L/a","L/A",'4 IM'!M9))</f>
        <v>CRESTED</v>
      </c>
      <c r="T53" s="236">
        <f t="shared" si="1"/>
        <v>0</v>
      </c>
      <c r="U53" s="93"/>
    </row>
    <row r="54" spans="1:21" ht="15">
      <c r="A54" s="93"/>
      <c r="B54" s="100">
        <v>7</v>
      </c>
      <c r="C54" s="103" t="str">
        <f>IF('4 HE'!J10="YES","CRESTED",IF('4 HE'!M25="H/A","H/A",IF('4 HE'!J51=6400,'4 HE'!P51,'4 HE'!R51)+('4 HE'!L25/('4 HE'!K25/1000))))</f>
        <v>CRESTED</v>
      </c>
      <c r="D54" s="103" t="str">
        <f>IF('4 HE'!J10="YES","CRESTED",IF('4 HE'!M25="H/A","H/A",(IF('4 HE'!K25=6400,'4 HE'!M51,'4 HE'!O51))-(2*('4 HE'!L38))))</f>
        <v>CRESTED</v>
      </c>
      <c r="E54" s="106" t="str">
        <f>IF('4 HE'!K10="yes","CRESTED",(IF('4 HE'!M25="L/A","L/A",IF('4 HE'!K25=6400,'4 HE'!P51,'4 HE'!R51)+(('4 HE'!L25/'4 HE'!K25/1000)+(('4 HE'!O38)*((('4 HE'!L25/('4 HE'!K25/1000))^2)^0.5))))))</f>
        <v>CRESTED</v>
      </c>
      <c r="F54" s="108" t="str">
        <f>IF('4 HE'!K10="YES","CRESTED",(IF('4 HE'!M25="L/A","L/A",(IF('4 HE'!K25=6400,'4 HE'!M51,'4 HE'!O51)-(2*('4 HE'!L38))))))</f>
        <v>CRESTED</v>
      </c>
      <c r="G54" s="236">
        <f t="shared" si="0"/>
        <v>0</v>
      </c>
      <c r="H54" s="93"/>
      <c r="I54" s="93"/>
      <c r="J54" s="93"/>
      <c r="K54" s="93"/>
      <c r="L54" s="93"/>
      <c r="M54" s="93"/>
      <c r="N54" s="93"/>
      <c r="O54" s="100">
        <v>7</v>
      </c>
      <c r="P54" s="103" t="str">
        <f>IF('4 IM'!F10="YES","CRESTED",IF('4 IM'!I22="L/A",'4 IM'!P10,"H/A"))</f>
        <v>CRESTED</v>
      </c>
      <c r="Q54" s="103" t="str">
        <f>IF('4 IM'!F10="YES","CRESTED",IF('4 IM'!I22="H/A","H/A",'4 IM'!M10))</f>
        <v>CRESTED</v>
      </c>
      <c r="R54" s="106" t="str">
        <f>IF('4 IM'!G10="Yes","CRESTED",IF('4 IM'!I22="L/a","L/A",'4 IM'!P10))</f>
        <v>CRESTED</v>
      </c>
      <c r="S54" s="108" t="str">
        <f>IF('4 IM'!G10="Yes","CRESTED",IF('4 IM'!I22="L/a","L/A",'4 IM'!M10))</f>
        <v>CRESTED</v>
      </c>
      <c r="T54" s="236">
        <f t="shared" si="1"/>
        <v>0</v>
      </c>
      <c r="U54" s="93"/>
    </row>
    <row r="55" spans="1:21" ht="15">
      <c r="A55" s="93"/>
      <c r="B55" s="100">
        <v>8</v>
      </c>
      <c r="C55" s="103" t="str">
        <f>IF('4 HE'!J11="YES","CRESTED",IF('4 HE'!M26="H/A","H/A",IF('4 HE'!J52=6400,'4 HE'!P52,'4 HE'!R52)+('4 HE'!L26/('4 HE'!K26/1000))))</f>
        <v>CRESTED</v>
      </c>
      <c r="D55" s="103" t="str">
        <f>IF('4 HE'!J11="YES","CRESTED",IF('4 HE'!M26="H/A","H/A",(IF('4 HE'!K26=6400,'4 HE'!M52,'4 HE'!O52))-(2*('4 HE'!L39))))</f>
        <v>CRESTED</v>
      </c>
      <c r="E55" s="106" t="str">
        <f>IF('4 HE'!K11="yes","CRESTED",(IF('4 HE'!M26="L/A","L/A",IF('4 HE'!K26=6400,'4 HE'!P52,'4 HE'!R52)+(('4 HE'!L26/'4 HE'!K26/1000)+(('4 HE'!O39)*((('4 HE'!L26/('4 HE'!K26/1000))^2)^0.5))))))</f>
        <v>CRESTED</v>
      </c>
      <c r="F55" s="108" t="str">
        <f>IF('4 HE'!K11="YES","CRESTED",(IF('4 HE'!M26="L/A","L/A",(IF('4 HE'!K26=6400,'4 HE'!M52,'4 HE'!O52)-(2*('4 HE'!L39))))))</f>
        <v>CRESTED</v>
      </c>
      <c r="G55" s="236">
        <f t="shared" si="0"/>
        <v>0</v>
      </c>
      <c r="H55" s="93"/>
      <c r="I55" s="93"/>
      <c r="J55" s="93"/>
      <c r="K55" s="93"/>
      <c r="L55" s="93"/>
      <c r="M55" s="93"/>
      <c r="N55" s="93"/>
      <c r="O55" s="100">
        <v>8</v>
      </c>
      <c r="P55" s="103" t="str">
        <f>IF('4 IM'!F11="YES","CRESTED",IF('4 IM'!I23="L/A",'4 IM'!P11,"H/A"))</f>
        <v>CRESTED</v>
      </c>
      <c r="Q55" s="103" t="str">
        <f>IF('4 IM'!F11="YES","CRESTED",IF('4 IM'!I23="H/A","H/A",'4 IM'!M11))</f>
        <v>CRESTED</v>
      </c>
      <c r="R55" s="106" t="str">
        <f>IF('4 IM'!G11="Yes","CRESTED",IF('4 IM'!I23="L/a","L/A",'4 IM'!P11))</f>
        <v>CRESTED</v>
      </c>
      <c r="S55" s="108" t="str">
        <f>IF('4 IM'!G11="Yes","CRESTED",IF('4 IM'!I23="L/a","L/A",'4 IM'!M11))</f>
        <v>CRESTED</v>
      </c>
      <c r="T55" s="236">
        <f t="shared" si="1"/>
        <v>0</v>
      </c>
      <c r="U55" s="93"/>
    </row>
    <row r="56" spans="1:21" ht="15">
      <c r="A56" s="93"/>
      <c r="B56" s="100">
        <v>9</v>
      </c>
      <c r="C56" s="103" t="str">
        <f>IF('4 HE'!J12="YES","CRESTED",IF('4 HE'!M27="H/A","H/A",IF('4 HE'!J53=6400,'4 HE'!P53,'4 HE'!R53)+('4 HE'!L27/('4 HE'!K27/1000))))</f>
        <v>CRESTED</v>
      </c>
      <c r="D56" s="103" t="str">
        <f>IF('4 HE'!J12="YES","CRESTED",IF('4 HE'!M27="H/A","H/A",(IF('4 HE'!K27=6400,'4 HE'!M53,'4 HE'!O53))-(2*('4 HE'!L40))))</f>
        <v>CRESTED</v>
      </c>
      <c r="E56" s="106" t="str">
        <f>IF('4 HE'!K12="yes","CRESTED",(IF('4 HE'!M27="L/A","L/A",IF('4 HE'!K27=6400,'4 HE'!P53,'4 HE'!R53)+(('4 HE'!L27/'4 HE'!K27/1000)+(('4 HE'!O40)*((('4 HE'!L27/('4 HE'!K27/1000))^2)^0.5))))))</f>
        <v>CRESTED</v>
      </c>
      <c r="F56" s="108" t="str">
        <f>IF('4 HE'!K12="YES","CRESTED",(IF('4 HE'!M27="L/A","L/A",(IF('4 HE'!K27=6400,'4 HE'!M53,'4 HE'!O53)-(2*('4 HE'!L40))))))</f>
        <v>CRESTED</v>
      </c>
      <c r="G56" s="236">
        <f t="shared" si="0"/>
        <v>0</v>
      </c>
      <c r="H56" s="93"/>
      <c r="I56" s="93"/>
      <c r="J56" s="93"/>
      <c r="K56" s="93"/>
      <c r="L56" s="93"/>
      <c r="M56" s="93"/>
      <c r="N56" s="93"/>
      <c r="O56" s="100">
        <v>9</v>
      </c>
      <c r="P56" s="103" t="str">
        <f>IF('4 IM'!F12="YES","CRESTED",IF('4 IM'!I24="L/A",'4 IM'!P12,"H/A"))</f>
        <v>CRESTED</v>
      </c>
      <c r="Q56" s="103" t="str">
        <f>IF('4 IM'!F12="YES","CRESTED",IF('4 IM'!I24="H/A","H/A",'4 IM'!M12))</f>
        <v>CRESTED</v>
      </c>
      <c r="R56" s="106" t="str">
        <f>IF('4 IM'!G12="Yes","CRESTED",IF('4 IM'!I24="L/a","L/A",'4 IM'!P12))</f>
        <v>CRESTED</v>
      </c>
      <c r="S56" s="108" t="str">
        <f>IF('4 IM'!G12="Yes","CRESTED",IF('4 IM'!I24="L/a","L/A",'4 IM'!M12))</f>
        <v>CRESTED</v>
      </c>
      <c r="T56" s="236">
        <f t="shared" si="1"/>
        <v>0</v>
      </c>
      <c r="U56" s="93"/>
    </row>
    <row r="57" spans="1:21" ht="15.75" thickBot="1">
      <c r="A57" s="93"/>
      <c r="B57" s="101">
        <v>10</v>
      </c>
      <c r="C57" s="104" t="str">
        <f>IF('4 HE'!J13="YES","CRESTED",IF('4 HE'!M28="H/A","H/A",IF('4 HE'!J54=6400,'4 HE'!P54,'4 HE'!R54)+('4 HE'!L28/('4 HE'!K28/1000))))</f>
        <v>CRESTED</v>
      </c>
      <c r="D57" s="104" t="str">
        <f>IF('4 HE'!J13="YES","CRESTED",IF('4 HE'!M28="H/A","H/A",(IF('4 HE'!K28=6400,'4 HE'!M54,'4 HE'!O54))-(2*('4 HE'!L41))))</f>
        <v>CRESTED</v>
      </c>
      <c r="E57" s="107" t="str">
        <f>IF('4 HE'!K13="yes","CRESTED",(IF('4 HE'!M28="L/A","L/A",IF('4 HE'!K28=6400,'4 HE'!P54,'4 HE'!R54)+(('4 HE'!L28/'4 HE'!K28/1000)+(('4 HE'!O41)*((('4 HE'!L28/('4 HE'!K28/1000))^2)^0.5))))))</f>
        <v>CRESTED</v>
      </c>
      <c r="F57" s="109" t="str">
        <f>IF('4 HE'!K13="YES","CRESTED",(IF('4 HE'!M28="L/A","L/A",(IF('4 HE'!K28=6400,'4 HE'!M54,'4 HE'!O54)-(2*('4 HE'!L41))))))</f>
        <v>CRESTED</v>
      </c>
      <c r="G57" s="237">
        <f t="shared" si="0"/>
        <v>0</v>
      </c>
      <c r="H57" s="93"/>
      <c r="I57" s="93"/>
      <c r="J57" s="93"/>
      <c r="K57" s="93"/>
      <c r="L57" s="93"/>
      <c r="M57" s="93"/>
      <c r="N57" s="93"/>
      <c r="O57" s="101">
        <v>10</v>
      </c>
      <c r="P57" s="104" t="str">
        <f>IF('4 IM'!F13="YES","CRESTED",IF('4 IM'!I25="L/A",'4 IM'!P13,"H/A"))</f>
        <v>CRESTED</v>
      </c>
      <c r="Q57" s="104" t="str">
        <f>IF('4 IM'!F13="YES","CRESTED",IF('4 IM'!I25="H/A","H/A",'4 IM'!M13))</f>
        <v>CRESTED</v>
      </c>
      <c r="R57" s="107" t="str">
        <f>IF('4 IM'!G13="Yes","CRESTED",IF('4 IM'!I25="L/a","L/A",'4 IM'!P13))</f>
        <v>CRESTED</v>
      </c>
      <c r="S57" s="109" t="str">
        <f>IF('4 IM'!G13="Yes","CRESTED",IF('4 IM'!I25="L/a","L/A",'4 IM'!M13))</f>
        <v>CRESTED</v>
      </c>
      <c r="T57" s="237">
        <f t="shared" si="1"/>
        <v>0</v>
      </c>
      <c r="U57" s="93"/>
    </row>
    <row r="58" spans="1:21">
      <c r="A58" s="93"/>
      <c r="B58" s="92"/>
      <c r="C58" s="92"/>
      <c r="D58" s="92"/>
      <c r="E58" s="92"/>
      <c r="F58" s="92"/>
      <c r="G58" s="234"/>
      <c r="H58" s="93"/>
      <c r="I58" s="93"/>
      <c r="J58" s="93"/>
      <c r="K58" s="93"/>
      <c r="L58" s="93"/>
      <c r="M58" s="93"/>
      <c r="N58" s="93"/>
      <c r="O58" s="92"/>
      <c r="P58" s="92"/>
      <c r="Q58" s="92"/>
      <c r="R58" s="92"/>
      <c r="S58" s="92"/>
      <c r="T58" s="234"/>
      <c r="U58" s="93"/>
    </row>
    <row r="59" spans="1:21" ht="15" thickBot="1">
      <c r="A59" s="93"/>
      <c r="B59" s="92"/>
      <c r="C59" s="92"/>
      <c r="D59" s="92"/>
      <c r="E59" s="92"/>
      <c r="F59" s="92"/>
      <c r="G59" s="234"/>
      <c r="H59" s="93"/>
      <c r="I59" s="93"/>
      <c r="J59" s="93"/>
      <c r="K59" s="93"/>
      <c r="L59" s="93"/>
      <c r="M59" s="93"/>
      <c r="N59" s="93"/>
      <c r="O59" s="92"/>
      <c r="P59" s="92"/>
      <c r="Q59" s="92"/>
      <c r="R59" s="92"/>
      <c r="S59" s="92"/>
      <c r="T59" s="234"/>
      <c r="U59" s="93" t="s">
        <v>43</v>
      </c>
    </row>
    <row r="60" spans="1:21" ht="15.75" thickBot="1">
      <c r="A60" s="93"/>
      <c r="B60" s="251" t="s">
        <v>46</v>
      </c>
      <c r="C60" s="252"/>
      <c r="D60" s="252"/>
      <c r="E60" s="252"/>
      <c r="F60" s="252"/>
      <c r="G60" s="253"/>
      <c r="H60" s="93"/>
      <c r="I60" s="93"/>
      <c r="J60" s="93"/>
      <c r="K60" s="93"/>
      <c r="L60" s="93"/>
      <c r="M60" s="93"/>
      <c r="N60" s="93"/>
      <c r="O60" s="254" t="s">
        <v>49</v>
      </c>
      <c r="P60" s="255"/>
      <c r="Q60" s="255"/>
      <c r="R60" s="255"/>
      <c r="S60" s="255"/>
      <c r="T60" s="256"/>
      <c r="U60" s="93"/>
    </row>
    <row r="61" spans="1:21" ht="15">
      <c r="A61" s="93"/>
      <c r="B61" s="99" t="s">
        <v>12</v>
      </c>
      <c r="C61" s="102" t="s">
        <v>8</v>
      </c>
      <c r="D61" s="102" t="s">
        <v>9</v>
      </c>
      <c r="E61" s="105" t="s">
        <v>10</v>
      </c>
      <c r="F61" s="105" t="s">
        <v>11</v>
      </c>
      <c r="G61" s="239" t="s">
        <v>0</v>
      </c>
      <c r="H61" s="93"/>
      <c r="I61" s="93"/>
      <c r="J61" s="93"/>
      <c r="K61" s="93"/>
      <c r="L61" s="93"/>
      <c r="M61" s="93"/>
      <c r="N61" s="93"/>
      <c r="O61" s="99" t="s">
        <v>12</v>
      </c>
      <c r="P61" s="102" t="s">
        <v>8</v>
      </c>
      <c r="Q61" s="102" t="s">
        <v>9</v>
      </c>
      <c r="R61" s="105" t="s">
        <v>10</v>
      </c>
      <c r="S61" s="105" t="s">
        <v>11</v>
      </c>
      <c r="T61" s="239" t="s">
        <v>0</v>
      </c>
      <c r="U61" s="93"/>
    </row>
    <row r="62" spans="1:21" ht="15">
      <c r="A62" s="93"/>
      <c r="B62" s="100">
        <v>1</v>
      </c>
      <c r="C62" s="103" t="str">
        <f>IF('5 HE'!J4="YES","CRESTED",IF('5 HE'!M19="H/A","H/A",'5 HE'!R45+('5 HE'!L19/('5 HE'!K19/1000))))</f>
        <v>CRESTED</v>
      </c>
      <c r="D62" s="103" t="str">
        <f>IF('5 HE'!J4="YES","CRESTED",IF('5 HE'!M19="H/A","H/A",('5 HE'!N45)-(2*('5 HE'!L32))))</f>
        <v>CRESTED</v>
      </c>
      <c r="E62" s="106" t="str">
        <f>IF('5 HE'!K4="yes","CRESTED",(IF('5 HE'!M19="L/A","L/A",'5 HE'!R45+(('5 HE'!L19/'5 HE'!K19/1000)+(('5 HE'!O32)*((('5 HE'!L19/('5 HE'!K19/1000))^2)^0.5))))))</f>
        <v>CRESTED</v>
      </c>
      <c r="F62" s="108" t="str">
        <f>IF('5 HE'!K4="YES","CRESTED",(IF('5 HE'!M19="L/A","L/A",'5 HE'!O45-(2*('5 HE'!L32)))))</f>
        <v>CRESTED</v>
      </c>
      <c r="G62" s="240">
        <f>G48</f>
        <v>0</v>
      </c>
      <c r="H62" s="93"/>
      <c r="I62" s="93"/>
      <c r="J62" s="93"/>
      <c r="K62" s="93"/>
      <c r="L62" s="93"/>
      <c r="M62" s="93"/>
      <c r="N62" s="93"/>
      <c r="O62" s="100">
        <v>1</v>
      </c>
      <c r="P62" s="103" t="str">
        <f>IF('5 IM'!F4="YES","CRESTED",IF('5 IM'!I16="L/A",'5 IM'!P4,"H/A"))</f>
        <v>CRESTED</v>
      </c>
      <c r="Q62" s="103" t="str">
        <f>IF('5 IM'!F4="YES","CRESTED",IF('5 IM'!I16="H/A","H/A",'5 IM'!M4))</f>
        <v>CRESTED</v>
      </c>
      <c r="R62" s="106" t="str">
        <f>IF('5 IM'!G4="Yes","CRESTED",IF('5 IM'!I16="L/a","L/A",'5 IM'!P4))</f>
        <v>CRESTED</v>
      </c>
      <c r="S62" s="108" t="str">
        <f>IF('5 IM'!G4="Yes","CRESTED",IF('5 IM'!I16="L/a","L/A",'5 IM'!M4))</f>
        <v>CRESTED</v>
      </c>
      <c r="T62" s="240">
        <f>T48</f>
        <v>0</v>
      </c>
      <c r="U62" s="93"/>
    </row>
    <row r="63" spans="1:21" ht="15">
      <c r="A63" s="93"/>
      <c r="B63" s="100">
        <v>2</v>
      </c>
      <c r="C63" s="103" t="str">
        <f>IF('5 HE'!J5="YES","CRESTED",IF('5 HE'!M20="H/A","H/A",'5 HE'!R46+('5 HE'!L20/('5 HE'!K20/1000))))</f>
        <v>CRESTED</v>
      </c>
      <c r="D63" s="103" t="str">
        <f>IF('5 HE'!J5="YES","CRESTED",IF('5 HE'!M20="H/A","H/A",('5 HE'!N46)-(2*('5 HE'!L33))))</f>
        <v>CRESTED</v>
      </c>
      <c r="E63" s="106" t="str">
        <f>IF('5 HE'!K5="yes","CRESTED",(IF('5 HE'!M20="L/A","L/A",'5 HE'!R46+(('5 HE'!L20/'5 HE'!K20/1000)+(('5 HE'!O33)*((('5 HE'!L20/('5 HE'!K20/1000))^2)^0.5))))))</f>
        <v>CRESTED</v>
      </c>
      <c r="F63" s="108" t="str">
        <f>IF('5 HE'!K5="YES","CRESTED",(IF('5 HE'!M20="L/A","L/A",'5 HE'!O46-(2*('5 HE'!L33)))))</f>
        <v>CRESTED</v>
      </c>
      <c r="G63" s="240">
        <f t="shared" ref="G63:G71" si="2">G49</f>
        <v>0</v>
      </c>
      <c r="H63" s="93"/>
      <c r="I63" s="93"/>
      <c r="J63" s="93"/>
      <c r="K63" s="93"/>
      <c r="L63" s="93"/>
      <c r="M63" s="93"/>
      <c r="N63" s="93"/>
      <c r="O63" s="100">
        <v>2</v>
      </c>
      <c r="P63" s="103" t="str">
        <f>IF('5 IM'!F5="YES","CRESTED",IF('5 IM'!I17="L/A",'5 IM'!P5,"H/A"))</f>
        <v>CRESTED</v>
      </c>
      <c r="Q63" s="103" t="str">
        <f>IF('5 IM'!F5="YES","CRESTED",IF('5 IM'!I17="H/A","H/A",'5 IM'!M5))</f>
        <v>CRESTED</v>
      </c>
      <c r="R63" s="106" t="str">
        <f>IF('5 IM'!G5="Yes","CRESTED",IF('5 IM'!I17="L/a","L/A",'5 IM'!P5))</f>
        <v>CRESTED</v>
      </c>
      <c r="S63" s="108" t="str">
        <f>IF('5 IM'!G5="Yes","CRESTED",IF('5 IM'!I17="L/a","L/A",'5 IM'!M5))</f>
        <v>CRESTED</v>
      </c>
      <c r="T63" s="240">
        <f t="shared" ref="T63:T71" si="3">T49</f>
        <v>0</v>
      </c>
      <c r="U63" s="93"/>
    </row>
    <row r="64" spans="1:21" ht="15">
      <c r="A64" s="93"/>
      <c r="B64" s="100">
        <v>3</v>
      </c>
      <c r="C64" s="103" t="str">
        <f>IF('5 HE'!J6="YES","CRESTED",IF('5 HE'!M21="H/A","H/A",'5 HE'!R47+('5 HE'!L21/('5 HE'!K21/1000))))</f>
        <v>CRESTED</v>
      </c>
      <c r="D64" s="103" t="str">
        <f>IF('5 HE'!J6="YES","CRESTED",IF('5 HE'!M21="H/A","H/A",('5 HE'!N47)-(2*('5 HE'!L34))))</f>
        <v>CRESTED</v>
      </c>
      <c r="E64" s="106" t="str">
        <f>IF('5 HE'!K6="yes","CRESTED",(IF('5 HE'!M21="L/A","L/A",'5 HE'!R47+(('5 HE'!L21/'5 HE'!K21/1000)+(('5 HE'!O34)*((('5 HE'!L21/('5 HE'!K21/1000))^2)^0.5))))))</f>
        <v>CRESTED</v>
      </c>
      <c r="F64" s="108" t="str">
        <f>IF('5 HE'!K6="YES","CRESTED",(IF('5 HE'!M21="L/A","L/A",'5 HE'!O47-(2*('5 HE'!L34)))))</f>
        <v>CRESTED</v>
      </c>
      <c r="G64" s="240">
        <f t="shared" si="2"/>
        <v>0</v>
      </c>
      <c r="H64" s="93"/>
      <c r="I64" s="93"/>
      <c r="J64" s="93"/>
      <c r="K64" s="93"/>
      <c r="L64" s="93"/>
      <c r="M64" s="93"/>
      <c r="N64" s="93"/>
      <c r="O64" s="100">
        <v>3</v>
      </c>
      <c r="P64" s="103" t="str">
        <f>IF('5 IM'!F6="YES","CRESTED",IF('5 IM'!I18="L/A",'5 IM'!P6,"H/A"))</f>
        <v>CRESTED</v>
      </c>
      <c r="Q64" s="103" t="str">
        <f>IF('5 IM'!F6="YES","CRESTED",IF('5 IM'!I18="H/A","H/A",'5 IM'!M6))</f>
        <v>CRESTED</v>
      </c>
      <c r="R64" s="106" t="str">
        <f>IF('5 IM'!G6="Yes","CRESTED",IF('5 IM'!I18="L/a","L/A",'5 IM'!P6))</f>
        <v>CRESTED</v>
      </c>
      <c r="S64" s="108" t="str">
        <f>IF('5 IM'!G6="Yes","CRESTED",IF('5 IM'!I18="L/a","L/A",'5 IM'!M6))</f>
        <v>CRESTED</v>
      </c>
      <c r="T64" s="240">
        <f t="shared" si="3"/>
        <v>0</v>
      </c>
      <c r="U64" s="93"/>
    </row>
    <row r="65" spans="1:21" ht="15">
      <c r="A65" s="93"/>
      <c r="B65" s="100">
        <v>4</v>
      </c>
      <c r="C65" s="103" t="str">
        <f>IF('5 HE'!J7="YES","CRESTED",IF('5 HE'!M22="H/A","H/A",'5 HE'!R48+('5 HE'!L22/('5 HE'!K22/1000))))</f>
        <v>CRESTED</v>
      </c>
      <c r="D65" s="103" t="str">
        <f>IF('5 HE'!J7="YES","CRESTED",IF('5 HE'!M22="H/A","H/A",('5 HE'!N48)-(2*('5 HE'!L35))))</f>
        <v>CRESTED</v>
      </c>
      <c r="E65" s="106" t="str">
        <f>IF('5 HE'!K7="yes","CRESTED",(IF('5 HE'!M22="L/A","L/A",'5 HE'!R48+(('5 HE'!L22/'5 HE'!K22/1000)+(('5 HE'!O35)*((('5 HE'!L22/('5 HE'!K22/1000))^2)^0.5))))))</f>
        <v>CRESTED</v>
      </c>
      <c r="F65" s="108" t="str">
        <f>IF('5 HE'!K7="YES","CRESTED",(IF('5 HE'!M22="L/A","L/A",'5 HE'!O48-(2*('5 HE'!L35)))))</f>
        <v>CRESTED</v>
      </c>
      <c r="G65" s="240">
        <f t="shared" si="2"/>
        <v>0</v>
      </c>
      <c r="H65" s="93"/>
      <c r="I65" s="93"/>
      <c r="J65" s="93"/>
      <c r="K65" s="93"/>
      <c r="L65" s="93"/>
      <c r="M65" s="93"/>
      <c r="N65" s="93"/>
      <c r="O65" s="100">
        <v>4</v>
      </c>
      <c r="P65" s="103" t="str">
        <f>IF('5 IM'!F7="YES","CRESTED",IF('5 IM'!I19="L/A",'5 IM'!P7,"H/A"))</f>
        <v>CRESTED</v>
      </c>
      <c r="Q65" s="103" t="str">
        <f>IF('5 IM'!F7="YES","CRESTED",IF('5 IM'!I19="H/A","H/A",'5 IM'!M7))</f>
        <v>CRESTED</v>
      </c>
      <c r="R65" s="106" t="str">
        <f>IF('5 IM'!G7="Yes","CRESTED",IF('5 IM'!I19="L/a","L/A",'5 IM'!P7))</f>
        <v>CRESTED</v>
      </c>
      <c r="S65" s="108" t="str">
        <f>IF('5 IM'!G7="Yes","CRESTED",IF('5 IM'!I19="L/a","L/A",'5 IM'!M7))</f>
        <v>CRESTED</v>
      </c>
      <c r="T65" s="240">
        <f t="shared" si="3"/>
        <v>0</v>
      </c>
      <c r="U65" s="93"/>
    </row>
    <row r="66" spans="1:21" ht="15">
      <c r="A66" s="93"/>
      <c r="B66" s="100">
        <v>5</v>
      </c>
      <c r="C66" s="103" t="str">
        <f>IF('5 HE'!J8="YES","CRESTED",IF('5 HE'!M23="H/A","H/A",'5 HE'!R49+('5 HE'!L23/('5 HE'!K23/1000))))</f>
        <v>CRESTED</v>
      </c>
      <c r="D66" s="103" t="str">
        <f>IF('5 HE'!J8="YES","CRESTED",IF('5 HE'!M23="H/A","H/A",('5 HE'!N49)-(2*('5 HE'!L36))))</f>
        <v>CRESTED</v>
      </c>
      <c r="E66" s="106" t="str">
        <f>IF('5 HE'!K8="yes","CRESTED",(IF('5 HE'!M23="L/A","L/A",'5 HE'!R49+(('5 HE'!L23/'5 HE'!K23/1000)+(('5 HE'!O36)*((('5 HE'!L23/('5 HE'!K23/1000))^2)^0.5))))))</f>
        <v>CRESTED</v>
      </c>
      <c r="F66" s="108" t="str">
        <f>IF('5 HE'!K8="YES","CRESTED",(IF('5 HE'!M23="L/A","L/A",'5 HE'!O49-(2*('5 HE'!L36)))))</f>
        <v>CRESTED</v>
      </c>
      <c r="G66" s="240">
        <f t="shared" si="2"/>
        <v>0</v>
      </c>
      <c r="H66" s="93"/>
      <c r="I66" s="93"/>
      <c r="J66" s="93"/>
      <c r="K66" s="93"/>
      <c r="L66" s="93"/>
      <c r="M66" s="93"/>
      <c r="N66" s="93"/>
      <c r="O66" s="100">
        <v>5</v>
      </c>
      <c r="P66" s="103" t="str">
        <f>IF('5 IM'!F8="YES","CRESTED",IF('5 IM'!I20="L/A",'5 IM'!P8,"H/A"))</f>
        <v>CRESTED</v>
      </c>
      <c r="Q66" s="103" t="str">
        <f>IF('5 IM'!F8="YES","CRESTED",IF('5 IM'!I20="H/A","H/A",'5 IM'!M8))</f>
        <v>CRESTED</v>
      </c>
      <c r="R66" s="106" t="str">
        <f>IF('5 IM'!G8="Yes","CRESTED",IF('5 IM'!I20="L/a","L/A",'5 IM'!P8))</f>
        <v>CRESTED</v>
      </c>
      <c r="S66" s="108" t="str">
        <f>IF('5 IM'!G8="Yes","CRESTED",IF('5 IM'!I20="L/a","L/A",'5 IM'!M8))</f>
        <v>CRESTED</v>
      </c>
      <c r="T66" s="240">
        <f t="shared" si="3"/>
        <v>0</v>
      </c>
      <c r="U66" s="93"/>
    </row>
    <row r="67" spans="1:21" ht="15">
      <c r="A67" s="93"/>
      <c r="B67" s="100">
        <v>6</v>
      </c>
      <c r="C67" s="103" t="str">
        <f>IF('5 HE'!J9="YES","CRESTED",IF('5 HE'!M24="H/A","H/A",'5 HE'!R50+('5 HE'!L24/('5 HE'!K24/1000))))</f>
        <v>CRESTED</v>
      </c>
      <c r="D67" s="103" t="str">
        <f>IF('5 HE'!J9="YES","CRESTED",IF('5 HE'!M24="H/A","H/A",('5 HE'!N50)-(2*('5 HE'!L37))))</f>
        <v>CRESTED</v>
      </c>
      <c r="E67" s="106" t="str">
        <f>IF('5 HE'!K9="yes","CRESTED",(IF('5 HE'!M24="L/A","L/A",'5 HE'!R50+(('5 HE'!L24/'5 HE'!K24/1000)+(('5 HE'!O37)*((('5 HE'!L24/('5 HE'!K24/1000))^2)^0.5))))))</f>
        <v>CRESTED</v>
      </c>
      <c r="F67" s="108" t="str">
        <f>IF('5 HE'!K9="YES","CRESTED",(IF('5 HE'!M24="L/A","L/A",'5 HE'!O50-(2*('5 HE'!L37)))))</f>
        <v>CRESTED</v>
      </c>
      <c r="G67" s="240">
        <f t="shared" si="2"/>
        <v>0</v>
      </c>
      <c r="H67" s="93"/>
      <c r="I67" s="93"/>
      <c r="J67" s="93"/>
      <c r="K67" s="93"/>
      <c r="L67" s="93"/>
      <c r="M67" s="93"/>
      <c r="N67" s="93"/>
      <c r="O67" s="100">
        <v>6</v>
      </c>
      <c r="P67" s="103" t="str">
        <f>IF('5 IM'!F9="YES","CRESTED",IF('5 IM'!I21="L/A",'5 IM'!P9,"H/A"))</f>
        <v>CRESTED</v>
      </c>
      <c r="Q67" s="103" t="str">
        <f>IF('5 IM'!F9="YES","CRESTED",IF('5 IM'!I21="H/A","H/A",'5 IM'!M9))</f>
        <v>CRESTED</v>
      </c>
      <c r="R67" s="106" t="str">
        <f>IF('5 IM'!G9="Yes","CRESTED",IF('5 IM'!I21="L/a","L/A",'5 IM'!P9))</f>
        <v>CRESTED</v>
      </c>
      <c r="S67" s="108" t="str">
        <f>IF('5 IM'!G9="Yes","CRESTED",IF('5 IM'!I21="L/a","L/A",'5 IM'!M9))</f>
        <v>CRESTED</v>
      </c>
      <c r="T67" s="240">
        <f t="shared" si="3"/>
        <v>0</v>
      </c>
      <c r="U67" s="93"/>
    </row>
    <row r="68" spans="1:21" ht="15">
      <c r="A68" s="93"/>
      <c r="B68" s="100">
        <v>7</v>
      </c>
      <c r="C68" s="103" t="str">
        <f>IF('5 HE'!J10="YES","CRESTED",IF('5 HE'!M25="H/A","H/A",'5 HE'!R51+('5 HE'!L25/('5 HE'!K25/1000))))</f>
        <v>CRESTED</v>
      </c>
      <c r="D68" s="103" t="str">
        <f>IF('5 HE'!J10="YES","CRESTED",IF('5 HE'!M25="H/A","H/A",('5 HE'!N51)-(2*('5 HE'!L38))))</f>
        <v>CRESTED</v>
      </c>
      <c r="E68" s="106" t="str">
        <f>IF('5 HE'!K10="yes","CRESTED",(IF('5 HE'!M25="L/A","L/A",'5 HE'!R51+(('5 HE'!L25/'5 HE'!K25/1000)+(('5 HE'!O38)*((('5 HE'!L25/('5 HE'!K25/1000))^2)^0.5))))))</f>
        <v>CRESTED</v>
      </c>
      <c r="F68" s="108" t="str">
        <f>IF('5 HE'!K10="YES","CRESTED",(IF('5 HE'!M25="L/A","L/A",'5 HE'!O51-(2*('5 HE'!L38)))))</f>
        <v>CRESTED</v>
      </c>
      <c r="G68" s="240">
        <f t="shared" si="2"/>
        <v>0</v>
      </c>
      <c r="H68" s="93"/>
      <c r="I68" s="93"/>
      <c r="J68" s="93"/>
      <c r="K68" s="93"/>
      <c r="L68" s="93"/>
      <c r="M68" s="93"/>
      <c r="N68" s="93"/>
      <c r="O68" s="100">
        <v>7</v>
      </c>
      <c r="P68" s="103" t="str">
        <f>IF('5 IM'!F10="YES","CRESTED",IF('5 IM'!I22="L/A",'5 IM'!P10,"H/A"))</f>
        <v>CRESTED</v>
      </c>
      <c r="Q68" s="103" t="str">
        <f>IF('5 IM'!F10="YES","CRESTED",IF('5 IM'!I22="H/A","H/A",'5 IM'!M10))</f>
        <v>CRESTED</v>
      </c>
      <c r="R68" s="106" t="str">
        <f>IF('5 IM'!G10="Yes","CRESTED",IF('5 IM'!I22="L/a","L/A",'5 IM'!P10))</f>
        <v>CRESTED</v>
      </c>
      <c r="S68" s="108" t="str">
        <f>IF('5 IM'!G10="Yes","CRESTED",IF('5 IM'!I22="L/a","L/A",'5 IM'!M10))</f>
        <v>CRESTED</v>
      </c>
      <c r="T68" s="240">
        <f t="shared" si="3"/>
        <v>0</v>
      </c>
      <c r="U68" s="93"/>
    </row>
    <row r="69" spans="1:21" ht="15">
      <c r="A69" s="93"/>
      <c r="B69" s="100">
        <v>8</v>
      </c>
      <c r="C69" s="103" t="str">
        <f>IF('5 HE'!J11="YES","CRESTED",IF('5 HE'!M26="H/A","H/A",'5 HE'!R52+('5 HE'!L26/('5 HE'!K26/1000))))</f>
        <v>CRESTED</v>
      </c>
      <c r="D69" s="103" t="str">
        <f>IF('5 HE'!J11="YES","CRESTED",IF('5 HE'!M26="H/A","H/A",('5 HE'!N52)-(2*('5 HE'!L39))))</f>
        <v>CRESTED</v>
      </c>
      <c r="E69" s="106" t="str">
        <f>IF('5 HE'!K11="yes","CRESTED",(IF('5 HE'!M26="L/A","L/A",'5 HE'!R52+(('5 HE'!L26/'5 HE'!K26/1000)+(('5 HE'!O39)*((('5 HE'!L26/('5 HE'!K26/1000))^2)^0.5))))))</f>
        <v>CRESTED</v>
      </c>
      <c r="F69" s="108" t="str">
        <f>IF('5 HE'!K11="YES","CRESTED",(IF('5 HE'!M26="L/A","L/A",'5 HE'!O52-(2*('5 HE'!L39)))))</f>
        <v>CRESTED</v>
      </c>
      <c r="G69" s="240">
        <f t="shared" si="2"/>
        <v>0</v>
      </c>
      <c r="H69" s="93"/>
      <c r="I69" s="93"/>
      <c r="J69" s="93"/>
      <c r="K69" s="93"/>
      <c r="L69" s="93"/>
      <c r="M69" s="93"/>
      <c r="N69" s="93"/>
      <c r="O69" s="100">
        <v>8</v>
      </c>
      <c r="P69" s="103" t="str">
        <f>IF('5 IM'!F11="YES","CRESTED",IF('5 IM'!I23="L/A",'5 IM'!P11,"H/A"))</f>
        <v>CRESTED</v>
      </c>
      <c r="Q69" s="103" t="str">
        <f>IF('5 IM'!F11="YES","CRESTED",IF('5 IM'!I23="H/A","H/A",'5 IM'!M11))</f>
        <v>CRESTED</v>
      </c>
      <c r="R69" s="106" t="str">
        <f>IF('5 IM'!G11="Yes","CRESTED",IF('5 IM'!I23="L/a","L/A",'5 IM'!P11))</f>
        <v>CRESTED</v>
      </c>
      <c r="S69" s="108" t="str">
        <f>IF('5 IM'!G11="Yes","CRESTED",IF('5 IM'!I23="L/a","L/A",'5 IM'!M11))</f>
        <v>CRESTED</v>
      </c>
      <c r="T69" s="240">
        <f t="shared" si="3"/>
        <v>0</v>
      </c>
      <c r="U69" s="93"/>
    </row>
    <row r="70" spans="1:21" ht="15">
      <c r="A70" s="93"/>
      <c r="B70" s="100">
        <v>9</v>
      </c>
      <c r="C70" s="103" t="str">
        <f>IF('5 HE'!J12="YES","CRESTED",IF('5 HE'!M27="H/A","H/A",'5 HE'!R53+('5 HE'!L27/('5 HE'!K27/1000))))</f>
        <v>CRESTED</v>
      </c>
      <c r="D70" s="103" t="str">
        <f>IF('5 HE'!J12="YES","CRESTED",IF('5 HE'!M27="H/A","H/A",('5 HE'!N53)-(2*('5 HE'!L40))))</f>
        <v>CRESTED</v>
      </c>
      <c r="E70" s="106" t="str">
        <f>IF('5 HE'!K12="yes","CRESTED",(IF('5 HE'!M27="L/A","L/A",'5 HE'!R53+(('5 HE'!L27/'5 HE'!K27/1000)+(('5 HE'!O40)*((('5 HE'!L27/('5 HE'!K27/1000))^2)^0.5))))))</f>
        <v>CRESTED</v>
      </c>
      <c r="F70" s="108" t="str">
        <f>IF('5 HE'!K12="YES","CRESTED",(IF('5 HE'!M27="L/A","L/A",'5 HE'!O53-(2*('5 HE'!L40)))))</f>
        <v>CRESTED</v>
      </c>
      <c r="G70" s="240">
        <f t="shared" si="2"/>
        <v>0</v>
      </c>
      <c r="H70" s="93"/>
      <c r="I70" s="93"/>
      <c r="J70" s="93"/>
      <c r="K70" s="93"/>
      <c r="L70" s="93"/>
      <c r="M70" s="93"/>
      <c r="N70" s="93"/>
      <c r="O70" s="100">
        <v>9</v>
      </c>
      <c r="P70" s="103" t="str">
        <f>IF('5 IM'!F12="YES","CRESTED",IF('5 IM'!I24="L/A",'5 IM'!P12,"H/A"))</f>
        <v>CRESTED</v>
      </c>
      <c r="Q70" s="103" t="str">
        <f>IF('5 IM'!F12="YES","CRESTED",IF('5 IM'!I24="H/A","H/A",'5 IM'!M12))</f>
        <v>CRESTED</v>
      </c>
      <c r="R70" s="106" t="str">
        <f>IF('5 IM'!G12="Yes","CRESTED",IF('5 IM'!I24="L/a","L/A",'5 IM'!P12))</f>
        <v>CRESTED</v>
      </c>
      <c r="S70" s="108" t="str">
        <f>IF('5 IM'!G12="Yes","CRESTED",IF('5 IM'!I24="L/a","L/A",'5 IM'!M12))</f>
        <v>CRESTED</v>
      </c>
      <c r="T70" s="240">
        <f t="shared" si="3"/>
        <v>0</v>
      </c>
      <c r="U70" s="93"/>
    </row>
    <row r="71" spans="1:21" ht="15.75" thickBot="1">
      <c r="A71" s="93"/>
      <c r="B71" s="101">
        <v>10</v>
      </c>
      <c r="C71" s="103" t="str">
        <f>IF('5 HE'!J13="YES","CRESTED",IF('5 HE'!M28="H/A","H/A",'5 HE'!R54+('5 HE'!L28/('5 HE'!K28/1000))))</f>
        <v>CRESTED</v>
      </c>
      <c r="D71" s="103" t="str">
        <f>IF('5 HE'!J13="YES","CRESTED",IF('5 HE'!M28="H/A","H/A",('5 HE'!N54)-(2*('5 HE'!L41))))</f>
        <v>CRESTED</v>
      </c>
      <c r="E71" s="106" t="str">
        <f>IF('5 HE'!K13="yes","CRESTED",(IF('5 HE'!M28="L/A","L/A",'5 HE'!R54+(('5 HE'!L28/'5 HE'!K28/1000)+(('5 HE'!O41)*((('5 HE'!L28/('5 HE'!K28/1000))^2)^0.5))))))</f>
        <v>CRESTED</v>
      </c>
      <c r="F71" s="108" t="str">
        <f>IF('5 HE'!K13="YES","CRESTED",(IF('5 HE'!M28="L/A","L/A",'5 HE'!O54-(2*('5 HE'!L41)))))</f>
        <v>CRESTED</v>
      </c>
      <c r="G71" s="240">
        <f t="shared" si="2"/>
        <v>0</v>
      </c>
      <c r="H71" s="93"/>
      <c r="I71" s="93"/>
      <c r="J71" s="93"/>
      <c r="K71" s="93"/>
      <c r="L71" s="93"/>
      <c r="M71" s="93"/>
      <c r="N71" s="93"/>
      <c r="O71" s="101">
        <v>10</v>
      </c>
      <c r="P71" s="103" t="str">
        <f>IF('5 IM'!F13="YES","CRESTED",IF('5 IM'!I25="L/A",'5 IM'!P13,"H/A"))</f>
        <v>CRESTED</v>
      </c>
      <c r="Q71" s="103" t="str">
        <f>IF('5 IM'!F13="YES","CRESTED",IF('5 IM'!I25="H/A","H/A",'5 IM'!M13))</f>
        <v>CRESTED</v>
      </c>
      <c r="R71" s="106" t="str">
        <f>IF('5 IM'!G13="Yes","CRESTED",IF('5 IM'!I25="L/a","L/A",'5 IM'!P13))</f>
        <v>CRESTED</v>
      </c>
      <c r="S71" s="108" t="str">
        <f>IF('5 IM'!G13="Yes","CRESTED",IF('5 IM'!I25="L/a","L/A",'5 IM'!M13))</f>
        <v>CRESTED</v>
      </c>
      <c r="T71" s="240">
        <f t="shared" si="3"/>
        <v>0</v>
      </c>
      <c r="U71" s="93"/>
    </row>
    <row r="72" spans="1:21">
      <c r="A72" s="93"/>
      <c r="B72" s="93"/>
      <c r="C72" s="93"/>
      <c r="D72" s="93"/>
      <c r="E72" s="93"/>
      <c r="F72" s="93"/>
      <c r="G72" s="238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238"/>
      <c r="U72" s="93"/>
    </row>
    <row r="73" spans="1:21" ht="15" thickBot="1">
      <c r="A73" s="93"/>
      <c r="B73" s="93"/>
      <c r="C73" s="93"/>
      <c r="D73" s="93"/>
      <c r="E73" s="93"/>
      <c r="F73" s="93"/>
      <c r="G73" s="238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238"/>
      <c r="U73" s="93"/>
    </row>
    <row r="74" spans="1:21" ht="15.75" thickBot="1">
      <c r="A74" s="93"/>
      <c r="B74" s="251" t="s">
        <v>47</v>
      </c>
      <c r="C74" s="252"/>
      <c r="D74" s="252"/>
      <c r="E74" s="252"/>
      <c r="F74" s="252"/>
      <c r="G74" s="253"/>
      <c r="H74" s="93"/>
      <c r="I74" s="93"/>
      <c r="J74" s="93"/>
      <c r="K74" s="93"/>
      <c r="L74" s="93"/>
      <c r="M74" s="93"/>
      <c r="N74" s="93"/>
      <c r="O74" s="254" t="s">
        <v>50</v>
      </c>
      <c r="P74" s="255"/>
      <c r="Q74" s="255"/>
      <c r="R74" s="255"/>
      <c r="S74" s="255"/>
      <c r="T74" s="256"/>
      <c r="U74" s="93"/>
    </row>
    <row r="75" spans="1:21" ht="15">
      <c r="A75" s="93"/>
      <c r="B75" s="99" t="s">
        <v>12</v>
      </c>
      <c r="C75" s="102" t="s">
        <v>8</v>
      </c>
      <c r="D75" s="102" t="s">
        <v>9</v>
      </c>
      <c r="E75" s="105" t="s">
        <v>10</v>
      </c>
      <c r="F75" s="105" t="s">
        <v>11</v>
      </c>
      <c r="G75" s="239" t="s">
        <v>0</v>
      </c>
      <c r="H75" s="93"/>
      <c r="I75" s="93"/>
      <c r="J75" s="283"/>
      <c r="K75" s="283"/>
      <c r="L75" s="93"/>
      <c r="M75" s="93"/>
      <c r="N75" s="93"/>
      <c r="O75" s="99" t="s">
        <v>12</v>
      </c>
      <c r="P75" s="102" t="s">
        <v>8</v>
      </c>
      <c r="Q75" s="102" t="s">
        <v>9</v>
      </c>
      <c r="R75" s="105" t="s">
        <v>10</v>
      </c>
      <c r="S75" s="105" t="s">
        <v>11</v>
      </c>
      <c r="T75" s="239" t="s">
        <v>0</v>
      </c>
      <c r="U75" s="93"/>
    </row>
    <row r="76" spans="1:21" ht="15">
      <c r="A76" s="93"/>
      <c r="B76" s="100">
        <v>1</v>
      </c>
      <c r="C76" s="103" t="str">
        <f>IF('6 HE'!J4="YES","CRESTED",IF('6 HE'!M19="H/A","H/A",'6 HE'!R45+('6 HE'!L19/('6 HE'!K19/1000))))</f>
        <v>CRESTED</v>
      </c>
      <c r="D76" s="103" t="str">
        <f>IF('6 HE'!J4="YES","CRESTED",IF('6 HE'!M19="H/A","H/A",('6 HE'!N45)-(2*('6 HE'!L32))))</f>
        <v>CRESTED</v>
      </c>
      <c r="E76" s="106" t="str">
        <f>IF('6 HE'!K4="yes","CRESTED",(IF('6 HE'!M19="L/A","L/A",'6 HE'!R45+(('6 HE'!L19/'6 HE'!K19/1000)+(('6 HE'!O32)*((('6 HE'!L19/('6 HE'!K19/1000))^2)^0.5))))))</f>
        <v>CRESTED</v>
      </c>
      <c r="F76" s="108" t="str">
        <f>IF('6 HE'!K4="YES","CRESTED",(IF('6 HE'!M19="L/A","L/A",'6 HE'!O45-(2*('6 HE'!L32)))))</f>
        <v>CRESTED</v>
      </c>
      <c r="G76" s="240">
        <f>G62</f>
        <v>0</v>
      </c>
      <c r="H76" s="93"/>
      <c r="I76" s="93"/>
      <c r="J76" s="283"/>
      <c r="K76" s="283"/>
      <c r="L76" s="93"/>
      <c r="M76" s="93"/>
      <c r="N76" s="93"/>
      <c r="O76" s="100">
        <v>1</v>
      </c>
      <c r="P76" s="103" t="str">
        <f>IF('6 IM'!F4="YES","CRESTED",IF('6 IM'!I16="L/A",'6 IM'!P4,"H/A"))</f>
        <v>CRESTED</v>
      </c>
      <c r="Q76" s="103" t="str">
        <f>IF('6 IM'!F4="YES","CRESTED",IF('6 IM'!I16="H/A","H/A",'6 IM'!M4))</f>
        <v>CRESTED</v>
      </c>
      <c r="R76" s="106" t="str">
        <f>IF('6 IM'!G4="Yes","CRESTED",IF('6 IM'!I16="L/a","L/A",'6 IM'!P4))</f>
        <v>CRESTED</v>
      </c>
      <c r="S76" s="108" t="str">
        <f>IF('6 IM'!G4="Yes","CRESTED",IF('6 IM'!I16="L/a","L/A",'6 IM'!M4))</f>
        <v>CRESTED</v>
      </c>
      <c r="T76" s="240">
        <f>T62</f>
        <v>0</v>
      </c>
      <c r="U76" s="93"/>
    </row>
    <row r="77" spans="1:21" ht="15">
      <c r="A77" s="93"/>
      <c r="B77" s="100">
        <v>2</v>
      </c>
      <c r="C77" s="103" t="str">
        <f>IF('6 HE'!J5="YES","CRESTED",IF('6 HE'!M20="H/A","H/A",'6 HE'!R46+('6 HE'!L20/('6 HE'!K20/1000))))</f>
        <v>CRESTED</v>
      </c>
      <c r="D77" s="103" t="str">
        <f>IF('6 HE'!J5="YES","CRESTED",IF('6 HE'!M20="H/A","H/A",('6 HE'!N46)-(2*('6 HE'!L33))))</f>
        <v>CRESTED</v>
      </c>
      <c r="E77" s="106" t="str">
        <f>IF('6 HE'!K5="yes","CRESTED",(IF('6 HE'!M20="L/A","L/A",'6 HE'!R46+(('6 HE'!L20/'6 HE'!K20/1000)+(('6 HE'!O33)*((('6 HE'!L20/('6 HE'!K20/1000))^2)^0.5))))))</f>
        <v>CRESTED</v>
      </c>
      <c r="F77" s="108" t="str">
        <f>IF('6 HE'!K5="YES","CRESTED",(IF('6 HE'!M20="L/A","L/A",'6 HE'!O46-(2*('6 HE'!L33)))))</f>
        <v>CRESTED</v>
      </c>
      <c r="G77" s="240">
        <f t="shared" ref="G77:G85" si="4">G63</f>
        <v>0</v>
      </c>
      <c r="H77" s="93"/>
      <c r="I77" s="93"/>
      <c r="J77" s="93"/>
      <c r="K77" s="93"/>
      <c r="L77" s="93"/>
      <c r="M77" s="93"/>
      <c r="N77" s="93"/>
      <c r="O77" s="100">
        <v>2</v>
      </c>
      <c r="P77" s="103" t="str">
        <f>IF('6 IM'!F5="YES","CRESTED",IF('6 IM'!I17="L/A",'6 IM'!P5,"H/A"))</f>
        <v>CRESTED</v>
      </c>
      <c r="Q77" s="103" t="str">
        <f>IF('6 IM'!F5="YES","CRESTED",IF('6 IM'!I17="H/A","H/A",'6 IM'!M5))</f>
        <v>CRESTED</v>
      </c>
      <c r="R77" s="106" t="str">
        <f>IF('6 IM'!G5="Yes","CRESTED",IF('6 IM'!I17="L/a","L/A",'6 IM'!P5))</f>
        <v>CRESTED</v>
      </c>
      <c r="S77" s="108" t="str">
        <f>IF('6 IM'!G5="Yes","CRESTED",IF('6 IM'!I17="L/a","L/A",'6 IM'!M5))</f>
        <v>CRESTED</v>
      </c>
      <c r="T77" s="240">
        <f t="shared" ref="T77:T85" si="5">T63</f>
        <v>0</v>
      </c>
      <c r="U77" s="93"/>
    </row>
    <row r="78" spans="1:21" ht="15">
      <c r="A78" s="93"/>
      <c r="B78" s="100">
        <v>3</v>
      </c>
      <c r="C78" s="103" t="str">
        <f>IF('6 HE'!J6="YES","CRESTED",IF('6 HE'!M21="H/A","H/A",'6 HE'!R47+('6 HE'!L21/('6 HE'!K21/1000))))</f>
        <v>CRESTED</v>
      </c>
      <c r="D78" s="103" t="str">
        <f>IF('6 HE'!J6="YES","CRESTED",IF('6 HE'!M21="H/A","H/A",('6 HE'!N47)-(2*('6 HE'!L34))))</f>
        <v>CRESTED</v>
      </c>
      <c r="E78" s="106" t="str">
        <f>IF('6 HE'!K6="yes","CRESTED",(IF('6 HE'!M21="L/A","L/A",'6 HE'!R47+(('6 HE'!L21/'6 HE'!K21/1000)+(('6 HE'!O34)*((('6 HE'!L21/('6 HE'!K21/1000))^2)^0.5))))))</f>
        <v>CRESTED</v>
      </c>
      <c r="F78" s="108" t="str">
        <f>IF('6 HE'!K6="YES","CRESTED",(IF('6 HE'!M21="L/A","L/A",'6 HE'!O47-(2*('6 HE'!L34)))))</f>
        <v>CRESTED</v>
      </c>
      <c r="G78" s="240">
        <f t="shared" si="4"/>
        <v>0</v>
      </c>
      <c r="H78" s="93"/>
      <c r="I78" s="93"/>
      <c r="J78" s="93"/>
      <c r="K78" s="93"/>
      <c r="L78" s="93"/>
      <c r="M78" s="93"/>
      <c r="N78" s="93"/>
      <c r="O78" s="100">
        <v>3</v>
      </c>
      <c r="P78" s="103" t="str">
        <f>IF('6 IM'!F6="YES","CRESTED",IF('6 IM'!I18="L/A",'6 IM'!P6,"H/A"))</f>
        <v>CRESTED</v>
      </c>
      <c r="Q78" s="103" t="str">
        <f>IF('6 IM'!F6="YES","CRESTED",IF('6 IM'!I18="H/A","H/A",'6 IM'!M6))</f>
        <v>CRESTED</v>
      </c>
      <c r="R78" s="106" t="str">
        <f>IF('6 IM'!G6="Yes","CRESTED",IF('6 IM'!I18="L/a","L/A",'6 IM'!P6))</f>
        <v>CRESTED</v>
      </c>
      <c r="S78" s="108" t="str">
        <f>IF('6 IM'!G6="Yes","CRESTED",IF('6 IM'!I18="L/a","L/A",'6 IM'!M6))</f>
        <v>CRESTED</v>
      </c>
      <c r="T78" s="240">
        <f t="shared" si="5"/>
        <v>0</v>
      </c>
      <c r="U78" s="93"/>
    </row>
    <row r="79" spans="1:21" ht="15">
      <c r="A79" s="93"/>
      <c r="B79" s="100">
        <v>4</v>
      </c>
      <c r="C79" s="103" t="str">
        <f>IF('6 HE'!J7="YES","CRESTED",IF('6 HE'!M22="H/A","H/A",'6 HE'!R48+('6 HE'!L22/('6 HE'!K22/1000))))</f>
        <v>CRESTED</v>
      </c>
      <c r="D79" s="103" t="str">
        <f>IF('6 HE'!J7="YES","CRESTED",IF('6 HE'!M22="H/A","H/A",('6 HE'!N48)-(2*('6 HE'!L35))))</f>
        <v>CRESTED</v>
      </c>
      <c r="E79" s="106" t="str">
        <f>IF('6 HE'!K7="yes","CRESTED",(IF('6 HE'!M22="L/A","L/A",'6 HE'!R48+(('6 HE'!L22/'6 HE'!K22/1000)+(('6 HE'!O35)*((('6 HE'!L22/('6 HE'!K22/1000))^2)^0.5))))))</f>
        <v>CRESTED</v>
      </c>
      <c r="F79" s="108" t="str">
        <f>IF('6 HE'!K7="YES","CRESTED",(IF('6 HE'!M22="L/A","L/A",'6 HE'!O48-(2*('6 HE'!L35)))))</f>
        <v>CRESTED</v>
      </c>
      <c r="G79" s="240">
        <f t="shared" si="4"/>
        <v>0</v>
      </c>
      <c r="H79" s="93"/>
      <c r="I79" s="93"/>
      <c r="J79" s="93"/>
      <c r="K79" s="93"/>
      <c r="L79" s="93"/>
      <c r="M79" s="93"/>
      <c r="N79" s="93"/>
      <c r="O79" s="100">
        <v>4</v>
      </c>
      <c r="P79" s="103" t="str">
        <f>IF('6 IM'!F7="YES","CRESTED",IF('6 IM'!I19="L/A",'6 IM'!P7,"H/A"))</f>
        <v>CRESTED</v>
      </c>
      <c r="Q79" s="103" t="str">
        <f>IF('6 IM'!F7="YES","CRESTED",IF('6 IM'!I19="H/A","H/A",'6 IM'!M7))</f>
        <v>CRESTED</v>
      </c>
      <c r="R79" s="106" t="str">
        <f>IF('6 IM'!G7="Yes","CRESTED",IF('6 IM'!I19="L/a","L/A",'6 IM'!P7))</f>
        <v>CRESTED</v>
      </c>
      <c r="S79" s="108" t="str">
        <f>IF('6 IM'!G7="Yes","CRESTED",IF('6 IM'!I19="L/a","L/A",'6 IM'!M7))</f>
        <v>CRESTED</v>
      </c>
      <c r="T79" s="240">
        <f t="shared" si="5"/>
        <v>0</v>
      </c>
      <c r="U79" s="93"/>
    </row>
    <row r="80" spans="1:21" ht="15">
      <c r="A80" s="93"/>
      <c r="B80" s="100">
        <v>5</v>
      </c>
      <c r="C80" s="103" t="str">
        <f>IF('6 HE'!J8="YES","CRESTED",IF('6 HE'!M23="H/A","H/A",'6 HE'!R49+('6 HE'!L23/('6 HE'!K23/1000))))</f>
        <v>CRESTED</v>
      </c>
      <c r="D80" s="103" t="str">
        <f>IF('6 HE'!J8="YES","CRESTED",IF('6 HE'!M23="H/A","H/A",('6 HE'!N49)-(2*('6 HE'!L36))))</f>
        <v>CRESTED</v>
      </c>
      <c r="E80" s="106" t="str">
        <f>IF('6 HE'!K8="yes","CRESTED",(IF('6 HE'!M23="L/A","L/A",'6 HE'!R49+(('6 HE'!L23/'6 HE'!K23/1000)+(('6 HE'!O36)*((('6 HE'!L23/('6 HE'!K23/1000))^2)^0.5))))))</f>
        <v>CRESTED</v>
      </c>
      <c r="F80" s="108" t="str">
        <f>IF('6 HE'!K8="YES","CRESTED",(IF('6 HE'!M23="L/A","L/A",'6 HE'!O49-(2*('6 HE'!L36)))))</f>
        <v>CRESTED</v>
      </c>
      <c r="G80" s="240">
        <f t="shared" si="4"/>
        <v>0</v>
      </c>
      <c r="H80" s="93"/>
      <c r="I80" s="93"/>
      <c r="J80" s="93"/>
      <c r="K80" s="93"/>
      <c r="L80" s="93"/>
      <c r="M80" s="93"/>
      <c r="N80" s="93"/>
      <c r="O80" s="100">
        <v>5</v>
      </c>
      <c r="P80" s="103" t="str">
        <f>IF('6 IM'!F8="YES","CRESTED",IF('6 IM'!I20="L/A",'6 IM'!P8,"H/A"))</f>
        <v>CRESTED</v>
      </c>
      <c r="Q80" s="103" t="str">
        <f>IF('6 IM'!F8="YES","CRESTED",IF('6 IM'!I20="H/A","H/A",'6 IM'!M8))</f>
        <v>CRESTED</v>
      </c>
      <c r="R80" s="106" t="str">
        <f>IF('6 IM'!G8="Yes","CRESTED",IF('6 IM'!I20="L/a","L/A",'6 IM'!P8))</f>
        <v>CRESTED</v>
      </c>
      <c r="S80" s="108" t="str">
        <f>IF('6 IM'!G8="Yes","CRESTED",IF('6 IM'!I20="L/a","L/A",'6 IM'!M8))</f>
        <v>CRESTED</v>
      </c>
      <c r="T80" s="240">
        <f t="shared" si="5"/>
        <v>0</v>
      </c>
      <c r="U80" s="93"/>
    </row>
    <row r="81" spans="1:21" ht="15">
      <c r="A81" s="93"/>
      <c r="B81" s="100">
        <v>6</v>
      </c>
      <c r="C81" s="103" t="str">
        <f>IF('6 HE'!J9="YES","CRESTED",IF('6 HE'!M24="H/A","H/A",'6 HE'!R50+('6 HE'!L24/('6 HE'!K24/1000))))</f>
        <v>CRESTED</v>
      </c>
      <c r="D81" s="103" t="str">
        <f>IF('6 HE'!J9="YES","CRESTED",IF('6 HE'!M24="H/A","H/A",('6 HE'!N50)-(2*('6 HE'!L37))))</f>
        <v>CRESTED</v>
      </c>
      <c r="E81" s="106" t="str">
        <f>IF('6 HE'!K9="yes","CRESTED",(IF('6 HE'!M24="L/A","L/A",'6 HE'!R50+(('6 HE'!L24/'6 HE'!K24/1000)+(('6 HE'!O37)*((('6 HE'!L24/('6 HE'!K24/1000))^2)^0.5))))))</f>
        <v>CRESTED</v>
      </c>
      <c r="F81" s="108" t="str">
        <f>IF('6 HE'!K9="YES","CRESTED",(IF('6 HE'!M24="L/A","L/A",'6 HE'!O50-(2*('6 HE'!L37)))))</f>
        <v>CRESTED</v>
      </c>
      <c r="G81" s="240">
        <f t="shared" si="4"/>
        <v>0</v>
      </c>
      <c r="H81" s="93"/>
      <c r="I81" s="93"/>
      <c r="J81" s="93"/>
      <c r="K81" s="93"/>
      <c r="L81" s="93"/>
      <c r="M81" s="93"/>
      <c r="N81" s="93"/>
      <c r="O81" s="100">
        <v>6</v>
      </c>
      <c r="P81" s="103" t="str">
        <f>IF('6 IM'!F9="YES","CRESTED",IF('6 IM'!I21="L/A",'6 IM'!P9,"H/A"))</f>
        <v>CRESTED</v>
      </c>
      <c r="Q81" s="103" t="str">
        <f>IF('6 IM'!F9="YES","CRESTED",IF('6 IM'!I21="H/A","H/A",'6 IM'!M9))</f>
        <v>CRESTED</v>
      </c>
      <c r="R81" s="106" t="str">
        <f>IF('6 IM'!G9="Yes","CRESTED",IF('6 IM'!I21="L/a","L/A",'6 IM'!P9))</f>
        <v>CRESTED</v>
      </c>
      <c r="S81" s="108" t="str">
        <f>IF('6 IM'!G9="Yes","CRESTED",IF('6 IM'!I21="L/a","L/A",'6 IM'!M9))</f>
        <v>CRESTED</v>
      </c>
      <c r="T81" s="240">
        <f t="shared" si="5"/>
        <v>0</v>
      </c>
      <c r="U81" s="93"/>
    </row>
    <row r="82" spans="1:21" ht="15">
      <c r="A82" s="93"/>
      <c r="B82" s="100">
        <v>7</v>
      </c>
      <c r="C82" s="103" t="str">
        <f>IF('6 HE'!J10="YES","CRESTED",IF('6 HE'!M25="H/A","H/A",'6 HE'!R51+('6 HE'!L25/('6 HE'!K25/1000))))</f>
        <v>CRESTED</v>
      </c>
      <c r="D82" s="103" t="str">
        <f>IF('6 HE'!J10="YES","CRESTED",IF('6 HE'!M25="H/A","H/A",('6 HE'!N51)-(2*('6 HE'!L38))))</f>
        <v>CRESTED</v>
      </c>
      <c r="E82" s="106" t="str">
        <f>IF('6 HE'!K10="yes","CRESTED",(IF('6 HE'!M25="L/A","L/A",'6 HE'!R51+(('6 HE'!L25/'6 HE'!K25/1000)+(('6 HE'!O38)*((('6 HE'!L25/('6 HE'!K25/1000))^2)^0.5))))))</f>
        <v>CRESTED</v>
      </c>
      <c r="F82" s="108" t="str">
        <f>IF('6 HE'!K10="YES","CRESTED",(IF('6 HE'!M25="L/A","L/A",'6 HE'!O51-(2*('6 HE'!L38)))))</f>
        <v>CRESTED</v>
      </c>
      <c r="G82" s="240">
        <f t="shared" si="4"/>
        <v>0</v>
      </c>
      <c r="H82" s="93"/>
      <c r="I82" s="93"/>
      <c r="J82" s="93"/>
      <c r="K82" s="93"/>
      <c r="L82" s="93"/>
      <c r="M82" s="93"/>
      <c r="N82" s="93"/>
      <c r="O82" s="100">
        <v>7</v>
      </c>
      <c r="P82" s="103" t="str">
        <f>IF('6 IM'!F10="YES","CRESTED",IF('6 IM'!I22="L/A",'6 IM'!P10,"H/A"))</f>
        <v>CRESTED</v>
      </c>
      <c r="Q82" s="103" t="str">
        <f>IF('6 IM'!F10="YES","CRESTED",IF('6 IM'!I22="H/A","H/A",'6 IM'!M10))</f>
        <v>CRESTED</v>
      </c>
      <c r="R82" s="106" t="str">
        <f>IF('6 IM'!G10="Yes","CRESTED",IF('6 IM'!I22="L/a","L/A",'6 IM'!P10))</f>
        <v>CRESTED</v>
      </c>
      <c r="S82" s="108" t="str">
        <f>IF('6 IM'!G10="Yes","CRESTED",IF('6 IM'!I22="L/a","L/A",'6 IM'!M10))</f>
        <v>CRESTED</v>
      </c>
      <c r="T82" s="240">
        <f t="shared" si="5"/>
        <v>0</v>
      </c>
      <c r="U82" s="93"/>
    </row>
    <row r="83" spans="1:21" ht="15">
      <c r="A83" s="93"/>
      <c r="B83" s="100">
        <v>8</v>
      </c>
      <c r="C83" s="103" t="str">
        <f>IF('6 HE'!J11="YES","CRESTED",IF('6 HE'!M26="H/A","H/A",'6 HE'!R52+('6 HE'!L26/('6 HE'!K26/1000))))</f>
        <v>CRESTED</v>
      </c>
      <c r="D83" s="103" t="str">
        <f>IF('6 HE'!J11="YES","CRESTED",IF('6 HE'!M26="H/A","H/A",('6 HE'!N52)-(2*('6 HE'!L39))))</f>
        <v>CRESTED</v>
      </c>
      <c r="E83" s="106" t="str">
        <f>IF('6 HE'!K11="yes","CRESTED",(IF('6 HE'!M26="L/A","L/A",'6 HE'!R52+(('6 HE'!L26/'6 HE'!K26/1000)+(('6 HE'!O39)*((('6 HE'!L26/('6 HE'!K26/1000))^2)^0.5))))))</f>
        <v>CRESTED</v>
      </c>
      <c r="F83" s="108" t="str">
        <f>IF('6 HE'!K11="YES","CRESTED",(IF('6 HE'!M26="L/A","L/A",'6 HE'!O52-(2*('6 HE'!L39)))))</f>
        <v>CRESTED</v>
      </c>
      <c r="G83" s="240">
        <f t="shared" si="4"/>
        <v>0</v>
      </c>
      <c r="H83" s="93"/>
      <c r="I83" s="93"/>
      <c r="J83" s="93"/>
      <c r="K83" s="93"/>
      <c r="L83" s="93"/>
      <c r="M83" s="93"/>
      <c r="N83" s="93"/>
      <c r="O83" s="100">
        <v>8</v>
      </c>
      <c r="P83" s="103" t="str">
        <f>IF('6 IM'!F11="YES","CRESTED",IF('6 IM'!I23="L/A",'6 IM'!P11,"H/A"))</f>
        <v>CRESTED</v>
      </c>
      <c r="Q83" s="103" t="str">
        <f>IF('6 IM'!F11="YES","CRESTED",IF('6 IM'!I23="H/A","H/A",'6 IM'!M11))</f>
        <v>CRESTED</v>
      </c>
      <c r="R83" s="106" t="str">
        <f>IF('6 IM'!G11="Yes","CRESTED",IF('6 IM'!I23="L/a","L/A",'6 IM'!P11))</f>
        <v>CRESTED</v>
      </c>
      <c r="S83" s="108" t="str">
        <f>IF('6 IM'!G11="Yes","CRESTED",IF('6 IM'!I23="L/a","L/A",'6 IM'!M11))</f>
        <v>CRESTED</v>
      </c>
      <c r="T83" s="240">
        <f t="shared" si="5"/>
        <v>0</v>
      </c>
      <c r="U83" s="93"/>
    </row>
    <row r="84" spans="1:21" ht="15">
      <c r="A84" s="93"/>
      <c r="B84" s="100">
        <v>9</v>
      </c>
      <c r="C84" s="103" t="str">
        <f>IF('6 HE'!J12="YES","CRESTED",IF('6 HE'!M27="H/A","H/A",'6 HE'!R53+('6 HE'!L27/('6 HE'!K27/1000))))</f>
        <v>CRESTED</v>
      </c>
      <c r="D84" s="103" t="str">
        <f>IF('6 HE'!J12="YES","CRESTED",IF('6 HE'!M27="H/A","H/A",('6 HE'!N53)-(2*('6 HE'!L40))))</f>
        <v>CRESTED</v>
      </c>
      <c r="E84" s="106" t="str">
        <f>IF('6 HE'!K12="yes","CRESTED",(IF('6 HE'!M27="L/A","L/A",'6 HE'!R53+(('6 HE'!L27/'6 HE'!K27/1000)+(('6 HE'!O40)*((('6 HE'!L27/('6 HE'!K27/1000))^2)^0.5))))))</f>
        <v>CRESTED</v>
      </c>
      <c r="F84" s="108" t="str">
        <f>IF('6 HE'!K12="YES","CRESTED",(IF('6 HE'!M27="L/A","L/A",'6 HE'!O53-(2*('6 HE'!L40)))))</f>
        <v>CRESTED</v>
      </c>
      <c r="G84" s="240">
        <f t="shared" si="4"/>
        <v>0</v>
      </c>
      <c r="H84" s="93"/>
      <c r="I84" s="93"/>
      <c r="J84" s="93"/>
      <c r="K84" s="93"/>
      <c r="L84" s="93"/>
      <c r="M84" s="93"/>
      <c r="N84" s="93"/>
      <c r="O84" s="100">
        <v>9</v>
      </c>
      <c r="P84" s="103" t="str">
        <f>IF('6 IM'!F12="YES","CRESTED",IF('6 IM'!I24="L/A",'6 IM'!P12,"H/A"))</f>
        <v>CRESTED</v>
      </c>
      <c r="Q84" s="103" t="str">
        <f>IF('6 IM'!F12="YES","CRESTED",IF('6 IM'!I24="H/A","H/A",'6 IM'!M12))</f>
        <v>CRESTED</v>
      </c>
      <c r="R84" s="106" t="str">
        <f>IF('6 IM'!G12="Yes","CRESTED",IF('6 IM'!I24="L/a","L/A",'6 IM'!P12))</f>
        <v>CRESTED</v>
      </c>
      <c r="S84" s="108" t="str">
        <f>IF('6 IM'!G12="Yes","CRESTED",IF('6 IM'!I24="L/a","L/A",'6 IM'!M12))</f>
        <v>CRESTED</v>
      </c>
      <c r="T84" s="240">
        <f t="shared" si="5"/>
        <v>0</v>
      </c>
      <c r="U84" s="93"/>
    </row>
    <row r="85" spans="1:21" ht="15.75" thickBot="1">
      <c r="A85" s="93"/>
      <c r="B85" s="101">
        <v>10</v>
      </c>
      <c r="C85" s="103" t="str">
        <f>IF('6 HE'!J13="YES","CRESTED",IF('6 HE'!M28="H/A","H/A",'6 HE'!R54+('6 HE'!L28/('6 HE'!K28/1000))))</f>
        <v>CRESTED</v>
      </c>
      <c r="D85" s="103" t="str">
        <f>IF('6 HE'!J13="YES","CRESTED",IF('6 HE'!M28="H/A","H/A",('6 HE'!N54)-(2*('6 HE'!L41))))</f>
        <v>CRESTED</v>
      </c>
      <c r="E85" s="106" t="str">
        <f>IF('6 HE'!K13="yes","CRESTED",(IF('6 HE'!M28="L/A","L/A",'6 HE'!R54+(('6 HE'!L28/'6 HE'!K28/1000)+(('6 HE'!O41)*((('6 HE'!L28/('6 HE'!K28/1000))^2)^0.5))))))</f>
        <v>CRESTED</v>
      </c>
      <c r="F85" s="108" t="str">
        <f>IF('6 HE'!K13="YES","CRESTED",(IF('6 HE'!M28="L/A","L/A",'6 HE'!O54-(2*('6 HE'!L41)))))</f>
        <v>CRESTED</v>
      </c>
      <c r="G85" s="240">
        <f t="shared" si="4"/>
        <v>0</v>
      </c>
      <c r="H85" s="93"/>
      <c r="I85" s="93"/>
      <c r="J85" s="93"/>
      <c r="K85" s="93"/>
      <c r="L85" s="93"/>
      <c r="M85" s="93"/>
      <c r="N85" s="93"/>
      <c r="O85" s="101">
        <v>10</v>
      </c>
      <c r="P85" s="103" t="str">
        <f>IF('6 IM'!F13="YES","CRESTED",IF('6 IM'!I25="L/A",'6 IM'!P13,"H/A"))</f>
        <v>CRESTED</v>
      </c>
      <c r="Q85" s="103" t="str">
        <f>IF('6 IM'!F13="YES","CRESTED",IF('6 IM'!I25="H/A","H/A",'6 IM'!M13))</f>
        <v>CRESTED</v>
      </c>
      <c r="R85" s="106" t="str">
        <f>IF('6 IM'!G13="Yes","CRESTED",IF('6 IM'!I25="L/a","L/A",'6 IM'!P13))</f>
        <v>CRESTED</v>
      </c>
      <c r="S85" s="108" t="str">
        <f>IF('6 IM'!G13="Yes","CRESTED",IF('6 IM'!I25="L/a","L/A",'6 IM'!M13))</f>
        <v>CRESTED</v>
      </c>
      <c r="T85" s="240">
        <f t="shared" si="5"/>
        <v>0</v>
      </c>
      <c r="U85" s="93"/>
    </row>
    <row r="86" spans="1:21">
      <c r="A86" s="93"/>
      <c r="B86" s="93"/>
      <c r="C86" s="93"/>
      <c r="D86" s="93"/>
      <c r="E86" s="93"/>
      <c r="F86" s="93"/>
      <c r="G86" s="238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238"/>
      <c r="U86" s="93"/>
    </row>
    <row r="87" spans="1:21" ht="15" thickBot="1">
      <c r="A87" s="93"/>
      <c r="B87" s="93"/>
      <c r="C87" s="93"/>
      <c r="D87" s="93"/>
      <c r="E87" s="93"/>
      <c r="F87" s="93"/>
      <c r="G87" s="238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238"/>
      <c r="U87" s="93"/>
    </row>
    <row r="88" spans="1:21" ht="15.75" thickBot="1">
      <c r="A88" s="93"/>
      <c r="B88" s="251" t="s">
        <v>96</v>
      </c>
      <c r="C88" s="252"/>
      <c r="D88" s="252"/>
      <c r="E88" s="252"/>
      <c r="F88" s="252"/>
      <c r="G88" s="253"/>
      <c r="H88" s="93"/>
      <c r="I88" s="93"/>
      <c r="J88" s="93"/>
      <c r="K88" s="93"/>
      <c r="L88" s="93"/>
      <c r="M88" s="93"/>
      <c r="N88" s="93"/>
      <c r="O88" s="254" t="s">
        <v>97</v>
      </c>
      <c r="P88" s="255"/>
      <c r="Q88" s="255"/>
      <c r="R88" s="255"/>
      <c r="S88" s="255"/>
      <c r="T88" s="256"/>
      <c r="U88" s="93"/>
    </row>
    <row r="89" spans="1:21" ht="15">
      <c r="A89" s="93"/>
      <c r="B89" s="99" t="s">
        <v>12</v>
      </c>
      <c r="C89" s="102" t="s">
        <v>8</v>
      </c>
      <c r="D89" s="102" t="s">
        <v>9</v>
      </c>
      <c r="E89" s="105" t="s">
        <v>10</v>
      </c>
      <c r="F89" s="105" t="s">
        <v>11</v>
      </c>
      <c r="G89" s="239" t="s">
        <v>0</v>
      </c>
      <c r="H89" s="93"/>
      <c r="I89" s="93"/>
      <c r="J89" s="93"/>
      <c r="K89" s="93"/>
      <c r="L89" s="93"/>
      <c r="M89" s="93"/>
      <c r="N89" s="93"/>
      <c r="O89" s="99" t="s">
        <v>12</v>
      </c>
      <c r="P89" s="102" t="s">
        <v>8</v>
      </c>
      <c r="Q89" s="102" t="s">
        <v>9</v>
      </c>
      <c r="R89" s="105" t="s">
        <v>10</v>
      </c>
      <c r="S89" s="105" t="s">
        <v>11</v>
      </c>
      <c r="T89" s="239" t="s">
        <v>0</v>
      </c>
      <c r="U89" s="93"/>
    </row>
    <row r="90" spans="1:21" ht="15">
      <c r="A90" s="93"/>
      <c r="B90" s="100">
        <v>1</v>
      </c>
      <c r="C90" s="103" t="str">
        <f>IF('7 HE'!J4="YES","CRESTED",IF('7 HE'!M19="H/A","H/A",'7 HE'!R45+('7 HE'!L19/('7 HE'!K19/1000))))</f>
        <v>CRESTED</v>
      </c>
      <c r="D90" s="103" t="str">
        <f>IF('7 HE'!J4="YES","CRESTED",IF('7 HE'!M19="H/A","H/A",('7 HE'!N45)-(2*('7 HE'!L32))))</f>
        <v>CRESTED</v>
      </c>
      <c r="E90" s="106" t="str">
        <f>IF('7 HE'!K4="yes","CRESTED",(IF('7 HE'!M19="L/A","L/A",'7 HE'!R45+(('7 HE'!L19/'7 HE'!K19/1000)+(('7 HE'!O32)*((('7 HE'!L19/('7 HE'!K19/1000))^2)^0.5))))))</f>
        <v>CRESTED</v>
      </c>
      <c r="F90" s="108" t="str">
        <f>IF('7 HE'!K4="YES","CRESTED",(IF('7 HE'!M19="L/A","L/A",'7 HE'!O45-(2*('7 HE'!L32)))))</f>
        <v>CRESTED</v>
      </c>
      <c r="G90" s="240">
        <f>G76</f>
        <v>0</v>
      </c>
      <c r="H90" s="93"/>
      <c r="I90" s="93"/>
      <c r="J90" s="93"/>
      <c r="K90" s="93"/>
      <c r="L90" s="93"/>
      <c r="M90" s="93"/>
      <c r="N90" s="93"/>
      <c r="O90" s="100">
        <v>1</v>
      </c>
      <c r="P90" s="103" t="str">
        <f>IF('7 IM'!F4="YES","CRESTED",IF('7 IM'!I16="L/A",'7 IM'!P4,"H/A"))</f>
        <v>CRESTED</v>
      </c>
      <c r="Q90" s="103" t="str">
        <f>IF('7 IM'!F4="YES","CRESTED",IF('7 IM'!I16="H/A","H/A",'7 IM'!M4))</f>
        <v>CRESTED</v>
      </c>
      <c r="R90" s="106" t="str">
        <f>IF('7 IM'!G4="Yes","CRESTED",IF('7 IM'!I16="L/a","L/A",'7 IM'!P4))</f>
        <v>CRESTED</v>
      </c>
      <c r="S90" s="108" t="str">
        <f>IF('7 IM'!G4="Yes","CRESTED",IF('7 IM'!I16="L/a","L/A",'7 IM'!P4))</f>
        <v>CRESTED</v>
      </c>
      <c r="T90" s="240">
        <f>T76</f>
        <v>0</v>
      </c>
      <c r="U90" s="93"/>
    </row>
    <row r="91" spans="1:21" ht="15">
      <c r="A91" s="93"/>
      <c r="B91" s="100">
        <v>2</v>
      </c>
      <c r="C91" s="103" t="str">
        <f>IF('7 HE'!J5="YES","CRESTED",IF('7 HE'!M20="H/A","H/A",'7 HE'!R46+('7 HE'!L20/('7 HE'!K20/1000))))</f>
        <v>CRESTED</v>
      </c>
      <c r="D91" s="103" t="str">
        <f>IF('7 HE'!J5="YES","CRESTED",IF('7 HE'!M20="H/A","H/A",('7 HE'!N46)-(2*('7 HE'!L33))))</f>
        <v>CRESTED</v>
      </c>
      <c r="E91" s="106" t="str">
        <f>IF('7 HE'!K5="yes","CRESTED",(IF('7 HE'!M20="L/A","L/A",'7 HE'!R46+(('7 HE'!L20/'7 HE'!K20/1000)+(('7 HE'!O33)*((('7 HE'!L20/('7 HE'!K20/1000))^2)^0.5))))))</f>
        <v>CRESTED</v>
      </c>
      <c r="F91" s="108" t="str">
        <f>IF('7 HE'!K5="YES","CRESTED",(IF('7 HE'!M20="L/A","L/A",'7 HE'!O46-(2*('7 HE'!L33)))))</f>
        <v>CRESTED</v>
      </c>
      <c r="G91" s="240">
        <f t="shared" ref="G91:G99" si="6">G77</f>
        <v>0</v>
      </c>
      <c r="H91" s="93"/>
      <c r="I91" s="93"/>
      <c r="J91" s="93"/>
      <c r="K91" s="93"/>
      <c r="L91" s="93"/>
      <c r="M91" s="93"/>
      <c r="N91" s="93"/>
      <c r="O91" s="100">
        <v>2</v>
      </c>
      <c r="P91" s="103" t="str">
        <f>IF('7 IM'!F5="YES","CRESTED",IF('7 IM'!I17="L/A",'7 IM'!P5,"H/A"))</f>
        <v>CRESTED</v>
      </c>
      <c r="Q91" s="103" t="str">
        <f>IF('7 IM'!F5="YES","CRESTED",IF('7 IM'!I17="H/A","H/A",'7 IM'!M5))</f>
        <v>CRESTED</v>
      </c>
      <c r="R91" s="106" t="str">
        <f>IF('7 IM'!G5="Yes","CRESTED",IF('7 IM'!I17="L/a","L/A",'7 IM'!P5))</f>
        <v>CRESTED</v>
      </c>
      <c r="S91" s="108" t="str">
        <f>IF('7 IM'!G5="Yes","CRESTED",IF('7 IM'!I17="L/a","L/A",'7 IM'!P5))</f>
        <v>CRESTED</v>
      </c>
      <c r="T91" s="240">
        <f t="shared" ref="T91:T99" si="7">T77</f>
        <v>0</v>
      </c>
      <c r="U91" s="93"/>
    </row>
    <row r="92" spans="1:21" ht="15">
      <c r="A92" s="93"/>
      <c r="B92" s="100">
        <v>3</v>
      </c>
      <c r="C92" s="103" t="str">
        <f>IF('7 HE'!J6="YES","CRESTED",IF('7 HE'!M21="H/A","H/A",'7 HE'!R47+('7 HE'!L21/('7 HE'!K21/1000))))</f>
        <v>CRESTED</v>
      </c>
      <c r="D92" s="103" t="str">
        <f>IF('7 HE'!J6="YES","CRESTED",IF('7 HE'!M21="H/A","H/A",('7 HE'!N47)-(2*('7 HE'!L34))))</f>
        <v>CRESTED</v>
      </c>
      <c r="E92" s="106" t="str">
        <f>IF('7 HE'!K6="yes","CRESTED",(IF('7 HE'!M21="L/A","L/A",'7 HE'!R47+(('7 HE'!L21/'7 HE'!K21/1000)+(('7 HE'!O34)*((('7 HE'!L21/('7 HE'!K21/1000))^2)^0.5))))))</f>
        <v>CRESTED</v>
      </c>
      <c r="F92" s="108" t="str">
        <f>IF('7 HE'!K6="YES","CRESTED",(IF('7 HE'!M21="L/A","L/A",'7 HE'!O47-(2*('7 HE'!L34)))))</f>
        <v>CRESTED</v>
      </c>
      <c r="G92" s="240">
        <f t="shared" si="6"/>
        <v>0</v>
      </c>
      <c r="H92" s="93"/>
      <c r="I92" s="93"/>
      <c r="J92" s="93"/>
      <c r="K92" s="93"/>
      <c r="L92" s="93"/>
      <c r="M92" s="93"/>
      <c r="N92" s="93"/>
      <c r="O92" s="100">
        <v>3</v>
      </c>
      <c r="P92" s="103" t="str">
        <f>IF('7 IM'!F6="YES","CRESTED",IF('7 IM'!I18="L/A",'7 IM'!P6,"H/A"))</f>
        <v>CRESTED</v>
      </c>
      <c r="Q92" s="103" t="str">
        <f>IF('7 IM'!F6="YES","CRESTED",IF('7 IM'!I18="H/A","H/A",'7 IM'!M6))</f>
        <v>CRESTED</v>
      </c>
      <c r="R92" s="106" t="str">
        <f>IF('7 IM'!G6="Yes","CRESTED",IF('7 IM'!I18="L/a","L/A",'7 IM'!P6))</f>
        <v>CRESTED</v>
      </c>
      <c r="S92" s="108" t="str">
        <f>IF('7 IM'!G6="Yes","CRESTED",IF('7 IM'!I18="L/a","L/A",'7 IM'!P6))</f>
        <v>CRESTED</v>
      </c>
      <c r="T92" s="240">
        <f t="shared" si="7"/>
        <v>0</v>
      </c>
      <c r="U92" s="93"/>
    </row>
    <row r="93" spans="1:21" ht="15">
      <c r="A93" s="93"/>
      <c r="B93" s="100">
        <v>4</v>
      </c>
      <c r="C93" s="103" t="str">
        <f>IF('7 HE'!J7="YES","CRESTED",IF('7 HE'!M22="H/A","H/A",'7 HE'!R48+('7 HE'!L22/('7 HE'!K22/1000))))</f>
        <v>CRESTED</v>
      </c>
      <c r="D93" s="103" t="str">
        <f>IF('7 HE'!J7="YES","CRESTED",IF('7 HE'!M22="H/A","H/A",('7 HE'!N48)-(2*('7 HE'!L35))))</f>
        <v>CRESTED</v>
      </c>
      <c r="E93" s="106" t="str">
        <f>IF('7 HE'!K7="yes","CRESTED",(IF('7 HE'!M22="L/A","L/A",'7 HE'!R48+(('7 HE'!L22/'7 HE'!K22/1000)+(('7 HE'!O35)*((('7 HE'!L22/('7 HE'!K22/1000))^2)^0.5))))))</f>
        <v>CRESTED</v>
      </c>
      <c r="F93" s="108" t="str">
        <f>IF('7 HE'!K7="YES","CRESTED",(IF('7 HE'!M22="L/A","L/A",'7 HE'!O48-(2*('7 HE'!L35)))))</f>
        <v>CRESTED</v>
      </c>
      <c r="G93" s="240">
        <f t="shared" si="6"/>
        <v>0</v>
      </c>
      <c r="H93" s="93"/>
      <c r="I93" s="93"/>
      <c r="J93" s="93"/>
      <c r="K93" s="93"/>
      <c r="L93" s="93"/>
      <c r="M93" s="93"/>
      <c r="N93" s="93"/>
      <c r="O93" s="100">
        <v>4</v>
      </c>
      <c r="P93" s="103" t="str">
        <f>IF('7 IM'!F7="YES","CRESTED",IF('7 IM'!I19="L/A",'7 IM'!P7,"H/A"))</f>
        <v>CRESTED</v>
      </c>
      <c r="Q93" s="103" t="str">
        <f>IF('7 IM'!F7="YES","CRESTED",IF('7 IM'!I19="H/A","H/A",'7 IM'!M7))</f>
        <v>CRESTED</v>
      </c>
      <c r="R93" s="106" t="str">
        <f>IF('7 IM'!G7="Yes","CRESTED",IF('7 IM'!I19="L/a","L/A",'7 IM'!P7))</f>
        <v>CRESTED</v>
      </c>
      <c r="S93" s="108" t="str">
        <f>IF('7 IM'!G7="Yes","CRESTED",IF('7 IM'!I19="L/a","L/A",'7 IM'!P7))</f>
        <v>CRESTED</v>
      </c>
      <c r="T93" s="240">
        <f t="shared" si="7"/>
        <v>0</v>
      </c>
      <c r="U93" s="93"/>
    </row>
    <row r="94" spans="1:21" ht="15">
      <c r="A94" s="93"/>
      <c r="B94" s="100">
        <v>5</v>
      </c>
      <c r="C94" s="103" t="str">
        <f>IF('7 HE'!J8="YES","CRESTED",IF('7 HE'!M23="H/A","H/A",'7 HE'!R49+('7 HE'!L23/('7 HE'!K23/1000))))</f>
        <v>CRESTED</v>
      </c>
      <c r="D94" s="103" t="str">
        <f>IF('7 HE'!J8="YES","CRESTED",IF('7 HE'!M23="H/A","H/A",('7 HE'!N49)-(2*('7 HE'!L36))))</f>
        <v>CRESTED</v>
      </c>
      <c r="E94" s="106" t="str">
        <f>IF('7 HE'!K8="yes","CRESTED",(IF('7 HE'!M23="L/A","L/A",'7 HE'!R49+(('7 HE'!L23/'7 HE'!K23/1000)+(('7 HE'!O36)*((('7 HE'!L23/('7 HE'!K23/1000))^2)^0.5))))))</f>
        <v>CRESTED</v>
      </c>
      <c r="F94" s="108" t="str">
        <f>IF('7 HE'!K8="YES","CRESTED",(IF('7 HE'!M23="L/A","L/A",'7 HE'!O49-(2*('7 HE'!L36)))))</f>
        <v>CRESTED</v>
      </c>
      <c r="G94" s="240">
        <f t="shared" si="6"/>
        <v>0</v>
      </c>
      <c r="H94" s="93"/>
      <c r="I94" s="93"/>
      <c r="J94" s="93"/>
      <c r="K94" s="93"/>
      <c r="L94" s="93"/>
      <c r="M94" s="93"/>
      <c r="N94" s="93"/>
      <c r="O94" s="100">
        <v>5</v>
      </c>
      <c r="P94" s="103" t="str">
        <f>IF('7 IM'!F8="YES","CRESTED",IF('7 IM'!I20="L/A",'7 IM'!P8,"H/A"))</f>
        <v>CRESTED</v>
      </c>
      <c r="Q94" s="103" t="str">
        <f>IF('7 IM'!F8="YES","CRESTED",IF('7 IM'!I20="H/A","H/A",'7 IM'!M8))</f>
        <v>CRESTED</v>
      </c>
      <c r="R94" s="106" t="str">
        <f>IF('7 IM'!G8="Yes","CRESTED",IF('7 IM'!I20="L/a","L/A",'7 IM'!P8))</f>
        <v>CRESTED</v>
      </c>
      <c r="S94" s="108" t="str">
        <f>IF('7 IM'!G8="Yes","CRESTED",IF('7 IM'!I20="L/a","L/A",'7 IM'!P8))</f>
        <v>CRESTED</v>
      </c>
      <c r="T94" s="240">
        <f t="shared" si="7"/>
        <v>0</v>
      </c>
      <c r="U94" s="93"/>
    </row>
    <row r="95" spans="1:21" ht="15">
      <c r="A95" s="93"/>
      <c r="B95" s="100">
        <v>6</v>
      </c>
      <c r="C95" s="103" t="str">
        <f>IF('7 HE'!J9="YES","CRESTED",IF('7 HE'!M24="H/A","H/A",'7 HE'!R50+('7 HE'!L24/('7 HE'!K24/1000))))</f>
        <v>CRESTED</v>
      </c>
      <c r="D95" s="103" t="str">
        <f>IF('7 HE'!J9="YES","CRESTED",IF('7 HE'!M24="H/A","H/A",('7 HE'!N50)-(2*('7 HE'!L37))))</f>
        <v>CRESTED</v>
      </c>
      <c r="E95" s="106" t="str">
        <f>IF('7 HE'!K9="yes","CRESTED",(IF('7 HE'!M24="L/A","L/A",'7 HE'!R50+(('7 HE'!L24/'7 HE'!K24/1000)+(('7 HE'!O37)*((('7 HE'!L24/('7 HE'!K24/1000))^2)^0.5))))))</f>
        <v>CRESTED</v>
      </c>
      <c r="F95" s="108" t="str">
        <f>IF('7 HE'!K9="YES","CRESTED",(IF('7 HE'!M24="L/A","L/A",'7 HE'!O50-(2*('7 HE'!L37)))))</f>
        <v>CRESTED</v>
      </c>
      <c r="G95" s="240">
        <f t="shared" si="6"/>
        <v>0</v>
      </c>
      <c r="H95" s="93"/>
      <c r="I95" s="93"/>
      <c r="J95" s="93"/>
      <c r="K95" s="93"/>
      <c r="L95" s="93"/>
      <c r="M95" s="93"/>
      <c r="N95" s="93"/>
      <c r="O95" s="100">
        <v>6</v>
      </c>
      <c r="P95" s="103" t="str">
        <f>IF('7 IM'!F9="YES","CRESTED",IF('7 IM'!I21="L/A",'7 IM'!P9,"H/A"))</f>
        <v>CRESTED</v>
      </c>
      <c r="Q95" s="103" t="str">
        <f>IF('7 IM'!F9="YES","CRESTED",IF('7 IM'!I21="H/A","H/A",'7 IM'!M9))</f>
        <v>CRESTED</v>
      </c>
      <c r="R95" s="106" t="str">
        <f>IF('7 IM'!G9="Yes","CRESTED",IF('7 IM'!I21="L/a","L/A",'7 IM'!P9))</f>
        <v>CRESTED</v>
      </c>
      <c r="S95" s="108" t="str">
        <f>IF('7 IM'!G9="Yes","CRESTED",IF('7 IM'!I21="L/a","L/A",'7 IM'!P9))</f>
        <v>CRESTED</v>
      </c>
      <c r="T95" s="240">
        <f t="shared" si="7"/>
        <v>0</v>
      </c>
      <c r="U95" s="93"/>
    </row>
    <row r="96" spans="1:21" ht="15">
      <c r="A96" s="93"/>
      <c r="B96" s="100">
        <v>7</v>
      </c>
      <c r="C96" s="103" t="str">
        <f>IF('7 HE'!J10="YES","CRESTED",IF('7 HE'!M25="H/A","H/A",'7 HE'!R51+('7 HE'!L25/('7 HE'!K25/1000))))</f>
        <v>CRESTED</v>
      </c>
      <c r="D96" s="103" t="str">
        <f>IF('7 HE'!J10="YES","CRESTED",IF('7 HE'!M25="H/A","H/A",('7 HE'!N51)-(2*('7 HE'!L38))))</f>
        <v>CRESTED</v>
      </c>
      <c r="E96" s="106" t="str">
        <f>IF('7 HE'!K10="yes","CRESTED",(IF('7 HE'!M25="L/A","L/A",'7 HE'!R51+(('7 HE'!L25/'7 HE'!K25/1000)+(('7 HE'!O38)*((('7 HE'!L25/('7 HE'!K25/1000))^2)^0.5))))))</f>
        <v>CRESTED</v>
      </c>
      <c r="F96" s="108" t="str">
        <f>IF('7 HE'!K10="YES","CRESTED",(IF('7 HE'!M25="L/A","L/A",'7 HE'!O51-(2*('7 HE'!L38)))))</f>
        <v>CRESTED</v>
      </c>
      <c r="G96" s="240">
        <f t="shared" si="6"/>
        <v>0</v>
      </c>
      <c r="H96" s="93"/>
      <c r="I96" s="93"/>
      <c r="J96" s="93"/>
      <c r="K96" s="93"/>
      <c r="L96" s="93"/>
      <c r="M96" s="93"/>
      <c r="N96" s="93"/>
      <c r="O96" s="100">
        <v>7</v>
      </c>
      <c r="P96" s="103" t="str">
        <f>IF('7 IM'!F10="YES","CRESTED",IF('7 IM'!I22="L/A",'7 IM'!P10,"H/A"))</f>
        <v>CRESTED</v>
      </c>
      <c r="Q96" s="103" t="str">
        <f>IF('7 IM'!F10="YES","CRESTED",IF('7 IM'!I22="H/A","H/A",'7 IM'!M10))</f>
        <v>CRESTED</v>
      </c>
      <c r="R96" s="106" t="str">
        <f>IF('7 IM'!G10="Yes","CRESTED",IF('7 IM'!I22="L/a","L/A",'7 IM'!P10))</f>
        <v>CRESTED</v>
      </c>
      <c r="S96" s="108" t="str">
        <f>IF('7 IM'!G10="Yes","CRESTED",IF('7 IM'!I22="L/a","L/A",'7 IM'!P10))</f>
        <v>CRESTED</v>
      </c>
      <c r="T96" s="240">
        <f t="shared" si="7"/>
        <v>0</v>
      </c>
      <c r="U96" s="93"/>
    </row>
    <row r="97" spans="1:21" ht="15">
      <c r="A97" s="93"/>
      <c r="B97" s="100">
        <v>8</v>
      </c>
      <c r="C97" s="103" t="str">
        <f>IF('7 HE'!J11="YES","CRESTED",IF('7 HE'!M26="H/A","H/A",'7 HE'!R52+('7 HE'!L26/('7 HE'!K26/1000))))</f>
        <v>CRESTED</v>
      </c>
      <c r="D97" s="103" t="str">
        <f>IF('7 HE'!J11="YES","CRESTED",IF('7 HE'!M26="H/A","H/A",('7 HE'!N52)-(2*('7 HE'!L39))))</f>
        <v>CRESTED</v>
      </c>
      <c r="E97" s="106" t="str">
        <f>IF('7 HE'!K11="yes","CRESTED",(IF('7 HE'!M26="L/A","L/A",'7 HE'!R52+(('7 HE'!L26/'7 HE'!K26/1000)+(('7 HE'!O39)*((('7 HE'!L26/('7 HE'!K26/1000))^2)^0.5))))))</f>
        <v>CRESTED</v>
      </c>
      <c r="F97" s="108" t="str">
        <f>IF('7 HE'!K11="YES","CRESTED",(IF('7 HE'!M26="L/A","L/A",'7 HE'!O52-(2*('7 HE'!L39)))))</f>
        <v>CRESTED</v>
      </c>
      <c r="G97" s="240">
        <f t="shared" si="6"/>
        <v>0</v>
      </c>
      <c r="H97" s="93"/>
      <c r="I97" s="93"/>
      <c r="J97" s="93"/>
      <c r="K97" s="93"/>
      <c r="L97" s="93"/>
      <c r="M97" s="93"/>
      <c r="N97" s="93"/>
      <c r="O97" s="100">
        <v>8</v>
      </c>
      <c r="P97" s="103" t="str">
        <f>IF('7 IM'!F11="YES","CRESTED",IF('7 IM'!I23="L/A",'7 IM'!P11,"H/A"))</f>
        <v>CRESTED</v>
      </c>
      <c r="Q97" s="103" t="str">
        <f>IF('7 IM'!F11="YES","CRESTED",IF('7 IM'!I23="H/A","H/A",'7 IM'!M11))</f>
        <v>CRESTED</v>
      </c>
      <c r="R97" s="106" t="str">
        <f>IF('7 IM'!G11="Yes","CRESTED",IF('7 IM'!I23="L/a","L/A",'7 IM'!P11))</f>
        <v>CRESTED</v>
      </c>
      <c r="S97" s="108" t="str">
        <f>IF('7 IM'!G11="Yes","CRESTED",IF('7 IM'!I23="L/a","L/A",'7 IM'!P11))</f>
        <v>CRESTED</v>
      </c>
      <c r="T97" s="240">
        <f t="shared" si="7"/>
        <v>0</v>
      </c>
      <c r="U97" s="93"/>
    </row>
    <row r="98" spans="1:21" ht="15">
      <c r="A98" s="93"/>
      <c r="B98" s="100">
        <v>9</v>
      </c>
      <c r="C98" s="103" t="str">
        <f>IF('7 HE'!J12="YES","CRESTED",IF('7 HE'!M27="H/A","H/A",'7 HE'!R53+('7 HE'!L27/('7 HE'!K27/1000))))</f>
        <v>CRESTED</v>
      </c>
      <c r="D98" s="103" t="str">
        <f>IF('7 HE'!J12="YES","CRESTED",IF('7 HE'!M27="H/A","H/A",('7 HE'!N53)-(2*('7 HE'!L40))))</f>
        <v>CRESTED</v>
      </c>
      <c r="E98" s="106" t="str">
        <f>IF('7 HE'!K12="yes","CRESTED",(IF('7 HE'!M27="L/A","L/A",'7 HE'!R53+(('7 HE'!L27/'7 HE'!K27/1000)+(('7 HE'!O40)*((('7 HE'!L27/('7 HE'!K27/1000))^2)^0.5))))))</f>
        <v>CRESTED</v>
      </c>
      <c r="F98" s="108" t="str">
        <f>IF('7 HE'!K12="YES","CRESTED",(IF('7 HE'!M27="L/A","L/A",'7 HE'!O53-(2*('7 HE'!L40)))))</f>
        <v>CRESTED</v>
      </c>
      <c r="G98" s="240">
        <f t="shared" si="6"/>
        <v>0</v>
      </c>
      <c r="H98" s="93"/>
      <c r="I98" s="93"/>
      <c r="J98" s="93"/>
      <c r="K98" s="93"/>
      <c r="L98" s="93"/>
      <c r="M98" s="93"/>
      <c r="N98" s="93"/>
      <c r="O98" s="100">
        <v>9</v>
      </c>
      <c r="P98" s="103" t="str">
        <f>IF('7 IM'!F12="YES","CRESTED",IF('7 IM'!I24="L/A",'7 IM'!P12,"H/A"))</f>
        <v>CRESTED</v>
      </c>
      <c r="Q98" s="103" t="str">
        <f>IF('7 IM'!F12="YES","CRESTED",IF('7 IM'!I24="H/A","H/A",'7 IM'!M12))</f>
        <v>CRESTED</v>
      </c>
      <c r="R98" s="106" t="str">
        <f>IF('7 IM'!G12="Yes","CRESTED",IF('7 IM'!I24="L/a","L/A",'7 IM'!P12))</f>
        <v>CRESTED</v>
      </c>
      <c r="S98" s="108" t="str">
        <f>IF('7 IM'!G12="Yes","CRESTED",IF('7 IM'!I24="L/a","L/A",'7 IM'!P12))</f>
        <v>CRESTED</v>
      </c>
      <c r="T98" s="240">
        <f t="shared" si="7"/>
        <v>0</v>
      </c>
      <c r="U98" s="93"/>
    </row>
    <row r="99" spans="1:21" ht="15.75" thickBot="1">
      <c r="A99" s="93"/>
      <c r="B99" s="101">
        <v>10</v>
      </c>
      <c r="C99" s="103" t="str">
        <f>IF('7 HE'!J13="YES","CRESTED",IF('7 HE'!M28="H/A","H/A",'7 HE'!R54+('7 HE'!L28/('7 HE'!K28/1000))))</f>
        <v>CRESTED</v>
      </c>
      <c r="D99" s="103" t="str">
        <f>IF('7 HE'!J13="YES","CRESTED",IF('7 HE'!M28="H/A","H/A",('7 HE'!N54)-(2*('7 HE'!L41))))</f>
        <v>CRESTED</v>
      </c>
      <c r="E99" s="106" t="str">
        <f>IF('7 HE'!K13="yes","CRESTED",(IF('7 HE'!M28="L/A","L/A",'7 HE'!R54+(('7 HE'!L28/'7 HE'!K28/1000)+(('7 HE'!O41)*((('7 HE'!L28/('7 HE'!K28/1000))^2)^0.5))))))</f>
        <v>CRESTED</v>
      </c>
      <c r="F99" s="108" t="str">
        <f>IF('7 HE'!K13="YES","CRESTED",(IF('7 HE'!M28="L/A","L/A",'7 HE'!O54-(2*('7 HE'!L41)))))</f>
        <v>CRESTED</v>
      </c>
      <c r="G99" s="240">
        <f t="shared" si="6"/>
        <v>0</v>
      </c>
      <c r="H99" s="93"/>
      <c r="I99" s="93"/>
      <c r="J99" s="93"/>
      <c r="K99" s="93"/>
      <c r="L99" s="93"/>
      <c r="M99" s="93"/>
      <c r="N99" s="93"/>
      <c r="O99" s="101">
        <v>10</v>
      </c>
      <c r="P99" s="103" t="str">
        <f>IF('7 IM'!F13="YES","CRESTED",IF('7 IM'!I25="L/A",'7 IM'!P13,"H/A"))</f>
        <v>CRESTED</v>
      </c>
      <c r="Q99" s="103" t="str">
        <f>IF('7 IM'!F13="YES","CRESTED",IF('7 IM'!I25="H/A","H/A",'7 IM'!M13))</f>
        <v>CRESTED</v>
      </c>
      <c r="R99" s="106" t="str">
        <f>IF('7 IM'!G13="Yes","CRESTED",IF('7 IM'!I25="L/a","L/A",'7 IM'!P13))</f>
        <v>CRESTED</v>
      </c>
      <c r="S99" s="108" t="str">
        <f>IF('7 IM'!G13="Yes","CRESTED",IF('7 IM'!I25="L/a","L/A",'7 IM'!P13))</f>
        <v>CRESTED</v>
      </c>
      <c r="T99" s="240">
        <f t="shared" si="7"/>
        <v>0</v>
      </c>
      <c r="U99" s="93"/>
    </row>
    <row r="100" spans="1:21">
      <c r="A100" s="93"/>
      <c r="B100" s="93"/>
      <c r="C100" s="93"/>
      <c r="D100" s="93"/>
      <c r="E100" s="93"/>
      <c r="F100" s="93"/>
      <c r="G100" s="238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238"/>
      <c r="U100" s="93"/>
    </row>
    <row r="101" spans="1:21">
      <c r="A101" s="93"/>
      <c r="B101" s="93"/>
      <c r="C101" s="93"/>
      <c r="D101" s="93"/>
      <c r="E101" s="93"/>
      <c r="F101" s="93"/>
      <c r="G101" s="238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238"/>
      <c r="U101" s="93"/>
    </row>
    <row r="102" spans="1:21">
      <c r="A102" s="93"/>
      <c r="B102" s="93"/>
      <c r="C102" s="93"/>
      <c r="D102" s="93"/>
      <c r="E102" s="93"/>
      <c r="F102" s="93"/>
      <c r="G102" s="238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238"/>
      <c r="U102" s="93"/>
    </row>
    <row r="103" spans="1:21">
      <c r="A103" s="93"/>
      <c r="B103" s="93"/>
      <c r="C103" s="93"/>
      <c r="D103" s="93"/>
      <c r="E103" s="93"/>
      <c r="F103" s="93"/>
      <c r="G103" s="238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238"/>
      <c r="U103" s="93"/>
    </row>
    <row r="104" spans="1:21">
      <c r="A104" s="93"/>
      <c r="B104" s="93"/>
      <c r="C104" s="93"/>
      <c r="D104" s="93"/>
      <c r="E104" s="93"/>
      <c r="F104" s="93"/>
      <c r="G104" s="238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238"/>
      <c r="U104" s="93"/>
    </row>
    <row r="105" spans="1:21">
      <c r="A105" s="93"/>
      <c r="B105" s="93"/>
      <c r="C105" s="93"/>
      <c r="D105" s="93"/>
      <c r="E105" s="93"/>
      <c r="F105" s="93"/>
      <c r="G105" s="238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238"/>
      <c r="U105" s="93"/>
    </row>
    <row r="106" spans="1:21">
      <c r="A106" s="93"/>
      <c r="B106" s="93"/>
      <c r="C106" s="93"/>
      <c r="D106" s="93"/>
      <c r="E106" s="93"/>
      <c r="F106" s="93"/>
      <c r="G106" s="238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238"/>
      <c r="U106" s="93"/>
    </row>
    <row r="107" spans="1:21">
      <c r="A107" s="93"/>
      <c r="B107" s="93"/>
      <c r="C107" s="93"/>
      <c r="D107" s="93"/>
      <c r="E107" s="93"/>
      <c r="F107" s="93"/>
      <c r="G107" s="238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238"/>
      <c r="U107" s="93"/>
    </row>
    <row r="108" spans="1:21">
      <c r="A108" s="93"/>
      <c r="B108" s="93"/>
      <c r="C108" s="93"/>
      <c r="D108" s="93"/>
      <c r="E108" s="93"/>
      <c r="F108" s="93"/>
      <c r="G108" s="238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238"/>
      <c r="U108" s="93"/>
    </row>
    <row r="109" spans="1:21">
      <c r="A109" s="93"/>
      <c r="B109" s="93"/>
      <c r="C109" s="93"/>
      <c r="D109" s="93"/>
      <c r="E109" s="93"/>
      <c r="F109" s="93"/>
      <c r="G109" s="238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238"/>
      <c r="U109" s="93"/>
    </row>
    <row r="110" spans="1:21">
      <c r="A110" s="93"/>
      <c r="B110" s="93"/>
      <c r="C110" s="93"/>
      <c r="D110" s="93"/>
      <c r="E110" s="93"/>
      <c r="F110" s="93"/>
      <c r="G110" s="238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238"/>
      <c r="U110" s="93"/>
    </row>
    <row r="111" spans="1:21">
      <c r="A111" s="93"/>
      <c r="B111" s="93"/>
      <c r="C111" s="93"/>
      <c r="D111" s="93"/>
      <c r="E111" s="93"/>
      <c r="F111" s="93"/>
      <c r="G111" s="238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238"/>
      <c r="U111" s="93"/>
    </row>
    <row r="112" spans="1:21">
      <c r="A112" s="93"/>
      <c r="B112" s="93"/>
      <c r="C112" s="93"/>
      <c r="D112" s="93"/>
      <c r="E112" s="93"/>
      <c r="F112" s="93"/>
      <c r="G112" s="238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238"/>
      <c r="U112" s="93"/>
    </row>
    <row r="113" spans="1:21">
      <c r="A113" s="93"/>
      <c r="B113" s="93"/>
      <c r="C113" s="93"/>
      <c r="D113" s="93"/>
      <c r="E113" s="93"/>
      <c r="F113" s="93"/>
      <c r="G113" s="238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238"/>
      <c r="U113" s="93"/>
    </row>
    <row r="114" spans="1:21">
      <c r="A114" s="93"/>
      <c r="B114" s="93"/>
      <c r="C114" s="93"/>
      <c r="D114" s="93"/>
      <c r="E114" s="93"/>
      <c r="F114" s="93"/>
      <c r="G114" s="238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238"/>
      <c r="U114" s="93"/>
    </row>
    <row r="115" spans="1:21">
      <c r="A115" s="93"/>
      <c r="B115" s="93"/>
      <c r="C115" s="93"/>
      <c r="D115" s="93"/>
      <c r="E115" s="93"/>
      <c r="F115" s="93"/>
      <c r="G115" s="238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238"/>
      <c r="U115" s="93"/>
    </row>
    <row r="116" spans="1:21">
      <c r="A116" s="93"/>
      <c r="B116" s="93"/>
      <c r="C116" s="93"/>
      <c r="D116" s="93"/>
      <c r="E116" s="93"/>
      <c r="F116" s="93"/>
      <c r="G116" s="238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238"/>
      <c r="U116" s="93"/>
    </row>
    <row r="117" spans="1:21">
      <c r="A117" s="93"/>
      <c r="B117" s="93"/>
      <c r="C117" s="93"/>
      <c r="D117" s="93"/>
      <c r="E117" s="93"/>
      <c r="F117" s="93"/>
      <c r="G117" s="238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238"/>
      <c r="U117" s="93"/>
    </row>
    <row r="118" spans="1:21">
      <c r="A118" s="93"/>
      <c r="B118" s="93"/>
      <c r="C118" s="93"/>
      <c r="D118" s="93"/>
      <c r="E118" s="93"/>
      <c r="F118" s="93"/>
      <c r="G118" s="238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238"/>
      <c r="U118" s="93"/>
    </row>
    <row r="119" spans="1:21">
      <c r="A119" s="93"/>
      <c r="B119" s="93"/>
      <c r="C119" s="93"/>
      <c r="D119" s="93"/>
      <c r="E119" s="93"/>
      <c r="F119" s="93"/>
      <c r="G119" s="238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238"/>
      <c r="U119" s="93"/>
    </row>
    <row r="120" spans="1:21">
      <c r="A120" s="93"/>
      <c r="B120" s="93"/>
      <c r="C120" s="93"/>
      <c r="D120" s="93"/>
      <c r="E120" s="93"/>
      <c r="F120" s="93"/>
      <c r="G120" s="238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238"/>
      <c r="U120" s="93"/>
    </row>
    <row r="121" spans="1:21">
      <c r="A121" s="93"/>
      <c r="B121" s="93"/>
      <c r="C121" s="93"/>
      <c r="D121" s="93"/>
      <c r="E121" s="93"/>
      <c r="F121" s="93"/>
      <c r="G121" s="238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238"/>
      <c r="U121" s="93"/>
    </row>
    <row r="122" spans="1:21">
      <c r="A122" s="93"/>
      <c r="B122" s="93"/>
      <c r="C122" s="93"/>
      <c r="D122" s="93"/>
      <c r="E122" s="93"/>
      <c r="F122" s="93"/>
      <c r="G122" s="238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238"/>
      <c r="U122" s="93"/>
    </row>
    <row r="123" spans="1:21">
      <c r="A123" s="93"/>
      <c r="B123" s="93"/>
      <c r="C123" s="93"/>
      <c r="D123" s="93"/>
      <c r="E123" s="93"/>
      <c r="F123" s="93"/>
      <c r="G123" s="238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238"/>
      <c r="U123" s="93"/>
    </row>
    <row r="124" spans="1:21">
      <c r="A124" s="93"/>
      <c r="B124" s="93"/>
      <c r="C124" s="93"/>
      <c r="D124" s="93"/>
      <c r="E124" s="93"/>
      <c r="F124" s="93"/>
      <c r="G124" s="238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238"/>
      <c r="U124" s="93"/>
    </row>
    <row r="125" spans="1:21">
      <c r="A125" s="93"/>
      <c r="B125" s="93"/>
      <c r="C125" s="93"/>
      <c r="D125" s="93"/>
      <c r="E125" s="93"/>
      <c r="F125" s="93"/>
      <c r="G125" s="238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238"/>
      <c r="U125" s="93"/>
    </row>
    <row r="126" spans="1:21">
      <c r="A126" s="93"/>
      <c r="B126" s="93"/>
      <c r="C126" s="93"/>
      <c r="D126" s="93"/>
      <c r="E126" s="93"/>
      <c r="F126" s="93"/>
      <c r="G126" s="238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238"/>
      <c r="U126" s="93"/>
    </row>
    <row r="127" spans="1:21">
      <c r="A127" s="93"/>
      <c r="B127" s="93"/>
      <c r="C127" s="93"/>
      <c r="D127" s="93"/>
      <c r="E127" s="93"/>
      <c r="F127" s="93"/>
      <c r="G127" s="238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238"/>
      <c r="U127" s="93"/>
    </row>
    <row r="128" spans="1:21">
      <c r="A128" s="93"/>
      <c r="B128" s="93"/>
      <c r="C128" s="93"/>
      <c r="D128" s="93"/>
      <c r="E128" s="93"/>
      <c r="F128" s="93"/>
      <c r="G128" s="238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238"/>
      <c r="U128" s="93"/>
    </row>
    <row r="129" spans="1:21">
      <c r="A129" s="93"/>
      <c r="B129" s="93"/>
      <c r="C129" s="93"/>
      <c r="D129" s="93"/>
      <c r="E129" s="93"/>
      <c r="F129" s="93"/>
      <c r="G129" s="238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238"/>
      <c r="U129" s="93"/>
    </row>
    <row r="130" spans="1:21">
      <c r="A130" s="93"/>
      <c r="B130" s="93"/>
      <c r="C130" s="93"/>
      <c r="D130" s="93"/>
      <c r="E130" s="93"/>
      <c r="F130" s="93"/>
      <c r="G130" s="238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238"/>
      <c r="U130" s="93"/>
    </row>
    <row r="131" spans="1:21">
      <c r="A131" s="93"/>
      <c r="B131" s="93"/>
      <c r="C131" s="93"/>
      <c r="D131" s="93"/>
      <c r="E131" s="93"/>
      <c r="F131" s="93"/>
      <c r="G131" s="238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238"/>
      <c r="U131" s="93"/>
    </row>
    <row r="132" spans="1:21">
      <c r="A132" s="93"/>
      <c r="B132" s="93"/>
      <c r="C132" s="93"/>
      <c r="D132" s="93"/>
      <c r="E132" s="93"/>
      <c r="F132" s="93"/>
      <c r="G132" s="238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238"/>
      <c r="U132" s="93"/>
    </row>
    <row r="133" spans="1:21">
      <c r="A133" s="93"/>
      <c r="B133" s="93"/>
      <c r="C133" s="93"/>
      <c r="D133" s="93"/>
      <c r="E133" s="93"/>
      <c r="F133" s="93"/>
      <c r="G133" s="238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238"/>
      <c r="U133" s="93"/>
    </row>
    <row r="134" spans="1:21">
      <c r="A134" s="93"/>
      <c r="B134" s="93"/>
      <c r="C134" s="93"/>
      <c r="D134" s="93"/>
      <c r="E134" s="93"/>
      <c r="F134" s="93"/>
      <c r="G134" s="238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238"/>
      <c r="U134" s="93"/>
    </row>
    <row r="135" spans="1:21">
      <c r="A135" s="93"/>
      <c r="B135" s="93"/>
      <c r="C135" s="93"/>
      <c r="D135" s="93"/>
      <c r="E135" s="93"/>
      <c r="F135" s="93"/>
      <c r="G135" s="238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238"/>
      <c r="U135" s="93"/>
    </row>
    <row r="136" spans="1:21">
      <c r="A136" s="93"/>
      <c r="B136" s="93"/>
      <c r="C136" s="93"/>
      <c r="D136" s="93"/>
      <c r="E136" s="93"/>
      <c r="F136" s="93"/>
      <c r="G136" s="238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238"/>
      <c r="U136" s="93"/>
    </row>
    <row r="137" spans="1:21">
      <c r="A137" s="93"/>
      <c r="B137" s="93"/>
      <c r="C137" s="93"/>
      <c r="D137" s="93"/>
      <c r="E137" s="93"/>
      <c r="F137" s="93"/>
      <c r="G137" s="238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238"/>
      <c r="U137" s="93"/>
    </row>
    <row r="138" spans="1:21">
      <c r="A138" s="93"/>
      <c r="B138" s="93"/>
      <c r="C138" s="93"/>
      <c r="D138" s="93"/>
      <c r="E138" s="93"/>
      <c r="F138" s="93"/>
      <c r="G138" s="238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238"/>
      <c r="U138" s="93"/>
    </row>
    <row r="139" spans="1:21">
      <c r="A139" s="93"/>
      <c r="B139" s="93"/>
      <c r="C139" s="93"/>
      <c r="D139" s="93"/>
      <c r="E139" s="93"/>
      <c r="F139" s="93"/>
      <c r="G139" s="238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238"/>
      <c r="U139" s="93"/>
    </row>
    <row r="140" spans="1:21">
      <c r="A140" s="93"/>
      <c r="B140" s="93"/>
      <c r="C140" s="93"/>
      <c r="D140" s="93"/>
      <c r="E140" s="93"/>
      <c r="F140" s="93"/>
      <c r="G140" s="238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238"/>
      <c r="U140" s="93"/>
    </row>
    <row r="141" spans="1:21">
      <c r="A141" s="93"/>
      <c r="B141" s="93"/>
      <c r="C141" s="93"/>
      <c r="D141" s="93"/>
      <c r="E141" s="93"/>
      <c r="F141" s="93"/>
      <c r="G141" s="238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238"/>
      <c r="U141" s="93"/>
    </row>
    <row r="142" spans="1:21">
      <c r="A142" s="93"/>
      <c r="B142" s="93"/>
      <c r="C142" s="93"/>
      <c r="D142" s="93"/>
      <c r="E142" s="93"/>
      <c r="F142" s="93"/>
      <c r="G142" s="238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238"/>
      <c r="U142" s="93"/>
    </row>
    <row r="143" spans="1:21">
      <c r="A143" s="93"/>
      <c r="B143" s="93"/>
      <c r="C143" s="93"/>
      <c r="D143" s="93"/>
      <c r="E143" s="93"/>
      <c r="F143" s="93"/>
      <c r="G143" s="238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238"/>
      <c r="U143" s="93"/>
    </row>
    <row r="144" spans="1:21">
      <c r="A144" s="93"/>
      <c r="B144" s="93"/>
      <c r="C144" s="93"/>
      <c r="D144" s="93"/>
      <c r="E144" s="93"/>
      <c r="F144" s="93"/>
      <c r="G144" s="238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238"/>
      <c r="U144" s="93"/>
    </row>
    <row r="145" spans="1:21">
      <c r="A145" s="93"/>
      <c r="B145" s="93"/>
      <c r="C145" s="93"/>
      <c r="D145" s="93"/>
      <c r="E145" s="93"/>
      <c r="F145" s="93"/>
      <c r="G145" s="238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238"/>
      <c r="U145" s="93"/>
    </row>
    <row r="146" spans="1:21">
      <c r="I146" s="93"/>
      <c r="J146" s="93"/>
      <c r="K146" s="93"/>
      <c r="L146" s="93"/>
      <c r="M146" s="93"/>
    </row>
    <row r="147" spans="1:21">
      <c r="I147" s="93"/>
      <c r="J147" s="93"/>
      <c r="K147" s="93"/>
      <c r="L147" s="93"/>
      <c r="M147" s="93"/>
    </row>
    <row r="148" spans="1:21">
      <c r="I148" s="93"/>
      <c r="J148" s="93"/>
      <c r="K148" s="93"/>
      <c r="L148" s="93"/>
      <c r="M148" s="93"/>
    </row>
    <row r="149" spans="1:21">
      <c r="I149" s="93"/>
      <c r="J149" s="93"/>
      <c r="K149" s="93"/>
      <c r="L149" s="93"/>
      <c r="M149" s="93"/>
    </row>
    <row r="150" spans="1:21">
      <c r="I150" s="93"/>
      <c r="J150" s="93"/>
      <c r="K150" s="93"/>
      <c r="L150" s="93"/>
      <c r="M150" s="93"/>
    </row>
    <row r="151" spans="1:21">
      <c r="I151" s="93"/>
      <c r="J151" s="93"/>
      <c r="K151" s="93"/>
      <c r="L151" s="93"/>
      <c r="M151" s="93"/>
    </row>
    <row r="152" spans="1:21">
      <c r="I152" s="93"/>
      <c r="J152" s="93"/>
      <c r="K152" s="93"/>
      <c r="L152" s="93"/>
      <c r="M152" s="93"/>
    </row>
    <row r="153" spans="1:21">
      <c r="I153" s="93"/>
      <c r="J153" s="93"/>
      <c r="K153" s="93"/>
      <c r="L153" s="93"/>
      <c r="M153" s="93"/>
    </row>
    <row r="154" spans="1:21">
      <c r="I154" s="93"/>
      <c r="J154" s="93"/>
      <c r="K154" s="93"/>
      <c r="L154" s="93"/>
      <c r="M154" s="93"/>
    </row>
    <row r="155" spans="1:21">
      <c r="I155" s="93"/>
      <c r="J155" s="93"/>
      <c r="K155" s="93"/>
      <c r="L155" s="93"/>
      <c r="M155" s="93"/>
    </row>
    <row r="156" spans="1:21">
      <c r="I156" s="93"/>
      <c r="J156" s="93"/>
      <c r="K156" s="93"/>
      <c r="L156" s="93"/>
      <c r="M156" s="93"/>
    </row>
    <row r="157" spans="1:21">
      <c r="I157" s="93"/>
      <c r="J157" s="93"/>
      <c r="K157" s="93"/>
      <c r="L157" s="93"/>
      <c r="M157" s="93"/>
    </row>
  </sheetData>
  <mergeCells count="27">
    <mergeCell ref="B88:G88"/>
    <mergeCell ref="O88:T88"/>
    <mergeCell ref="B46:G46"/>
    <mergeCell ref="B60:G60"/>
    <mergeCell ref="B74:G74"/>
    <mergeCell ref="O46:T46"/>
    <mergeCell ref="O60:T60"/>
    <mergeCell ref="O74:T74"/>
    <mergeCell ref="J75:K76"/>
    <mergeCell ref="I48:L49"/>
    <mergeCell ref="L51:L53"/>
    <mergeCell ref="I44:M45"/>
    <mergeCell ref="I7:M8"/>
    <mergeCell ref="I22:M22"/>
    <mergeCell ref="I23:M24"/>
    <mergeCell ref="B18:G18"/>
    <mergeCell ref="O1:T2"/>
    <mergeCell ref="B32:G32"/>
    <mergeCell ref="O32:T32"/>
    <mergeCell ref="J27:L28"/>
    <mergeCell ref="I42:M43"/>
    <mergeCell ref="O18:T18"/>
    <mergeCell ref="I1:M2"/>
    <mergeCell ref="I3:M4"/>
    <mergeCell ref="B1:G2"/>
    <mergeCell ref="B4:G4"/>
    <mergeCell ref="O4:T4"/>
  </mergeCells>
  <conditionalFormatting sqref="L51">
    <cfRule type="cellIs" dxfId="5" priority="1" operator="equal">
      <formula>"Yes"</formula>
    </cfRule>
    <cfRule type="cellIs" dxfId="4" priority="2" operator="equal">
      <formula>"Yes"</formula>
    </cfRule>
    <cfRule type="cellIs" dxfId="3" priority="3" operator="equal">
      <formula>"No"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'1 HE'!$M$3:$M$4</xm:f>
          </x14:formula1>
          <xm:sqref>I44</xm:sqref>
        </x14:dataValidation>
        <x14:dataValidation type="list" allowBlank="1" showInputMessage="1" showErrorMessage="1">
          <x14:formula1>
            <xm:f>INPUT!$G$3:$G$4</xm:f>
          </x14:formula1>
          <xm:sqref>I23</xm:sqref>
        </x14:dataValidation>
        <x14:dataValidation type="list" allowBlank="1" showInputMessage="1" showErrorMessage="1">
          <x14:formula1>
            <xm:f>'1 HE'!$M$5:$M$6</xm:f>
          </x14:formula1>
          <xm:sqref>M50 L51</xm:sqref>
        </x14:dataValidation>
        <x14:dataValidation type="list" allowBlank="1" showInputMessage="1" showErrorMessage="1">
          <x14:formula1>
            <xm:f>'GR CALC'!$V$2:$V$3</xm:f>
          </x14:formula1>
          <xm:sqref>J10</xm:sqref>
        </x14:dataValidation>
        <x14:dataValidation type="list" allowBlank="1" showInputMessage="1" showErrorMessage="1">
          <x14:formula1>
            <xm:f>'STAPD INPUT'!$A$42:$A$53</xm:f>
          </x14:formula1>
          <xm:sqref>I3:M4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sqref="A1:E2"/>
    </sheetView>
  </sheetViews>
  <sheetFormatPr defaultRowHeight="14.25"/>
  <cols>
    <col min="2" max="2" width="6.25" customWidth="1"/>
    <col min="5" max="5" width="10.125" bestFit="1" customWidth="1"/>
    <col min="11" max="11" width="7.875" bestFit="1" customWidth="1"/>
  </cols>
  <sheetData>
    <row r="1" spans="1:22" ht="15">
      <c r="A1" s="277" t="s">
        <v>107</v>
      </c>
      <c r="B1" s="278"/>
      <c r="C1" s="278"/>
      <c r="D1" s="278"/>
      <c r="E1" s="278"/>
      <c r="H1" s="136" t="s">
        <v>115</v>
      </c>
      <c r="I1" s="138" t="s">
        <v>108</v>
      </c>
      <c r="J1" s="138" t="s">
        <v>115</v>
      </c>
      <c r="K1" s="138" t="s">
        <v>109</v>
      </c>
      <c r="L1" s="138" t="s">
        <v>110</v>
      </c>
    </row>
    <row r="2" spans="1:22" ht="15.75" thickBot="1">
      <c r="A2" s="277"/>
      <c r="B2" s="278"/>
      <c r="C2" s="278"/>
      <c r="D2" s="278"/>
      <c r="E2" s="278"/>
      <c r="F2" s="138" t="s">
        <v>106</v>
      </c>
      <c r="G2" t="str">
        <f>'SAFETY FAN DATA'!J10</f>
        <v>UB</v>
      </c>
      <c r="H2" s="204">
        <f>LEN('SAFETY FAN DATA'!K10)</f>
        <v>4</v>
      </c>
      <c r="I2" s="219">
        <f>IF(H2=5,C4,IF(H2=4,IF(G2="UB",C4*10,(C4*1)+100000),IF(H2=3,IF(G2="UB",C4*100,(C4*1)+100000),IF(G2="UB",C4,(C4*10)+100000))))</f>
        <v>98000</v>
      </c>
      <c r="J2" s="211">
        <f>LEN(D4)</f>
        <v>4</v>
      </c>
      <c r="K2" s="204">
        <f>IF(J2=2,D4*1000,IF(J2=3,D4*100,IF(J2=4,D4*10,D4)))</f>
        <v>36000</v>
      </c>
      <c r="L2" s="204">
        <f>E4</f>
        <v>0</v>
      </c>
      <c r="M2" s="138" t="s">
        <v>112</v>
      </c>
      <c r="N2" s="138" t="s">
        <v>113</v>
      </c>
      <c r="O2" s="138" t="s">
        <v>114</v>
      </c>
      <c r="P2" s="138" t="s">
        <v>4</v>
      </c>
      <c r="V2" s="138" t="s">
        <v>120</v>
      </c>
    </row>
    <row r="3" spans="1:22" ht="15">
      <c r="A3" s="205"/>
      <c r="B3" s="205"/>
      <c r="C3" s="206" t="s">
        <v>104</v>
      </c>
      <c r="D3" s="206" t="s">
        <v>105</v>
      </c>
      <c r="E3" s="207" t="s">
        <v>111</v>
      </c>
      <c r="F3" s="138">
        <v>1</v>
      </c>
      <c r="G3" t="str">
        <f>'SAFETY FAN DATA'!J11</f>
        <v>UB</v>
      </c>
      <c r="H3" s="212">
        <f>LEN('SAFETY FAN DATA'!K11)</f>
        <v>4</v>
      </c>
      <c r="I3" s="219">
        <f>IF(H3=5,C5,IF(H3=4,IF(G3="UB",C5*10,(C5*1)+100000),IF(H3=3,IF(G3="UB",C5*100,(C5*1)+100000),IF(G3="UB",C5,(C5*10)+100000))))</f>
        <v>97900</v>
      </c>
      <c r="J3" s="219">
        <f t="shared" ref="J3:J12" si="0">LEN(D5)</f>
        <v>1</v>
      </c>
      <c r="K3" s="219">
        <f t="shared" ref="K3:K12" si="1">IF(J3=2,D5*1000,IF(J3=3,D5*100,IF(J3=4,D5*10,D5)))</f>
        <v>0</v>
      </c>
      <c r="L3" s="219">
        <f t="shared" ref="L3:L12" si="2">E5</f>
        <v>0</v>
      </c>
      <c r="M3" s="211">
        <f>IF(I3=0,0,((I3-$I$2)^2)^0.5)</f>
        <v>100</v>
      </c>
      <c r="N3" s="211">
        <f>IF(K3=0,0,((K3-$K$2)^2)^0.5)</f>
        <v>0</v>
      </c>
      <c r="O3" s="213">
        <f t="shared" ref="O3:O12" si="3">IF(H3=0,0,(((M3^2)+(N3^2))^0.5)*2)</f>
        <v>200</v>
      </c>
      <c r="P3" s="211">
        <f t="shared" ref="P3:P12" si="4">L3-$L$2</f>
        <v>0</v>
      </c>
      <c r="V3" t="s">
        <v>121</v>
      </c>
    </row>
    <row r="4" spans="1:22" ht="15">
      <c r="A4" s="208" t="s">
        <v>106</v>
      </c>
      <c r="B4" s="217" t="str">
        <f>'SAFETY FAN DATA'!J10</f>
        <v>UB</v>
      </c>
      <c r="C4" s="217">
        <f>'SAFETY FAN DATA'!K10</f>
        <v>9800</v>
      </c>
      <c r="D4" s="218">
        <f>'SAFETY FAN DATA'!L10</f>
        <v>3600</v>
      </c>
      <c r="E4" s="218">
        <f>'SAFETY FAN DATA'!M10</f>
        <v>0</v>
      </c>
      <c r="F4" s="138">
        <v>2</v>
      </c>
      <c r="G4" t="str">
        <f>'SAFETY FAN DATA'!J12</f>
        <v>UB</v>
      </c>
      <c r="H4" s="212">
        <f>LEN('SAFETY FAN DATA'!K12)</f>
        <v>1</v>
      </c>
      <c r="I4" s="219">
        <f t="shared" ref="I4:I12" si="5">IF(H4=5,C6,IF(H4=4,IF(G4="UB",C6*10,(C6*1)+100000),IF(H4=3,IF(G4="UB",C6*100,(C6*1)+100000),IF(G4="UB",C6,(C6*10)+100000))))</f>
        <v>0</v>
      </c>
      <c r="J4" s="219">
        <f t="shared" si="0"/>
        <v>1</v>
      </c>
      <c r="K4" s="219">
        <f t="shared" si="1"/>
        <v>0</v>
      </c>
      <c r="L4" s="219">
        <f t="shared" si="2"/>
        <v>0</v>
      </c>
      <c r="M4" s="219">
        <f t="shared" ref="M4:M12" si="6">IF(I4=0,0,((I4-$I$2)^2)^0.5)</f>
        <v>0</v>
      </c>
      <c r="N4" s="219">
        <f t="shared" ref="N4:N12" si="7">IF(K4=0,0,((K4-$K$2)^2)^0.5)</f>
        <v>0</v>
      </c>
      <c r="O4" s="213">
        <f t="shared" si="3"/>
        <v>0</v>
      </c>
      <c r="P4" s="211">
        <f t="shared" si="4"/>
        <v>0</v>
      </c>
    </row>
    <row r="5" spans="1:22" ht="15">
      <c r="A5" s="208">
        <v>1</v>
      </c>
      <c r="B5" s="217" t="str">
        <f>'SAFETY FAN DATA'!J11</f>
        <v>UB</v>
      </c>
      <c r="C5" s="217">
        <f>'SAFETY FAN DATA'!K11</f>
        <v>9790</v>
      </c>
      <c r="D5" s="218">
        <f>'SAFETY FAN DATA'!L11</f>
        <v>0</v>
      </c>
      <c r="E5" s="218">
        <f>'SAFETY FAN DATA'!M11</f>
        <v>0</v>
      </c>
      <c r="F5" s="138">
        <v>3</v>
      </c>
      <c r="G5" t="str">
        <f>'SAFETY FAN DATA'!J13</f>
        <v>VB</v>
      </c>
      <c r="H5" s="212">
        <f>LEN('SAFETY FAN DATA'!K13)</f>
        <v>1</v>
      </c>
      <c r="I5" s="219">
        <f t="shared" si="5"/>
        <v>100000</v>
      </c>
      <c r="J5" s="219">
        <f t="shared" si="0"/>
        <v>1</v>
      </c>
      <c r="K5" s="219">
        <f t="shared" si="1"/>
        <v>0</v>
      </c>
      <c r="L5" s="219">
        <f t="shared" si="2"/>
        <v>0</v>
      </c>
      <c r="M5" s="219">
        <f t="shared" si="6"/>
        <v>2000</v>
      </c>
      <c r="N5" s="219">
        <f t="shared" si="7"/>
        <v>0</v>
      </c>
      <c r="O5" s="213">
        <f t="shared" si="3"/>
        <v>4000</v>
      </c>
      <c r="P5" s="211">
        <f t="shared" si="4"/>
        <v>0</v>
      </c>
    </row>
    <row r="6" spans="1:22" ht="15">
      <c r="A6" s="208">
        <v>2</v>
      </c>
      <c r="B6" s="217" t="str">
        <f>'SAFETY FAN DATA'!J12</f>
        <v>UB</v>
      </c>
      <c r="C6" s="217">
        <f>'SAFETY FAN DATA'!K12</f>
        <v>0</v>
      </c>
      <c r="D6" s="218">
        <f>'SAFETY FAN DATA'!L12</f>
        <v>0</v>
      </c>
      <c r="E6" s="218">
        <f>'SAFETY FAN DATA'!M12</f>
        <v>0</v>
      </c>
      <c r="F6" s="138">
        <v>4</v>
      </c>
      <c r="G6" t="str">
        <f>'SAFETY FAN DATA'!J14</f>
        <v>UB</v>
      </c>
      <c r="H6" s="212">
        <f>LEN('SAFETY FAN DATA'!K14)</f>
        <v>1</v>
      </c>
      <c r="I6" s="219">
        <f t="shared" si="5"/>
        <v>0</v>
      </c>
      <c r="J6" s="219">
        <f t="shared" si="0"/>
        <v>1</v>
      </c>
      <c r="K6" s="219">
        <f t="shared" si="1"/>
        <v>0</v>
      </c>
      <c r="L6" s="219">
        <f t="shared" si="2"/>
        <v>0</v>
      </c>
      <c r="M6" s="219">
        <f t="shared" si="6"/>
        <v>0</v>
      </c>
      <c r="N6" s="219">
        <f t="shared" si="7"/>
        <v>0</v>
      </c>
      <c r="O6" s="213">
        <f t="shared" si="3"/>
        <v>0</v>
      </c>
      <c r="P6" s="211">
        <f t="shared" si="4"/>
        <v>0</v>
      </c>
    </row>
    <row r="7" spans="1:22" ht="15">
      <c r="A7" s="208">
        <v>3</v>
      </c>
      <c r="B7" s="217" t="str">
        <f>'SAFETY FAN DATA'!J13</f>
        <v>VB</v>
      </c>
      <c r="C7" s="217">
        <f>'SAFETY FAN DATA'!K13</f>
        <v>0</v>
      </c>
      <c r="D7" s="218">
        <f>'SAFETY FAN DATA'!L13</f>
        <v>0</v>
      </c>
      <c r="E7" s="218">
        <f>'SAFETY FAN DATA'!M13</f>
        <v>0</v>
      </c>
      <c r="F7" s="138">
        <v>5</v>
      </c>
      <c r="G7" t="str">
        <f>'SAFETY FAN DATA'!J15</f>
        <v>UB</v>
      </c>
      <c r="H7" s="212">
        <f>LEN('SAFETY FAN DATA'!K15)</f>
        <v>1</v>
      </c>
      <c r="I7" s="219">
        <f t="shared" si="5"/>
        <v>0</v>
      </c>
      <c r="J7" s="219">
        <f t="shared" si="0"/>
        <v>1</v>
      </c>
      <c r="K7" s="219">
        <f t="shared" si="1"/>
        <v>0</v>
      </c>
      <c r="L7" s="219">
        <f t="shared" si="2"/>
        <v>0</v>
      </c>
      <c r="M7" s="219">
        <f t="shared" si="6"/>
        <v>0</v>
      </c>
      <c r="N7" s="219">
        <f t="shared" si="7"/>
        <v>0</v>
      </c>
      <c r="O7" s="213">
        <f t="shared" si="3"/>
        <v>0</v>
      </c>
      <c r="P7" s="211">
        <f t="shared" si="4"/>
        <v>0</v>
      </c>
    </row>
    <row r="8" spans="1:22" ht="15">
      <c r="A8" s="208">
        <v>4</v>
      </c>
      <c r="B8" s="217" t="str">
        <f>'SAFETY FAN DATA'!J14</f>
        <v>UB</v>
      </c>
      <c r="C8" s="217">
        <f>'SAFETY FAN DATA'!K14</f>
        <v>0</v>
      </c>
      <c r="D8" s="218">
        <f>'SAFETY FAN DATA'!L14</f>
        <v>0</v>
      </c>
      <c r="E8" s="218">
        <f>'SAFETY FAN DATA'!M14</f>
        <v>0</v>
      </c>
      <c r="F8" s="138">
        <v>6</v>
      </c>
      <c r="G8" t="str">
        <f>'SAFETY FAN DATA'!J16</f>
        <v>UB</v>
      </c>
      <c r="H8" s="212">
        <f>LEN('SAFETY FAN DATA'!K16)</f>
        <v>1</v>
      </c>
      <c r="I8" s="219">
        <f t="shared" si="5"/>
        <v>0</v>
      </c>
      <c r="J8" s="219">
        <f t="shared" si="0"/>
        <v>1</v>
      </c>
      <c r="K8" s="219">
        <f t="shared" si="1"/>
        <v>0</v>
      </c>
      <c r="L8" s="219">
        <f t="shared" si="2"/>
        <v>0</v>
      </c>
      <c r="M8" s="219">
        <f t="shared" si="6"/>
        <v>0</v>
      </c>
      <c r="N8" s="219">
        <f t="shared" si="7"/>
        <v>0</v>
      </c>
      <c r="O8" s="213">
        <f t="shared" si="3"/>
        <v>0</v>
      </c>
      <c r="P8" s="211">
        <f t="shared" si="4"/>
        <v>0</v>
      </c>
    </row>
    <row r="9" spans="1:22" ht="15">
      <c r="A9" s="208">
        <v>5</v>
      </c>
      <c r="B9" s="217" t="str">
        <f>'SAFETY FAN DATA'!J15</f>
        <v>UB</v>
      </c>
      <c r="C9" s="217">
        <f>'SAFETY FAN DATA'!K15</f>
        <v>0</v>
      </c>
      <c r="D9" s="218">
        <f>'SAFETY FAN DATA'!L15</f>
        <v>0</v>
      </c>
      <c r="E9" s="218">
        <f>'SAFETY FAN DATA'!M15</f>
        <v>0</v>
      </c>
      <c r="F9" s="138">
        <v>7</v>
      </c>
      <c r="G9" t="str">
        <f>'SAFETY FAN DATA'!J17</f>
        <v>UB</v>
      </c>
      <c r="H9" s="212">
        <f>LEN('SAFETY FAN DATA'!K17)</f>
        <v>1</v>
      </c>
      <c r="I9" s="219">
        <f t="shared" si="5"/>
        <v>0</v>
      </c>
      <c r="J9" s="219">
        <f t="shared" si="0"/>
        <v>1</v>
      </c>
      <c r="K9" s="219">
        <f t="shared" si="1"/>
        <v>0</v>
      </c>
      <c r="L9" s="219">
        <f t="shared" si="2"/>
        <v>0</v>
      </c>
      <c r="M9" s="219">
        <f t="shared" si="6"/>
        <v>0</v>
      </c>
      <c r="N9" s="219">
        <f t="shared" si="7"/>
        <v>0</v>
      </c>
      <c r="O9" s="213">
        <f t="shared" si="3"/>
        <v>0</v>
      </c>
      <c r="P9" s="211">
        <f t="shared" si="4"/>
        <v>0</v>
      </c>
    </row>
    <row r="10" spans="1:22" ht="15">
      <c r="A10" s="208">
        <v>6</v>
      </c>
      <c r="B10" s="217" t="str">
        <f>'SAFETY FAN DATA'!J16</f>
        <v>UB</v>
      </c>
      <c r="C10" s="217">
        <f>'SAFETY FAN DATA'!K16</f>
        <v>0</v>
      </c>
      <c r="D10" s="218">
        <f>'SAFETY FAN DATA'!L16</f>
        <v>0</v>
      </c>
      <c r="E10" s="218">
        <f>'SAFETY FAN DATA'!M16</f>
        <v>0</v>
      </c>
      <c r="F10" s="138">
        <v>8</v>
      </c>
      <c r="G10" t="str">
        <f>'SAFETY FAN DATA'!J18</f>
        <v>UB</v>
      </c>
      <c r="H10" s="212">
        <f>LEN('SAFETY FAN DATA'!K18)</f>
        <v>1</v>
      </c>
      <c r="I10" s="219">
        <f t="shared" si="5"/>
        <v>0</v>
      </c>
      <c r="J10" s="219">
        <f t="shared" si="0"/>
        <v>1</v>
      </c>
      <c r="K10" s="219">
        <f t="shared" si="1"/>
        <v>0</v>
      </c>
      <c r="L10" s="219">
        <f t="shared" si="2"/>
        <v>0</v>
      </c>
      <c r="M10" s="219">
        <f t="shared" si="6"/>
        <v>0</v>
      </c>
      <c r="N10" s="219">
        <f t="shared" si="7"/>
        <v>0</v>
      </c>
      <c r="O10" s="213">
        <f t="shared" si="3"/>
        <v>0</v>
      </c>
      <c r="P10" s="211">
        <f t="shared" si="4"/>
        <v>0</v>
      </c>
    </row>
    <row r="11" spans="1:22" ht="15">
      <c r="A11" s="208">
        <v>7</v>
      </c>
      <c r="B11" s="217" t="str">
        <f>'SAFETY FAN DATA'!J17</f>
        <v>UB</v>
      </c>
      <c r="C11" s="217">
        <f>'SAFETY FAN DATA'!K17</f>
        <v>0</v>
      </c>
      <c r="D11" s="218">
        <f>'SAFETY FAN DATA'!L17</f>
        <v>0</v>
      </c>
      <c r="E11" s="218">
        <f>'SAFETY FAN DATA'!M17</f>
        <v>0</v>
      </c>
      <c r="F11" s="138">
        <v>9</v>
      </c>
      <c r="G11" t="str">
        <f>'SAFETY FAN DATA'!J19</f>
        <v>UB</v>
      </c>
      <c r="H11" s="212">
        <f>LEN('SAFETY FAN DATA'!K19)</f>
        <v>1</v>
      </c>
      <c r="I11" s="219">
        <f t="shared" si="5"/>
        <v>0</v>
      </c>
      <c r="J11" s="219">
        <f t="shared" si="0"/>
        <v>1</v>
      </c>
      <c r="K11" s="219">
        <f t="shared" si="1"/>
        <v>0</v>
      </c>
      <c r="L11" s="219">
        <f t="shared" si="2"/>
        <v>0</v>
      </c>
      <c r="M11" s="219">
        <f t="shared" si="6"/>
        <v>0</v>
      </c>
      <c r="N11" s="219">
        <f t="shared" si="7"/>
        <v>0</v>
      </c>
      <c r="O11" s="213">
        <f t="shared" si="3"/>
        <v>0</v>
      </c>
      <c r="P11" s="211">
        <f t="shared" si="4"/>
        <v>0</v>
      </c>
    </row>
    <row r="12" spans="1:22" ht="15">
      <c r="A12" s="208">
        <v>8</v>
      </c>
      <c r="B12" s="217" t="str">
        <f>'SAFETY FAN DATA'!J18</f>
        <v>UB</v>
      </c>
      <c r="C12" s="217">
        <f>'SAFETY FAN DATA'!K18</f>
        <v>0</v>
      </c>
      <c r="D12" s="218">
        <f>'SAFETY FAN DATA'!L18</f>
        <v>0</v>
      </c>
      <c r="E12" s="218">
        <f>'SAFETY FAN DATA'!M18</f>
        <v>0</v>
      </c>
      <c r="F12" s="138">
        <v>10</v>
      </c>
      <c r="G12" t="str">
        <f>'SAFETY FAN DATA'!J20</f>
        <v>UB</v>
      </c>
      <c r="H12" s="212">
        <f>LEN('SAFETY FAN DATA'!K20)</f>
        <v>1</v>
      </c>
      <c r="I12" s="219">
        <f t="shared" si="5"/>
        <v>0</v>
      </c>
      <c r="J12" s="219">
        <f t="shared" si="0"/>
        <v>1</v>
      </c>
      <c r="K12" s="219">
        <f t="shared" si="1"/>
        <v>0</v>
      </c>
      <c r="L12" s="219">
        <f t="shared" si="2"/>
        <v>0</v>
      </c>
      <c r="M12" s="219">
        <f t="shared" si="6"/>
        <v>0</v>
      </c>
      <c r="N12" s="219">
        <f t="shared" si="7"/>
        <v>0</v>
      </c>
      <c r="O12" s="213">
        <f t="shared" si="3"/>
        <v>0</v>
      </c>
      <c r="P12" s="211">
        <f t="shared" si="4"/>
        <v>0</v>
      </c>
    </row>
    <row r="13" spans="1:22" ht="15">
      <c r="A13" s="208">
        <v>9</v>
      </c>
      <c r="B13" s="217" t="str">
        <f>'SAFETY FAN DATA'!J19</f>
        <v>UB</v>
      </c>
      <c r="C13" s="217">
        <f>'SAFETY FAN DATA'!K19</f>
        <v>0</v>
      </c>
      <c r="D13" s="218">
        <f>'SAFETY FAN DATA'!L19</f>
        <v>0</v>
      </c>
      <c r="E13" s="218">
        <f>'SAFETY FAN DATA'!M19</f>
        <v>0</v>
      </c>
    </row>
    <row r="14" spans="1:22" ht="15.75" thickBot="1">
      <c r="A14" s="209">
        <v>10</v>
      </c>
      <c r="B14" s="217" t="str">
        <f>'SAFETY FAN DATA'!J20</f>
        <v>UB</v>
      </c>
      <c r="C14" s="217">
        <f>'SAFETY FAN DATA'!K20</f>
        <v>0</v>
      </c>
      <c r="D14" s="218">
        <f>'SAFETY FAN DATA'!L20</f>
        <v>0</v>
      </c>
      <c r="E14" s="218">
        <f>'SAFETY FAN DATA'!M20</f>
        <v>0</v>
      </c>
    </row>
  </sheetData>
  <mergeCells count="1">
    <mergeCell ref="A1:E2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4.25"/>
  <cols>
    <col min="2" max="2" width="10.875" bestFit="1" customWidth="1"/>
    <col min="3" max="3" width="11.25" bestFit="1" customWidth="1"/>
    <col min="4" max="4" width="10.5" bestFit="1" customWidth="1"/>
  </cols>
  <sheetData>
    <row r="1" spans="1:7" ht="15" thickBot="1"/>
    <row r="2" spans="1:7">
      <c r="A2" s="308" t="s">
        <v>15</v>
      </c>
      <c r="B2" s="309"/>
      <c r="C2" s="309"/>
      <c r="D2" s="310"/>
    </row>
    <row r="3" spans="1:7" ht="15.75" thickBot="1">
      <c r="A3" s="311"/>
      <c r="B3" s="286"/>
      <c r="C3" s="286"/>
      <c r="D3" s="287"/>
      <c r="G3" s="138" t="s">
        <v>116</v>
      </c>
    </row>
    <row r="4" spans="1:7" ht="15">
      <c r="A4" s="96" t="s">
        <v>12</v>
      </c>
      <c r="B4" s="96" t="s">
        <v>38</v>
      </c>
      <c r="C4" s="96" t="s">
        <v>39</v>
      </c>
      <c r="D4" s="95" t="s">
        <v>22</v>
      </c>
      <c r="G4" s="214" t="s">
        <v>0</v>
      </c>
    </row>
    <row r="5" spans="1:7" ht="15" customHeight="1">
      <c r="A5" s="97">
        <v>1</v>
      </c>
      <c r="B5" s="210">
        <f>IF('SAFETY FAN DATA'!$I$23="GRID",IF('SAFETY FAN DATA'!$L$51="No",'GR CALC'!O3,'GR CALC'!O3+'SAFETY FAN DATA'!K53),IF('SAFETY FAN DATA'!$L$51="No",'SAFETY FAN DATA'!K30,'SAFETY FAN DATA'!K30 +'SAFETY FAN DATA'!K53))</f>
        <v>0</v>
      </c>
      <c r="C5" s="108">
        <f>IF('SAFETY FAN DATA'!$I$23="GRID",'GR CALC'!P3,'SAFETY FAN DATA'!L30)</f>
        <v>0</v>
      </c>
      <c r="D5" s="318" t="str">
        <f>'SAFETY FAN DATA'!I44</f>
        <v>L/A</v>
      </c>
    </row>
    <row r="6" spans="1:7" ht="15" customHeight="1">
      <c r="A6" s="97">
        <v>2</v>
      </c>
      <c r="B6" s="210">
        <f>IF('SAFETY FAN DATA'!$I$23="GRID",IF('SAFETY FAN DATA'!$L$51="No",'GR CALC'!O4,'GR CALC'!O4+'SAFETY FAN DATA'!#REF!),IF('SAFETY FAN DATA'!$L$51="No",'SAFETY FAN DATA'!K31,'SAFETY FAN DATA'!K31 +'SAFETY FAN DATA'!#REF!))</f>
        <v>0</v>
      </c>
      <c r="C6" s="108">
        <f>IF('SAFETY FAN DATA'!$I$23="GRID",'GR CALC'!P4,'SAFETY FAN DATA'!L31)</f>
        <v>0</v>
      </c>
      <c r="D6" s="319"/>
    </row>
    <row r="7" spans="1:7" ht="15" customHeight="1">
      <c r="A7" s="97">
        <v>3</v>
      </c>
      <c r="B7" s="210">
        <f>IF('SAFETY FAN DATA'!$I$23="GRID",IF('SAFETY FAN DATA'!$L$51="No",'GR CALC'!O5,'GR CALC'!O5+'SAFETY FAN DATA'!#REF!),IF('SAFETY FAN DATA'!$L$51="No",'SAFETY FAN DATA'!K32,'SAFETY FAN DATA'!K32 +'SAFETY FAN DATA'!#REF!))</f>
        <v>0</v>
      </c>
      <c r="C7" s="108">
        <f>IF('SAFETY FAN DATA'!$I$23="GRID",'GR CALC'!P5,'SAFETY FAN DATA'!L32)</f>
        <v>0</v>
      </c>
      <c r="D7" s="319"/>
    </row>
    <row r="8" spans="1:7" ht="15" customHeight="1">
      <c r="A8" s="97">
        <v>4</v>
      </c>
      <c r="B8" s="210">
        <f>IF('SAFETY FAN DATA'!$I$23="GRID",IF('SAFETY FAN DATA'!$L$51="No",'GR CALC'!O6,'GR CALC'!O6+'SAFETY FAN DATA'!K27),IF('SAFETY FAN DATA'!$L$51="No",'SAFETY FAN DATA'!K33,'SAFETY FAN DATA'!K33 +'SAFETY FAN DATA'!K27))</f>
        <v>0</v>
      </c>
      <c r="C8" s="108">
        <f>IF('SAFETY FAN DATA'!$I$23="GRID",'GR CALC'!P6,'SAFETY FAN DATA'!L33)</f>
        <v>0</v>
      </c>
      <c r="D8" s="319"/>
    </row>
    <row r="9" spans="1:7" ht="15" customHeight="1">
      <c r="A9" s="97">
        <v>5</v>
      </c>
      <c r="B9" s="210">
        <f>IF('SAFETY FAN DATA'!$I$23="GRID",IF('SAFETY FAN DATA'!$L$51="No",'GR CALC'!O7,'GR CALC'!O7+'SAFETY FAN DATA'!K28),IF('SAFETY FAN DATA'!$L$51="No",'SAFETY FAN DATA'!K34,'SAFETY FAN DATA'!K34 +'SAFETY FAN DATA'!K28))</f>
        <v>0</v>
      </c>
      <c r="C9" s="108">
        <f>IF('SAFETY FAN DATA'!$I$23="GRID",'GR CALC'!P7,'SAFETY FAN DATA'!L34)</f>
        <v>0</v>
      </c>
      <c r="D9" s="319"/>
    </row>
    <row r="10" spans="1:7" ht="15" customHeight="1">
      <c r="A10" s="97">
        <v>6</v>
      </c>
      <c r="B10" s="210">
        <f>IF('SAFETY FAN DATA'!$I$23="GRID",IF('SAFETY FAN DATA'!$L$51="No",'GR CALC'!O8,'GR CALC'!O8+'SAFETY FAN DATA'!L29),IF('SAFETY FAN DATA'!$L$51="No",'SAFETY FAN DATA'!K35,'SAFETY FAN DATA'!K35 +'SAFETY FAN DATA'!L29))</f>
        <v>0</v>
      </c>
      <c r="C10" s="108">
        <f>IF('SAFETY FAN DATA'!$I$23="GRID",'GR CALC'!P8,'SAFETY FAN DATA'!L35)</f>
        <v>0</v>
      </c>
      <c r="D10" s="319"/>
    </row>
    <row r="11" spans="1:7" ht="15" customHeight="1">
      <c r="A11" s="97">
        <v>7</v>
      </c>
      <c r="B11" s="210">
        <f>IF('SAFETY FAN DATA'!$I$23="GRID",IF('SAFETY FAN DATA'!$L$51="No",'GR CALC'!O9,'GR CALC'!O9+'SAFETY FAN DATA'!L30),IF('SAFETY FAN DATA'!$L$51="No",'SAFETY FAN DATA'!K36,'SAFETY FAN DATA'!K36 +'SAFETY FAN DATA'!L30))</f>
        <v>0</v>
      </c>
      <c r="C11" s="108">
        <f>IF('SAFETY FAN DATA'!$I$23="GRID",'GR CALC'!P9,'SAFETY FAN DATA'!L36)</f>
        <v>0</v>
      </c>
      <c r="D11" s="319"/>
    </row>
    <row r="12" spans="1:7" ht="15" customHeight="1">
      <c r="A12" s="97">
        <v>8</v>
      </c>
      <c r="B12" s="210">
        <f>IF('SAFETY FAN DATA'!$I$23="GRID",IF('SAFETY FAN DATA'!$L$51="No",'GR CALC'!O10,'GR CALC'!O10+'SAFETY FAN DATA'!L31),IF('SAFETY FAN DATA'!$L$51="No",'SAFETY FAN DATA'!K37,'SAFETY FAN DATA'!K37 +'SAFETY FAN DATA'!L31))</f>
        <v>0</v>
      </c>
      <c r="C12" s="108">
        <f>IF('SAFETY FAN DATA'!$I$23="GRID",'GR CALC'!P10,'SAFETY FAN DATA'!L37)</f>
        <v>0</v>
      </c>
      <c r="D12" s="319"/>
    </row>
    <row r="13" spans="1:7" ht="15" customHeight="1">
      <c r="A13" s="97">
        <v>9</v>
      </c>
      <c r="B13" s="210">
        <f>IF('SAFETY FAN DATA'!$I$23="GRID",IF('SAFETY FAN DATA'!$L$51="No",'GR CALC'!O11,'GR CALC'!O11+'SAFETY FAN DATA'!L32),IF('SAFETY FAN DATA'!$L$51="No",'SAFETY FAN DATA'!K38,'SAFETY FAN DATA'!K38 +'SAFETY FAN DATA'!L32))</f>
        <v>0</v>
      </c>
      <c r="C13" s="108">
        <f>IF('SAFETY FAN DATA'!$I$23="GRID",'GR CALC'!P11,'SAFETY FAN DATA'!L38)</f>
        <v>0</v>
      </c>
      <c r="D13" s="319"/>
    </row>
    <row r="14" spans="1:7" ht="15.75" customHeight="1" thickBot="1">
      <c r="A14" s="98">
        <v>10</v>
      </c>
      <c r="B14" s="210">
        <f>IF('SAFETY FAN DATA'!$I$23="GRID",IF('SAFETY FAN DATA'!$L$51="No",'GR CALC'!O12,'GR CALC'!O12+'SAFETY FAN DATA'!L33),IF('SAFETY FAN DATA'!$L$51="No",'SAFETY FAN DATA'!K39,'SAFETY FAN DATA'!K39 +'SAFETY FAN DATA'!L33))</f>
        <v>0</v>
      </c>
      <c r="C14" s="108">
        <f>IF('SAFETY FAN DATA'!$I$23="GRID",'GR CALC'!P12,'SAFETY FAN DATA'!L39)</f>
        <v>0</v>
      </c>
      <c r="D14" s="319"/>
    </row>
  </sheetData>
  <mergeCells count="2">
    <mergeCell ref="A2:D3"/>
    <mergeCell ref="D5:D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M21"/>
  <sheetViews>
    <sheetView workbookViewId="0"/>
  </sheetViews>
  <sheetFormatPr defaultRowHeight="14.25"/>
  <sheetData>
    <row r="9" spans="9:13" ht="15" thickBot="1"/>
    <row r="10" spans="9:13" ht="15.75" thickBot="1">
      <c r="I10" s="291" t="s">
        <v>135</v>
      </c>
      <c r="J10" s="292"/>
      <c r="K10" s="292" t="str">
        <f>'SAFETY FAN DATA'!I3</f>
        <v>NURSERY -STAI</v>
      </c>
      <c r="L10" s="293"/>
    </row>
    <row r="11" spans="9:13" ht="15">
      <c r="I11" s="226" t="s">
        <v>125</v>
      </c>
      <c r="J11" s="227" t="s">
        <v>127</v>
      </c>
      <c r="K11" s="227" t="s">
        <v>126</v>
      </c>
      <c r="L11" s="227" t="s">
        <v>105</v>
      </c>
      <c r="M11" s="228" t="s">
        <v>111</v>
      </c>
    </row>
    <row r="12" spans="9:13" ht="15">
      <c r="I12" s="226">
        <v>1</v>
      </c>
      <c r="J12" s="224" t="s">
        <v>120</v>
      </c>
      <c r="K12" s="43">
        <f>IF(K10='STAPD INPUT'!$A$42,'STAPD INPUT'!C6,IF(K10='STAPD INPUT'!$A$43,'STAPD INPUT'!H6,IF(K10='STAPD INPUT'!$A$44,'STAPD INPUT'!M6,0)))</f>
        <v>9790</v>
      </c>
      <c r="L12" s="43"/>
      <c r="M12" s="229">
        <v>0</v>
      </c>
    </row>
    <row r="13" spans="9:13" ht="15">
      <c r="I13" s="226">
        <v>2</v>
      </c>
      <c r="J13" s="224" t="s">
        <v>120</v>
      </c>
      <c r="K13" s="43"/>
      <c r="L13" s="43"/>
      <c r="M13" s="229">
        <v>0</v>
      </c>
    </row>
    <row r="14" spans="9:13" ht="15">
      <c r="I14" s="226">
        <v>3</v>
      </c>
      <c r="J14" s="224" t="s">
        <v>121</v>
      </c>
      <c r="K14" s="43"/>
      <c r="L14" s="43"/>
      <c r="M14" s="229">
        <v>0</v>
      </c>
    </row>
    <row r="15" spans="9:13" ht="15">
      <c r="I15" s="226">
        <v>4</v>
      </c>
      <c r="J15" s="224" t="s">
        <v>120</v>
      </c>
      <c r="K15" s="233"/>
      <c r="L15" s="233"/>
      <c r="M15" s="229">
        <v>0</v>
      </c>
    </row>
    <row r="16" spans="9:13" ht="15">
      <c r="I16" s="226">
        <v>5</v>
      </c>
      <c r="J16" s="224" t="s">
        <v>120</v>
      </c>
      <c r="K16" s="233"/>
      <c r="L16" s="233"/>
      <c r="M16" s="229">
        <v>0</v>
      </c>
    </row>
    <row r="17" spans="9:13" ht="15">
      <c r="I17" s="226">
        <v>6</v>
      </c>
      <c r="J17" s="224" t="s">
        <v>120</v>
      </c>
      <c r="K17" s="233"/>
      <c r="L17" s="233"/>
      <c r="M17" s="229">
        <v>0</v>
      </c>
    </row>
    <row r="18" spans="9:13" ht="15">
      <c r="I18" s="226">
        <v>7</v>
      </c>
      <c r="J18" s="224" t="s">
        <v>120</v>
      </c>
      <c r="K18" s="233"/>
      <c r="L18" s="233"/>
      <c r="M18" s="229">
        <v>0</v>
      </c>
    </row>
    <row r="19" spans="9:13" ht="15">
      <c r="I19" s="226">
        <v>8</v>
      </c>
      <c r="J19" s="224" t="s">
        <v>120</v>
      </c>
      <c r="K19" s="233"/>
      <c r="L19" s="233"/>
      <c r="M19" s="229">
        <v>0</v>
      </c>
    </row>
    <row r="20" spans="9:13" ht="15">
      <c r="I20" s="226">
        <v>9</v>
      </c>
      <c r="J20" s="224" t="s">
        <v>120</v>
      </c>
      <c r="K20" s="43"/>
      <c r="L20" s="43"/>
      <c r="M20" s="229"/>
    </row>
    <row r="21" spans="9:13" ht="15.75" thickBot="1">
      <c r="I21" s="230">
        <v>10</v>
      </c>
      <c r="J21" s="225" t="s">
        <v>120</v>
      </c>
      <c r="K21" s="231"/>
      <c r="L21" s="231"/>
      <c r="M21" s="232"/>
    </row>
  </sheetData>
  <mergeCells count="2">
    <mergeCell ref="I10:J10"/>
    <mergeCell ref="K10:L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'GR CALC'!$V$2:$V$3</xm:f>
          </x14:formula1>
          <xm:sqref>J12:J21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K41" sqref="K41"/>
    </sheetView>
  </sheetViews>
  <sheetFormatPr defaultRowHeight="14.25"/>
  <cols>
    <col min="2" max="2" width="11.25" bestFit="1" customWidth="1"/>
    <col min="7" max="7" width="11.25" bestFit="1" customWidth="1"/>
    <col min="12" max="12" width="11.25" bestFit="1" customWidth="1"/>
    <col min="17" max="17" width="11.25" bestFit="1" customWidth="1"/>
  </cols>
  <sheetData>
    <row r="1" spans="1:20" ht="14.25" customHeight="1">
      <c r="H1" s="298" t="s">
        <v>132</v>
      </c>
      <c r="I1" s="299"/>
      <c r="J1" s="299"/>
      <c r="K1" s="299"/>
      <c r="L1" s="300"/>
    </row>
    <row r="2" spans="1:20" ht="14.25" customHeight="1" thickBot="1">
      <c r="H2" s="301"/>
      <c r="I2" s="302"/>
      <c r="J2" s="302"/>
      <c r="K2" s="302"/>
      <c r="L2" s="303"/>
    </row>
    <row r="3" spans="1:20" ht="15" customHeight="1" thickBot="1"/>
    <row r="4" spans="1:20" ht="15">
      <c r="A4" s="295" t="s">
        <v>129</v>
      </c>
      <c r="B4" s="296"/>
      <c r="C4" s="296"/>
      <c r="D4" s="296"/>
      <c r="E4" s="297"/>
      <c r="F4" s="295" t="s">
        <v>130</v>
      </c>
      <c r="G4" s="296"/>
      <c r="H4" s="296"/>
      <c r="I4" s="296"/>
      <c r="J4" s="297"/>
      <c r="K4" s="295" t="s">
        <v>131</v>
      </c>
      <c r="L4" s="296"/>
      <c r="M4" s="296"/>
      <c r="N4" s="296"/>
      <c r="O4" s="297"/>
      <c r="P4" s="295" t="s">
        <v>133</v>
      </c>
      <c r="Q4" s="296"/>
      <c r="R4" s="296"/>
      <c r="S4" s="296"/>
      <c r="T4" s="297"/>
    </row>
    <row r="5" spans="1:20" ht="15">
      <c r="A5" s="226" t="s">
        <v>125</v>
      </c>
      <c r="B5" s="227" t="s">
        <v>127</v>
      </c>
      <c r="C5" s="227" t="s">
        <v>126</v>
      </c>
      <c r="D5" s="227" t="s">
        <v>105</v>
      </c>
      <c r="E5" s="228" t="s">
        <v>111</v>
      </c>
      <c r="F5" s="226" t="s">
        <v>125</v>
      </c>
      <c r="G5" s="227" t="s">
        <v>127</v>
      </c>
      <c r="H5" s="227" t="s">
        <v>126</v>
      </c>
      <c r="I5" s="227" t="s">
        <v>105</v>
      </c>
      <c r="J5" s="228" t="s">
        <v>111</v>
      </c>
      <c r="K5" s="226" t="s">
        <v>125</v>
      </c>
      <c r="L5" s="227" t="s">
        <v>127</v>
      </c>
      <c r="M5" s="227" t="s">
        <v>126</v>
      </c>
      <c r="N5" s="227" t="s">
        <v>105</v>
      </c>
      <c r="O5" s="228" t="s">
        <v>111</v>
      </c>
      <c r="P5" s="226" t="s">
        <v>125</v>
      </c>
      <c r="Q5" s="227" t="s">
        <v>127</v>
      </c>
      <c r="R5" s="227" t="s">
        <v>126</v>
      </c>
      <c r="S5" s="227" t="s">
        <v>105</v>
      </c>
      <c r="T5" s="228" t="s">
        <v>111</v>
      </c>
    </row>
    <row r="6" spans="1:20" ht="15">
      <c r="A6" s="226">
        <v>1</v>
      </c>
      <c r="B6" s="224" t="s">
        <v>120</v>
      </c>
      <c r="C6" s="43">
        <v>9790</v>
      </c>
      <c r="D6" s="43">
        <v>3840</v>
      </c>
      <c r="E6" s="229">
        <v>0</v>
      </c>
      <c r="F6" s="226">
        <v>1</v>
      </c>
      <c r="G6" s="224" t="s">
        <v>120</v>
      </c>
      <c r="H6" s="233">
        <v>9510</v>
      </c>
      <c r="I6" s="233">
        <v>3650</v>
      </c>
      <c r="J6" s="229">
        <v>0</v>
      </c>
      <c r="K6" s="226">
        <v>1</v>
      </c>
      <c r="L6" s="224" t="s">
        <v>120</v>
      </c>
      <c r="M6" s="233">
        <v>9790</v>
      </c>
      <c r="N6" s="233">
        <v>3840</v>
      </c>
      <c r="O6" s="229"/>
      <c r="P6" s="226">
        <v>1</v>
      </c>
      <c r="Q6" s="224" t="s">
        <v>120</v>
      </c>
      <c r="R6" s="233">
        <v>9790</v>
      </c>
      <c r="S6" s="233">
        <v>3840</v>
      </c>
      <c r="T6" s="229"/>
    </row>
    <row r="7" spans="1:20" ht="15">
      <c r="A7" s="226">
        <v>2</v>
      </c>
      <c r="B7" s="224" t="s">
        <v>120</v>
      </c>
      <c r="C7" s="43">
        <v>9990</v>
      </c>
      <c r="D7" s="43">
        <v>3840</v>
      </c>
      <c r="E7" s="229">
        <v>0</v>
      </c>
      <c r="F7" s="226">
        <v>2</v>
      </c>
      <c r="G7" s="224" t="s">
        <v>120</v>
      </c>
      <c r="H7" s="233">
        <v>9790</v>
      </c>
      <c r="I7" s="233">
        <v>3860</v>
      </c>
      <c r="J7" s="229">
        <v>0</v>
      </c>
      <c r="K7" s="226">
        <v>2</v>
      </c>
      <c r="L7" s="224" t="s">
        <v>120</v>
      </c>
      <c r="M7" s="233">
        <v>9990</v>
      </c>
      <c r="N7" s="233">
        <v>3840</v>
      </c>
      <c r="O7" s="229"/>
      <c r="P7" s="226">
        <v>2</v>
      </c>
      <c r="Q7" s="224" t="s">
        <v>120</v>
      </c>
      <c r="R7" s="233">
        <v>9990</v>
      </c>
      <c r="S7" s="233">
        <v>3840</v>
      </c>
      <c r="T7" s="229"/>
    </row>
    <row r="8" spans="1:20" ht="15">
      <c r="A8" s="226">
        <v>3</v>
      </c>
      <c r="B8" s="224" t="s">
        <v>121</v>
      </c>
      <c r="C8" s="43">
        <v>70</v>
      </c>
      <c r="D8" s="43">
        <v>3620</v>
      </c>
      <c r="E8" s="229">
        <v>0</v>
      </c>
      <c r="F8" s="226">
        <v>3</v>
      </c>
      <c r="G8" s="224" t="s">
        <v>121</v>
      </c>
      <c r="H8" s="233">
        <v>10</v>
      </c>
      <c r="I8" s="233">
        <v>3880</v>
      </c>
      <c r="J8" s="229">
        <v>0</v>
      </c>
      <c r="K8" s="226">
        <v>3</v>
      </c>
      <c r="L8" s="224" t="s">
        <v>121</v>
      </c>
      <c r="M8" s="233">
        <v>70</v>
      </c>
      <c r="N8" s="233">
        <v>3620</v>
      </c>
      <c r="O8" s="229"/>
      <c r="P8" s="226">
        <v>3</v>
      </c>
      <c r="Q8" s="224" t="s">
        <v>121</v>
      </c>
      <c r="R8" s="233">
        <v>70</v>
      </c>
      <c r="S8" s="233">
        <v>3620</v>
      </c>
      <c r="T8" s="229"/>
    </row>
    <row r="9" spans="1:20" ht="15">
      <c r="A9" s="226">
        <v>4</v>
      </c>
      <c r="B9" s="224" t="s">
        <v>120</v>
      </c>
      <c r="C9" s="233">
        <v>9980</v>
      </c>
      <c r="D9" s="233">
        <v>3530</v>
      </c>
      <c r="E9" s="229">
        <v>0</v>
      </c>
      <c r="F9" s="226">
        <v>4</v>
      </c>
      <c r="G9" s="224" t="s">
        <v>121</v>
      </c>
      <c r="H9" s="233">
        <v>20</v>
      </c>
      <c r="I9" s="233">
        <v>3780</v>
      </c>
      <c r="J9" s="229">
        <v>0</v>
      </c>
      <c r="K9" s="226">
        <v>4</v>
      </c>
      <c r="L9" s="224" t="s">
        <v>120</v>
      </c>
      <c r="M9" s="233">
        <v>9980</v>
      </c>
      <c r="N9" s="233">
        <v>3530</v>
      </c>
      <c r="O9" s="229"/>
      <c r="P9" s="226">
        <v>4</v>
      </c>
      <c r="Q9" s="224" t="s">
        <v>120</v>
      </c>
      <c r="R9" s="233">
        <v>9980</v>
      </c>
      <c r="S9" s="233">
        <v>3530</v>
      </c>
      <c r="T9" s="229"/>
    </row>
    <row r="10" spans="1:20" ht="15">
      <c r="A10" s="226">
        <v>5</v>
      </c>
      <c r="B10" s="224" t="s">
        <v>120</v>
      </c>
      <c r="C10" s="233">
        <v>9850</v>
      </c>
      <c r="D10" s="233">
        <v>3440</v>
      </c>
      <c r="E10" s="229">
        <v>0</v>
      </c>
      <c r="F10" s="226">
        <v>5</v>
      </c>
      <c r="G10" s="224" t="s">
        <v>121</v>
      </c>
      <c r="H10" s="233">
        <v>30</v>
      </c>
      <c r="I10" s="233">
        <v>3480</v>
      </c>
      <c r="J10" s="229">
        <v>0</v>
      </c>
      <c r="K10" s="226">
        <v>5</v>
      </c>
      <c r="L10" s="224" t="s">
        <v>120</v>
      </c>
      <c r="M10" s="233">
        <v>9900</v>
      </c>
      <c r="N10" s="233">
        <v>3480</v>
      </c>
      <c r="O10" s="229"/>
      <c r="P10" s="226">
        <v>5</v>
      </c>
      <c r="Q10" s="224" t="s">
        <v>120</v>
      </c>
      <c r="R10" s="233">
        <v>9900</v>
      </c>
      <c r="S10" s="233">
        <v>3480</v>
      </c>
      <c r="T10" s="229"/>
    </row>
    <row r="11" spans="1:20" ht="15">
      <c r="A11" s="226">
        <v>6</v>
      </c>
      <c r="B11" s="224" t="s">
        <v>120</v>
      </c>
      <c r="C11" s="233">
        <v>9670</v>
      </c>
      <c r="D11" s="233">
        <v>3370</v>
      </c>
      <c r="E11" s="229">
        <v>0</v>
      </c>
      <c r="F11" s="226">
        <v>6</v>
      </c>
      <c r="G11" s="224" t="s">
        <v>120</v>
      </c>
      <c r="H11" s="233">
        <v>9820</v>
      </c>
      <c r="I11" s="233">
        <v>3380</v>
      </c>
      <c r="J11" s="229">
        <v>0</v>
      </c>
      <c r="K11" s="226">
        <v>6</v>
      </c>
      <c r="L11" s="224" t="s">
        <v>120</v>
      </c>
      <c r="M11" s="233">
        <v>9700</v>
      </c>
      <c r="N11" s="233">
        <v>3410</v>
      </c>
      <c r="O11" s="229"/>
      <c r="P11" s="226">
        <v>6</v>
      </c>
      <c r="Q11" s="224" t="s">
        <v>120</v>
      </c>
      <c r="R11" s="233">
        <v>9700</v>
      </c>
      <c r="S11" s="233">
        <v>3410</v>
      </c>
      <c r="T11" s="229"/>
    </row>
    <row r="12" spans="1:20" ht="15">
      <c r="A12" s="226">
        <v>7</v>
      </c>
      <c r="B12" s="224" t="s">
        <v>120</v>
      </c>
      <c r="C12" s="233">
        <v>9530</v>
      </c>
      <c r="D12" s="233">
        <v>3550</v>
      </c>
      <c r="E12" s="229">
        <v>0</v>
      </c>
      <c r="F12" s="226">
        <v>7</v>
      </c>
      <c r="G12" s="224" t="s">
        <v>120</v>
      </c>
      <c r="H12" s="43"/>
      <c r="I12" s="43"/>
      <c r="J12" s="229"/>
      <c r="K12" s="226">
        <v>7</v>
      </c>
      <c r="L12" s="224" t="s">
        <v>120</v>
      </c>
      <c r="M12" s="233">
        <v>9580</v>
      </c>
      <c r="N12" s="233">
        <v>3570</v>
      </c>
      <c r="O12" s="229"/>
      <c r="P12" s="226">
        <v>7</v>
      </c>
      <c r="Q12" s="224" t="s">
        <v>120</v>
      </c>
      <c r="R12" s="233">
        <v>9580</v>
      </c>
      <c r="S12" s="233">
        <v>3570</v>
      </c>
      <c r="T12" s="229"/>
    </row>
    <row r="13" spans="1:20" ht="15">
      <c r="A13" s="226">
        <v>8</v>
      </c>
      <c r="B13" s="224" t="s">
        <v>120</v>
      </c>
      <c r="C13" s="233">
        <v>9640</v>
      </c>
      <c r="D13" s="233">
        <v>3680</v>
      </c>
      <c r="E13" s="229">
        <v>0</v>
      </c>
      <c r="F13" s="226">
        <v>8</v>
      </c>
      <c r="G13" s="224" t="s">
        <v>120</v>
      </c>
      <c r="H13" s="43"/>
      <c r="I13" s="43"/>
      <c r="J13" s="229"/>
      <c r="K13" s="226">
        <v>8</v>
      </c>
      <c r="L13" s="224" t="s">
        <v>120</v>
      </c>
      <c r="M13" s="233">
        <v>9640</v>
      </c>
      <c r="N13" s="233">
        <v>3680</v>
      </c>
      <c r="O13" s="229"/>
      <c r="P13" s="226">
        <v>8</v>
      </c>
      <c r="Q13" s="224" t="s">
        <v>120</v>
      </c>
      <c r="R13" s="233">
        <v>9640</v>
      </c>
      <c r="S13" s="233">
        <v>3680</v>
      </c>
      <c r="T13" s="229"/>
    </row>
    <row r="14" spans="1:20" ht="15">
      <c r="A14" s="226">
        <v>9</v>
      </c>
      <c r="B14" s="224" t="s">
        <v>120</v>
      </c>
      <c r="C14" s="43"/>
      <c r="D14" s="43"/>
      <c r="E14" s="229"/>
      <c r="F14" s="226">
        <v>9</v>
      </c>
      <c r="G14" s="224" t="s">
        <v>120</v>
      </c>
      <c r="H14" s="43"/>
      <c r="I14" s="43"/>
      <c r="J14" s="229"/>
      <c r="K14" s="226">
        <v>9</v>
      </c>
      <c r="L14" s="224" t="s">
        <v>120</v>
      </c>
      <c r="M14" s="43"/>
      <c r="N14" s="43"/>
      <c r="O14" s="229"/>
      <c r="P14" s="226">
        <v>9</v>
      </c>
      <c r="Q14" s="224" t="s">
        <v>120</v>
      </c>
      <c r="R14" s="43"/>
      <c r="S14" s="43"/>
      <c r="T14" s="229"/>
    </row>
    <row r="15" spans="1:20" ht="15.75" thickBot="1">
      <c r="A15" s="230">
        <v>10</v>
      </c>
      <c r="B15" s="225" t="s">
        <v>120</v>
      </c>
      <c r="C15" s="231"/>
      <c r="D15" s="231"/>
      <c r="E15" s="232"/>
      <c r="F15" s="230">
        <v>10</v>
      </c>
      <c r="G15" s="225" t="s">
        <v>120</v>
      </c>
      <c r="H15" s="231"/>
      <c r="I15" s="231"/>
      <c r="J15" s="232"/>
      <c r="K15" s="230">
        <v>10</v>
      </c>
      <c r="L15" s="225" t="s">
        <v>120</v>
      </c>
      <c r="M15" s="231"/>
      <c r="N15" s="231"/>
      <c r="O15" s="232"/>
      <c r="P15" s="230">
        <v>10</v>
      </c>
      <c r="Q15" s="225" t="s">
        <v>120</v>
      </c>
      <c r="R15" s="231"/>
      <c r="S15" s="231"/>
      <c r="T15" s="232"/>
    </row>
    <row r="16" spans="1:20" ht="15">
      <c r="A16" s="295">
        <v>5</v>
      </c>
      <c r="B16" s="296"/>
      <c r="C16" s="296"/>
      <c r="D16" s="296"/>
      <c r="E16" s="297"/>
      <c r="F16" s="295">
        <v>6</v>
      </c>
      <c r="G16" s="296"/>
      <c r="H16" s="296"/>
      <c r="I16" s="296"/>
      <c r="J16" s="297"/>
      <c r="K16" s="295">
        <v>7</v>
      </c>
      <c r="L16" s="296"/>
      <c r="M16" s="296"/>
      <c r="N16" s="296"/>
      <c r="O16" s="297"/>
      <c r="P16" s="295">
        <v>8</v>
      </c>
      <c r="Q16" s="296"/>
      <c r="R16" s="296"/>
      <c r="S16" s="296"/>
      <c r="T16" s="297"/>
    </row>
    <row r="17" spans="1:20" ht="15">
      <c r="A17" s="226" t="s">
        <v>125</v>
      </c>
      <c r="B17" s="227" t="s">
        <v>127</v>
      </c>
      <c r="C17" s="227" t="s">
        <v>126</v>
      </c>
      <c r="D17" s="227" t="s">
        <v>105</v>
      </c>
      <c r="E17" s="228" t="s">
        <v>111</v>
      </c>
      <c r="F17" s="226" t="s">
        <v>125</v>
      </c>
      <c r="G17" s="227" t="s">
        <v>127</v>
      </c>
      <c r="H17" s="227" t="s">
        <v>126</v>
      </c>
      <c r="I17" s="227" t="s">
        <v>105</v>
      </c>
      <c r="J17" s="228" t="s">
        <v>111</v>
      </c>
      <c r="K17" s="226" t="s">
        <v>125</v>
      </c>
      <c r="L17" s="227" t="s">
        <v>127</v>
      </c>
      <c r="M17" s="227" t="s">
        <v>126</v>
      </c>
      <c r="N17" s="227" t="s">
        <v>105</v>
      </c>
      <c r="O17" s="228" t="s">
        <v>111</v>
      </c>
      <c r="P17" s="226" t="s">
        <v>125</v>
      </c>
      <c r="Q17" s="227" t="s">
        <v>127</v>
      </c>
      <c r="R17" s="227" t="s">
        <v>126</v>
      </c>
      <c r="S17" s="227" t="s">
        <v>105</v>
      </c>
      <c r="T17" s="228" t="s">
        <v>111</v>
      </c>
    </row>
    <row r="18" spans="1:20" ht="15">
      <c r="A18" s="226">
        <v>1</v>
      </c>
      <c r="B18" s="224" t="s">
        <v>120</v>
      </c>
      <c r="C18" s="43"/>
      <c r="D18" s="43"/>
      <c r="E18" s="229">
        <v>0</v>
      </c>
      <c r="F18" s="226">
        <v>1</v>
      </c>
      <c r="G18" s="224" t="s">
        <v>120</v>
      </c>
      <c r="H18" s="233"/>
      <c r="I18" s="233"/>
      <c r="J18" s="229">
        <v>0</v>
      </c>
      <c r="K18" s="226">
        <v>1</v>
      </c>
      <c r="L18" s="224" t="s">
        <v>120</v>
      </c>
      <c r="M18" s="233"/>
      <c r="N18" s="233"/>
      <c r="O18" s="229"/>
      <c r="P18" s="226">
        <v>1</v>
      </c>
      <c r="Q18" s="224" t="s">
        <v>120</v>
      </c>
      <c r="R18" s="233"/>
      <c r="S18" s="233"/>
      <c r="T18" s="229"/>
    </row>
    <row r="19" spans="1:20" ht="15">
      <c r="A19" s="226">
        <v>2</v>
      </c>
      <c r="B19" s="224" t="s">
        <v>120</v>
      </c>
      <c r="C19" s="43"/>
      <c r="D19" s="43"/>
      <c r="E19" s="229">
        <v>0</v>
      </c>
      <c r="F19" s="226">
        <v>2</v>
      </c>
      <c r="G19" s="224" t="s">
        <v>120</v>
      </c>
      <c r="H19" s="233"/>
      <c r="I19" s="233"/>
      <c r="J19" s="229">
        <v>0</v>
      </c>
      <c r="K19" s="226">
        <v>2</v>
      </c>
      <c r="L19" s="224" t="s">
        <v>120</v>
      </c>
      <c r="M19" s="233"/>
      <c r="N19" s="233"/>
      <c r="O19" s="229"/>
      <c r="P19" s="226">
        <v>2</v>
      </c>
      <c r="Q19" s="224" t="s">
        <v>120</v>
      </c>
      <c r="R19" s="233"/>
      <c r="S19" s="233"/>
      <c r="T19" s="229"/>
    </row>
    <row r="20" spans="1:20" ht="15">
      <c r="A20" s="226">
        <v>3</v>
      </c>
      <c r="B20" s="224" t="s">
        <v>121</v>
      </c>
      <c r="C20" s="43"/>
      <c r="D20" s="43"/>
      <c r="E20" s="229">
        <v>0</v>
      </c>
      <c r="F20" s="226">
        <v>3</v>
      </c>
      <c r="G20" s="224" t="s">
        <v>121</v>
      </c>
      <c r="H20" s="233"/>
      <c r="I20" s="233"/>
      <c r="J20" s="229">
        <v>0</v>
      </c>
      <c r="K20" s="226">
        <v>3</v>
      </c>
      <c r="L20" s="224" t="s">
        <v>121</v>
      </c>
      <c r="M20" s="233"/>
      <c r="N20" s="233"/>
      <c r="O20" s="229"/>
      <c r="P20" s="226">
        <v>3</v>
      </c>
      <c r="Q20" s="224" t="s">
        <v>121</v>
      </c>
      <c r="R20" s="233"/>
      <c r="S20" s="233"/>
      <c r="T20" s="229"/>
    </row>
    <row r="21" spans="1:20" ht="15">
      <c r="A21" s="226">
        <v>4</v>
      </c>
      <c r="B21" s="224" t="s">
        <v>120</v>
      </c>
      <c r="C21" s="233"/>
      <c r="D21" s="233"/>
      <c r="E21" s="229">
        <v>0</v>
      </c>
      <c r="F21" s="226">
        <v>4</v>
      </c>
      <c r="G21" s="224" t="s">
        <v>121</v>
      </c>
      <c r="H21" s="233"/>
      <c r="I21" s="233"/>
      <c r="J21" s="229">
        <v>0</v>
      </c>
      <c r="K21" s="226">
        <v>4</v>
      </c>
      <c r="L21" s="224" t="s">
        <v>120</v>
      </c>
      <c r="M21" s="233"/>
      <c r="N21" s="233"/>
      <c r="O21" s="229"/>
      <c r="P21" s="226">
        <v>4</v>
      </c>
      <c r="Q21" s="224" t="s">
        <v>120</v>
      </c>
      <c r="R21" s="233"/>
      <c r="S21" s="233"/>
      <c r="T21" s="229"/>
    </row>
    <row r="22" spans="1:20" ht="15">
      <c r="A22" s="226">
        <v>5</v>
      </c>
      <c r="B22" s="224" t="s">
        <v>120</v>
      </c>
      <c r="C22" s="233"/>
      <c r="D22" s="233"/>
      <c r="E22" s="229">
        <v>0</v>
      </c>
      <c r="F22" s="226">
        <v>5</v>
      </c>
      <c r="G22" s="224" t="s">
        <v>121</v>
      </c>
      <c r="H22" s="233"/>
      <c r="I22" s="233"/>
      <c r="J22" s="229">
        <v>0</v>
      </c>
      <c r="K22" s="226">
        <v>5</v>
      </c>
      <c r="L22" s="224" t="s">
        <v>120</v>
      </c>
      <c r="M22" s="233"/>
      <c r="N22" s="233"/>
      <c r="O22" s="229"/>
      <c r="P22" s="226">
        <v>5</v>
      </c>
      <c r="Q22" s="224" t="s">
        <v>120</v>
      </c>
      <c r="R22" s="233"/>
      <c r="S22" s="233"/>
      <c r="T22" s="229"/>
    </row>
    <row r="23" spans="1:20" ht="15">
      <c r="A23" s="226">
        <v>6</v>
      </c>
      <c r="B23" s="224" t="s">
        <v>120</v>
      </c>
      <c r="C23" s="233"/>
      <c r="D23" s="233"/>
      <c r="E23" s="229">
        <v>0</v>
      </c>
      <c r="F23" s="226">
        <v>6</v>
      </c>
      <c r="G23" s="224" t="s">
        <v>120</v>
      </c>
      <c r="H23" s="233"/>
      <c r="I23" s="233"/>
      <c r="J23" s="229">
        <v>0</v>
      </c>
      <c r="K23" s="226">
        <v>6</v>
      </c>
      <c r="L23" s="224" t="s">
        <v>120</v>
      </c>
      <c r="M23" s="233"/>
      <c r="N23" s="233"/>
      <c r="O23" s="229"/>
      <c r="P23" s="226">
        <v>6</v>
      </c>
      <c r="Q23" s="224" t="s">
        <v>120</v>
      </c>
      <c r="R23" s="233"/>
      <c r="S23" s="233"/>
      <c r="T23" s="229"/>
    </row>
    <row r="24" spans="1:20" ht="15">
      <c r="A24" s="226">
        <v>7</v>
      </c>
      <c r="B24" s="224" t="s">
        <v>120</v>
      </c>
      <c r="C24" s="233"/>
      <c r="D24" s="233"/>
      <c r="E24" s="229">
        <v>0</v>
      </c>
      <c r="F24" s="226">
        <v>7</v>
      </c>
      <c r="G24" s="224" t="s">
        <v>120</v>
      </c>
      <c r="H24" s="43"/>
      <c r="I24" s="43"/>
      <c r="J24" s="229"/>
      <c r="K24" s="226">
        <v>7</v>
      </c>
      <c r="L24" s="224" t="s">
        <v>120</v>
      </c>
      <c r="M24" s="233"/>
      <c r="N24" s="233"/>
      <c r="O24" s="229"/>
      <c r="P24" s="226">
        <v>7</v>
      </c>
      <c r="Q24" s="224" t="s">
        <v>120</v>
      </c>
      <c r="R24" s="233"/>
      <c r="S24" s="233"/>
      <c r="T24" s="229"/>
    </row>
    <row r="25" spans="1:20" ht="15">
      <c r="A25" s="226">
        <v>8</v>
      </c>
      <c r="B25" s="224" t="s">
        <v>120</v>
      </c>
      <c r="C25" s="233"/>
      <c r="D25" s="233"/>
      <c r="E25" s="229">
        <v>0</v>
      </c>
      <c r="F25" s="226">
        <v>8</v>
      </c>
      <c r="G25" s="224" t="s">
        <v>120</v>
      </c>
      <c r="H25" s="43"/>
      <c r="I25" s="43"/>
      <c r="J25" s="229"/>
      <c r="K25" s="226">
        <v>8</v>
      </c>
      <c r="L25" s="224" t="s">
        <v>120</v>
      </c>
      <c r="M25" s="233"/>
      <c r="N25" s="233"/>
      <c r="O25" s="229"/>
      <c r="P25" s="226">
        <v>8</v>
      </c>
      <c r="Q25" s="224" t="s">
        <v>120</v>
      </c>
      <c r="R25" s="233"/>
      <c r="S25" s="233"/>
      <c r="T25" s="229"/>
    </row>
    <row r="26" spans="1:20" ht="15">
      <c r="A26" s="226">
        <v>9</v>
      </c>
      <c r="B26" s="224" t="s">
        <v>120</v>
      </c>
      <c r="C26" s="43"/>
      <c r="D26" s="43"/>
      <c r="E26" s="229"/>
      <c r="F26" s="226">
        <v>9</v>
      </c>
      <c r="G26" s="224" t="s">
        <v>120</v>
      </c>
      <c r="H26" s="43"/>
      <c r="I26" s="43"/>
      <c r="J26" s="229"/>
      <c r="K26" s="226">
        <v>9</v>
      </c>
      <c r="L26" s="224" t="s">
        <v>120</v>
      </c>
      <c r="M26" s="43"/>
      <c r="N26" s="43"/>
      <c r="O26" s="229"/>
      <c r="P26" s="226">
        <v>9</v>
      </c>
      <c r="Q26" s="224" t="s">
        <v>120</v>
      </c>
      <c r="R26" s="43"/>
      <c r="S26" s="43"/>
      <c r="T26" s="229"/>
    </row>
    <row r="27" spans="1:20" ht="15.75" thickBot="1">
      <c r="A27" s="230">
        <v>10</v>
      </c>
      <c r="B27" s="225" t="s">
        <v>120</v>
      </c>
      <c r="C27" s="231"/>
      <c r="D27" s="231"/>
      <c r="E27" s="232"/>
      <c r="F27" s="230">
        <v>10</v>
      </c>
      <c r="G27" s="225" t="s">
        <v>120</v>
      </c>
      <c r="H27" s="231"/>
      <c r="I27" s="231"/>
      <c r="J27" s="232"/>
      <c r="K27" s="230">
        <v>10</v>
      </c>
      <c r="L27" s="225" t="s">
        <v>120</v>
      </c>
      <c r="M27" s="231"/>
      <c r="N27" s="231"/>
      <c r="O27" s="232"/>
      <c r="P27" s="230">
        <v>10</v>
      </c>
      <c r="Q27" s="225" t="s">
        <v>120</v>
      </c>
      <c r="R27" s="231"/>
      <c r="S27" s="231"/>
      <c r="T27" s="232"/>
    </row>
    <row r="28" spans="1:20" ht="15">
      <c r="A28" s="295">
        <v>9</v>
      </c>
      <c r="B28" s="296"/>
      <c r="C28" s="296"/>
      <c r="D28" s="296"/>
      <c r="E28" s="297"/>
      <c r="F28" s="295">
        <v>10</v>
      </c>
      <c r="G28" s="296"/>
      <c r="H28" s="296"/>
      <c r="I28" s="296"/>
      <c r="J28" s="297"/>
      <c r="K28" s="295">
        <v>11</v>
      </c>
      <c r="L28" s="296"/>
      <c r="M28" s="296"/>
      <c r="N28" s="296"/>
      <c r="O28" s="297"/>
      <c r="P28" s="295">
        <v>12</v>
      </c>
      <c r="Q28" s="296"/>
      <c r="R28" s="296"/>
      <c r="S28" s="296"/>
      <c r="T28" s="297"/>
    </row>
    <row r="29" spans="1:20" ht="15">
      <c r="A29" s="226" t="s">
        <v>125</v>
      </c>
      <c r="B29" s="227" t="s">
        <v>127</v>
      </c>
      <c r="C29" s="227" t="s">
        <v>126</v>
      </c>
      <c r="D29" s="227" t="s">
        <v>105</v>
      </c>
      <c r="E29" s="228" t="s">
        <v>111</v>
      </c>
      <c r="F29" s="226" t="s">
        <v>125</v>
      </c>
      <c r="G29" s="227" t="s">
        <v>127</v>
      </c>
      <c r="H29" s="227" t="s">
        <v>126</v>
      </c>
      <c r="I29" s="227" t="s">
        <v>105</v>
      </c>
      <c r="J29" s="228" t="s">
        <v>111</v>
      </c>
      <c r="K29" s="226" t="s">
        <v>125</v>
      </c>
      <c r="L29" s="227" t="s">
        <v>127</v>
      </c>
      <c r="M29" s="227" t="s">
        <v>126</v>
      </c>
      <c r="N29" s="227" t="s">
        <v>105</v>
      </c>
      <c r="O29" s="228" t="s">
        <v>111</v>
      </c>
      <c r="P29" s="226" t="s">
        <v>125</v>
      </c>
      <c r="Q29" s="227" t="s">
        <v>127</v>
      </c>
      <c r="R29" s="227" t="s">
        <v>126</v>
      </c>
      <c r="S29" s="227" t="s">
        <v>105</v>
      </c>
      <c r="T29" s="228" t="s">
        <v>111</v>
      </c>
    </row>
    <row r="30" spans="1:20" ht="15">
      <c r="A30" s="226">
        <v>1</v>
      </c>
      <c r="B30" s="224" t="s">
        <v>120</v>
      </c>
      <c r="C30" s="43"/>
      <c r="D30" s="43"/>
      <c r="E30" s="229">
        <v>0</v>
      </c>
      <c r="F30" s="226">
        <v>1</v>
      </c>
      <c r="G30" s="224" t="s">
        <v>120</v>
      </c>
      <c r="H30" s="233"/>
      <c r="I30" s="233"/>
      <c r="J30" s="229">
        <v>0</v>
      </c>
      <c r="K30" s="226">
        <v>1</v>
      </c>
      <c r="L30" s="224" t="s">
        <v>120</v>
      </c>
      <c r="M30" s="233"/>
      <c r="N30" s="233"/>
      <c r="O30" s="229"/>
      <c r="P30" s="226">
        <v>1</v>
      </c>
      <c r="Q30" s="224" t="s">
        <v>120</v>
      </c>
      <c r="R30" s="233"/>
      <c r="S30" s="233"/>
      <c r="T30" s="229"/>
    </row>
    <row r="31" spans="1:20" ht="15">
      <c r="A31" s="226">
        <v>2</v>
      </c>
      <c r="B31" s="224" t="s">
        <v>120</v>
      </c>
      <c r="C31" s="43"/>
      <c r="D31" s="43"/>
      <c r="E31" s="229">
        <v>0</v>
      </c>
      <c r="F31" s="226">
        <v>2</v>
      </c>
      <c r="G31" s="224" t="s">
        <v>120</v>
      </c>
      <c r="H31" s="233"/>
      <c r="I31" s="233"/>
      <c r="J31" s="229">
        <v>0</v>
      </c>
      <c r="K31" s="226">
        <v>2</v>
      </c>
      <c r="L31" s="224" t="s">
        <v>120</v>
      </c>
      <c r="M31" s="233"/>
      <c r="N31" s="233"/>
      <c r="O31" s="229"/>
      <c r="P31" s="226">
        <v>2</v>
      </c>
      <c r="Q31" s="224" t="s">
        <v>120</v>
      </c>
      <c r="R31" s="233"/>
      <c r="S31" s="233"/>
      <c r="T31" s="229"/>
    </row>
    <row r="32" spans="1:20" ht="15">
      <c r="A32" s="226">
        <v>3</v>
      </c>
      <c r="B32" s="224" t="s">
        <v>121</v>
      </c>
      <c r="C32" s="43"/>
      <c r="D32" s="43"/>
      <c r="E32" s="229">
        <v>0</v>
      </c>
      <c r="F32" s="226">
        <v>3</v>
      </c>
      <c r="G32" s="224" t="s">
        <v>121</v>
      </c>
      <c r="H32" s="233"/>
      <c r="I32" s="233"/>
      <c r="J32" s="229">
        <v>0</v>
      </c>
      <c r="K32" s="226">
        <v>3</v>
      </c>
      <c r="L32" s="224" t="s">
        <v>121</v>
      </c>
      <c r="M32" s="233"/>
      <c r="N32" s="233"/>
      <c r="O32" s="229"/>
      <c r="P32" s="226">
        <v>3</v>
      </c>
      <c r="Q32" s="224" t="s">
        <v>121</v>
      </c>
      <c r="R32" s="233"/>
      <c r="S32" s="233"/>
      <c r="T32" s="229"/>
    </row>
    <row r="33" spans="1:20" ht="15">
      <c r="A33" s="226">
        <v>4</v>
      </c>
      <c r="B33" s="224" t="s">
        <v>120</v>
      </c>
      <c r="C33" s="233"/>
      <c r="D33" s="233"/>
      <c r="E33" s="229">
        <v>0</v>
      </c>
      <c r="F33" s="226">
        <v>4</v>
      </c>
      <c r="G33" s="224" t="s">
        <v>121</v>
      </c>
      <c r="H33" s="233"/>
      <c r="I33" s="233"/>
      <c r="J33" s="229">
        <v>0</v>
      </c>
      <c r="K33" s="226">
        <v>4</v>
      </c>
      <c r="L33" s="224" t="s">
        <v>120</v>
      </c>
      <c r="M33" s="233"/>
      <c r="N33" s="233"/>
      <c r="O33" s="229"/>
      <c r="P33" s="226">
        <v>4</v>
      </c>
      <c r="Q33" s="224" t="s">
        <v>120</v>
      </c>
      <c r="R33" s="233"/>
      <c r="S33" s="233"/>
      <c r="T33" s="229"/>
    </row>
    <row r="34" spans="1:20" ht="15">
      <c r="A34" s="226">
        <v>5</v>
      </c>
      <c r="B34" s="224" t="s">
        <v>120</v>
      </c>
      <c r="C34" s="233"/>
      <c r="D34" s="233"/>
      <c r="E34" s="229">
        <v>0</v>
      </c>
      <c r="F34" s="226">
        <v>5</v>
      </c>
      <c r="G34" s="224" t="s">
        <v>121</v>
      </c>
      <c r="H34" s="233"/>
      <c r="I34" s="233"/>
      <c r="J34" s="229">
        <v>0</v>
      </c>
      <c r="K34" s="226">
        <v>5</v>
      </c>
      <c r="L34" s="224" t="s">
        <v>120</v>
      </c>
      <c r="M34" s="233"/>
      <c r="N34" s="233"/>
      <c r="O34" s="229"/>
      <c r="P34" s="226">
        <v>5</v>
      </c>
      <c r="Q34" s="224" t="s">
        <v>120</v>
      </c>
      <c r="R34" s="233"/>
      <c r="S34" s="233"/>
      <c r="T34" s="229"/>
    </row>
    <row r="35" spans="1:20" ht="15">
      <c r="A35" s="226">
        <v>6</v>
      </c>
      <c r="B35" s="224" t="s">
        <v>120</v>
      </c>
      <c r="C35" s="233"/>
      <c r="D35" s="233"/>
      <c r="E35" s="229">
        <v>0</v>
      </c>
      <c r="F35" s="226">
        <v>6</v>
      </c>
      <c r="G35" s="224" t="s">
        <v>120</v>
      </c>
      <c r="H35" s="233"/>
      <c r="I35" s="233"/>
      <c r="J35" s="229">
        <v>0</v>
      </c>
      <c r="K35" s="226">
        <v>6</v>
      </c>
      <c r="L35" s="224" t="s">
        <v>120</v>
      </c>
      <c r="M35" s="233"/>
      <c r="N35" s="233"/>
      <c r="O35" s="229"/>
      <c r="P35" s="226">
        <v>6</v>
      </c>
      <c r="Q35" s="224" t="s">
        <v>120</v>
      </c>
      <c r="R35" s="233"/>
      <c r="S35" s="233"/>
      <c r="T35" s="229"/>
    </row>
    <row r="36" spans="1:20" ht="15">
      <c r="A36" s="226">
        <v>7</v>
      </c>
      <c r="B36" s="224" t="s">
        <v>120</v>
      </c>
      <c r="C36" s="233"/>
      <c r="D36" s="233"/>
      <c r="E36" s="229">
        <v>0</v>
      </c>
      <c r="F36" s="226">
        <v>7</v>
      </c>
      <c r="G36" s="224" t="s">
        <v>120</v>
      </c>
      <c r="H36" s="43"/>
      <c r="I36" s="43"/>
      <c r="J36" s="229"/>
      <c r="K36" s="226">
        <v>7</v>
      </c>
      <c r="L36" s="224" t="s">
        <v>120</v>
      </c>
      <c r="M36" s="233"/>
      <c r="N36" s="233"/>
      <c r="O36" s="229"/>
      <c r="P36" s="226">
        <v>7</v>
      </c>
      <c r="Q36" s="224" t="s">
        <v>120</v>
      </c>
      <c r="R36" s="233"/>
      <c r="S36" s="233"/>
      <c r="T36" s="229"/>
    </row>
    <row r="37" spans="1:20" ht="15">
      <c r="A37" s="226">
        <v>8</v>
      </c>
      <c r="B37" s="224" t="s">
        <v>120</v>
      </c>
      <c r="C37" s="233"/>
      <c r="D37" s="233"/>
      <c r="E37" s="229">
        <v>0</v>
      </c>
      <c r="F37" s="226">
        <v>8</v>
      </c>
      <c r="G37" s="224" t="s">
        <v>120</v>
      </c>
      <c r="H37" s="43"/>
      <c r="I37" s="43"/>
      <c r="J37" s="229"/>
      <c r="K37" s="226">
        <v>8</v>
      </c>
      <c r="L37" s="224" t="s">
        <v>120</v>
      </c>
      <c r="M37" s="233"/>
      <c r="N37" s="233"/>
      <c r="O37" s="229"/>
      <c r="P37" s="226">
        <v>8</v>
      </c>
      <c r="Q37" s="224" t="s">
        <v>120</v>
      </c>
      <c r="R37" s="233"/>
      <c r="S37" s="233"/>
      <c r="T37" s="229"/>
    </row>
    <row r="38" spans="1:20" ht="15">
      <c r="A38" s="226">
        <v>9</v>
      </c>
      <c r="B38" s="224" t="s">
        <v>120</v>
      </c>
      <c r="C38" s="43"/>
      <c r="D38" s="43"/>
      <c r="E38" s="229"/>
      <c r="F38" s="226">
        <v>9</v>
      </c>
      <c r="G38" s="224" t="s">
        <v>120</v>
      </c>
      <c r="H38" s="43"/>
      <c r="I38" s="43"/>
      <c r="J38" s="229"/>
      <c r="K38" s="226">
        <v>9</v>
      </c>
      <c r="L38" s="224" t="s">
        <v>120</v>
      </c>
      <c r="M38" s="43"/>
      <c r="N38" s="43"/>
      <c r="O38" s="229"/>
      <c r="P38" s="226">
        <v>9</v>
      </c>
      <c r="Q38" s="224" t="s">
        <v>120</v>
      </c>
      <c r="R38" s="43"/>
      <c r="S38" s="43"/>
      <c r="T38" s="229"/>
    </row>
    <row r="39" spans="1:20" ht="15.75" thickBot="1">
      <c r="A39" s="230">
        <v>10</v>
      </c>
      <c r="B39" s="225" t="s">
        <v>120</v>
      </c>
      <c r="C39" s="231"/>
      <c r="D39" s="231"/>
      <c r="E39" s="232"/>
      <c r="F39" s="230">
        <v>10</v>
      </c>
      <c r="G39" s="225" t="s">
        <v>120</v>
      </c>
      <c r="H39" s="231"/>
      <c r="I39" s="231"/>
      <c r="J39" s="232"/>
      <c r="K39" s="230">
        <v>10</v>
      </c>
      <c r="L39" s="225" t="s">
        <v>120</v>
      </c>
      <c r="M39" s="231"/>
      <c r="N39" s="231"/>
      <c r="O39" s="232"/>
      <c r="P39" s="230">
        <v>10</v>
      </c>
      <c r="Q39" s="225" t="s">
        <v>120</v>
      </c>
      <c r="R39" s="231"/>
      <c r="S39" s="231"/>
      <c r="T39" s="232"/>
    </row>
    <row r="41" spans="1:20">
      <c r="A41" t="s">
        <v>134</v>
      </c>
      <c r="B41" s="246"/>
      <c r="C41" s="246"/>
    </row>
    <row r="42" spans="1:20">
      <c r="A42" s="294" t="str">
        <f>A4</f>
        <v>NURSERY - STAPD</v>
      </c>
      <c r="B42" s="294"/>
      <c r="C42" s="294"/>
    </row>
    <row r="43" spans="1:20">
      <c r="A43" s="294" t="str">
        <f>F4</f>
        <v>ENGINEERS HILL - STAPD</v>
      </c>
      <c r="B43" s="294"/>
      <c r="C43" s="294"/>
    </row>
    <row r="44" spans="1:20">
      <c r="A44" s="294" t="str">
        <f>K4</f>
        <v>NURSERY -STAI</v>
      </c>
      <c r="B44" s="294"/>
      <c r="C44" s="294"/>
    </row>
    <row r="45" spans="1:20">
      <c r="A45" s="294" t="str">
        <f>P4</f>
        <v>NAME 4</v>
      </c>
      <c r="B45" s="294"/>
      <c r="C45" s="294"/>
    </row>
    <row r="46" spans="1:20">
      <c r="A46" s="294">
        <f>A16</f>
        <v>5</v>
      </c>
      <c r="B46" s="294"/>
      <c r="C46" s="294"/>
    </row>
    <row r="47" spans="1:20">
      <c r="A47" s="294">
        <f>F16</f>
        <v>6</v>
      </c>
      <c r="B47" s="294"/>
      <c r="C47" s="294"/>
    </row>
    <row r="48" spans="1:20">
      <c r="A48" s="294">
        <f>K16</f>
        <v>7</v>
      </c>
      <c r="B48" s="294"/>
      <c r="C48" s="294"/>
    </row>
    <row r="49" spans="1:3">
      <c r="A49" s="294">
        <f>P16</f>
        <v>8</v>
      </c>
      <c r="B49" s="294"/>
      <c r="C49" s="294"/>
    </row>
    <row r="50" spans="1:3">
      <c r="A50" s="294">
        <f>A28</f>
        <v>9</v>
      </c>
      <c r="B50" s="294"/>
      <c r="C50" s="294"/>
    </row>
    <row r="51" spans="1:3">
      <c r="A51" s="294">
        <f>F28</f>
        <v>10</v>
      </c>
      <c r="B51" s="294"/>
      <c r="C51" s="294"/>
    </row>
    <row r="52" spans="1:3">
      <c r="A52" s="294">
        <f>K28</f>
        <v>11</v>
      </c>
      <c r="B52" s="294"/>
      <c r="C52" s="294"/>
    </row>
    <row r="53" spans="1:3">
      <c r="A53" s="294">
        <f>P28</f>
        <v>12</v>
      </c>
      <c r="B53" s="294"/>
      <c r="C53" s="294"/>
    </row>
  </sheetData>
  <mergeCells count="25">
    <mergeCell ref="H1:L2"/>
    <mergeCell ref="A16:E16"/>
    <mergeCell ref="F16:J16"/>
    <mergeCell ref="K16:O16"/>
    <mergeCell ref="A4:E4"/>
    <mergeCell ref="F4:J4"/>
    <mergeCell ref="K4:O4"/>
    <mergeCell ref="A28:E28"/>
    <mergeCell ref="F28:J28"/>
    <mergeCell ref="K28:O28"/>
    <mergeCell ref="P4:T4"/>
    <mergeCell ref="P16:T16"/>
    <mergeCell ref="P28:T28"/>
    <mergeCell ref="A51:C51"/>
    <mergeCell ref="A52:C52"/>
    <mergeCell ref="A53:C53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'GR CALC'!$V$2:$V$3</xm:f>
          </x14:formula1>
          <xm:sqref>B6:B15 G6:G15 L6:L15 G18:G27 L18:L27 B18:B27 B30:B39 G30:G39 L30:L39 Q6:Q15 Q18:Q27 Q30:Q39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18"/>
  <sheetViews>
    <sheetView workbookViewId="0">
      <selection sqref="A1:H1"/>
    </sheetView>
  </sheetViews>
  <sheetFormatPr defaultRowHeight="14.25"/>
  <cols>
    <col min="1" max="1" width="9.125" style="1"/>
    <col min="2" max="2" width="19.625" style="1" bestFit="1" customWidth="1"/>
    <col min="3" max="3" width="11.75" style="1" customWidth="1"/>
    <col min="4" max="4" width="17.25" bestFit="1" customWidth="1"/>
    <col min="5" max="5" width="19.75" style="1" bestFit="1" customWidth="1"/>
    <col min="6" max="6" width="18.125" bestFit="1" customWidth="1"/>
    <col min="7" max="7" width="18.25" bestFit="1" customWidth="1"/>
    <col min="8" max="8" width="9.625" customWidth="1"/>
    <col min="9" max="9" width="22.375" bestFit="1" customWidth="1"/>
    <col min="10" max="10" width="8.625" customWidth="1"/>
    <col min="11" max="11" width="17.25" bestFit="1" customWidth="1"/>
    <col min="12" max="12" width="11.25" bestFit="1" customWidth="1"/>
    <col min="13" max="13" width="12.375" bestFit="1" customWidth="1"/>
  </cols>
  <sheetData>
    <row r="1" spans="1:34" ht="26.25">
      <c r="A1" s="306" t="s">
        <v>14</v>
      </c>
      <c r="B1" s="306"/>
      <c r="C1" s="306"/>
      <c r="D1" s="306"/>
      <c r="E1" s="306"/>
      <c r="F1" s="306"/>
      <c r="G1" s="306"/>
      <c r="H1" s="306"/>
      <c r="I1" s="3"/>
      <c r="J1" s="3"/>
      <c r="K1" s="3"/>
    </row>
    <row r="2" spans="1:34" ht="15">
      <c r="A2" s="15" t="s">
        <v>0</v>
      </c>
      <c r="B2" s="15" t="s">
        <v>6</v>
      </c>
      <c r="C2" s="15" t="s">
        <v>1</v>
      </c>
      <c r="D2" s="15" t="s">
        <v>5</v>
      </c>
      <c r="E2" s="15" t="s">
        <v>7</v>
      </c>
      <c r="F2" s="15" t="s">
        <v>2</v>
      </c>
      <c r="G2" s="15" t="s">
        <v>3</v>
      </c>
      <c r="H2" s="15" t="s">
        <v>1</v>
      </c>
      <c r="I2" s="15" t="s">
        <v>5</v>
      </c>
      <c r="J2" s="307" t="s">
        <v>21</v>
      </c>
      <c r="K2" s="307"/>
    </row>
    <row r="3" spans="1:34" ht="15">
      <c r="A3" s="16">
        <v>100</v>
      </c>
      <c r="B3" s="21">
        <v>11.7</v>
      </c>
      <c r="C3" s="21">
        <v>0.5</v>
      </c>
      <c r="D3" s="21">
        <v>0</v>
      </c>
      <c r="E3" s="27">
        <v>0</v>
      </c>
      <c r="F3" s="31">
        <v>0</v>
      </c>
      <c r="G3" s="31">
        <v>0</v>
      </c>
      <c r="H3" s="38">
        <v>0</v>
      </c>
      <c r="I3" s="38">
        <v>0</v>
      </c>
      <c r="J3" s="2" t="s">
        <v>23</v>
      </c>
      <c r="K3" s="2" t="s">
        <v>24</v>
      </c>
      <c r="M3" s="2" t="s">
        <v>24</v>
      </c>
      <c r="N3" s="112" t="str">
        <f>INPUT!D5</f>
        <v>L/A</v>
      </c>
    </row>
    <row r="4" spans="1:34" ht="15">
      <c r="A4" s="17">
        <v>200</v>
      </c>
      <c r="B4" s="22">
        <v>23.4</v>
      </c>
      <c r="C4" s="22">
        <v>1</v>
      </c>
      <c r="D4" s="22">
        <v>0</v>
      </c>
      <c r="E4" s="28">
        <v>0</v>
      </c>
      <c r="F4" s="32">
        <v>0</v>
      </c>
      <c r="G4" s="32">
        <v>0</v>
      </c>
      <c r="H4" s="34">
        <v>0</v>
      </c>
      <c r="I4" s="34">
        <v>0</v>
      </c>
      <c r="J4" s="7" t="str">
        <f>IF(K19&lt;100,"Yes",IF(K19&gt;3700,"Yes","No"))</f>
        <v>Yes</v>
      </c>
      <c r="K4" s="45" t="str">
        <f>IF(K19&lt;2056,"Yes",IF(K19&gt;3700,"Yes","No"))</f>
        <v>Yes</v>
      </c>
      <c r="M4" s="2" t="s">
        <v>23</v>
      </c>
      <c r="N4" s="112" t="str">
        <f t="shared" ref="N4:N11" si="0">N3</f>
        <v>L/A</v>
      </c>
    </row>
    <row r="5" spans="1:34" ht="15">
      <c r="A5" s="17">
        <v>300</v>
      </c>
      <c r="B5" s="22">
        <v>35.200000000000003</v>
      </c>
      <c r="C5" s="22">
        <v>1.5</v>
      </c>
      <c r="D5" s="22">
        <v>0</v>
      </c>
      <c r="E5" s="28">
        <v>0</v>
      </c>
      <c r="F5" s="32">
        <v>0</v>
      </c>
      <c r="G5" s="32">
        <v>0</v>
      </c>
      <c r="H5" s="34">
        <v>0</v>
      </c>
      <c r="I5" s="34">
        <v>0</v>
      </c>
      <c r="J5" s="7" t="str">
        <f t="shared" ref="J5:J13" si="1">IF(K20&lt;100,"Yes",IF(K20&gt;3700,"Yes","No"))</f>
        <v>Yes</v>
      </c>
      <c r="K5" s="45" t="str">
        <f t="shared" ref="K5:K13" si="2">IF(K20&lt;2056,"Yes",IF(K20&gt;3700,"Yes","No"))</f>
        <v>Yes</v>
      </c>
      <c r="M5" s="136" t="s">
        <v>80</v>
      </c>
      <c r="N5" s="112" t="str">
        <f t="shared" si="0"/>
        <v>L/A</v>
      </c>
    </row>
    <row r="6" spans="1:34" ht="15">
      <c r="A6" s="17">
        <v>400</v>
      </c>
      <c r="B6" s="22">
        <v>41.1</v>
      </c>
      <c r="C6" s="22">
        <v>2</v>
      </c>
      <c r="D6" s="22">
        <v>1.05</v>
      </c>
      <c r="E6" s="28">
        <v>0</v>
      </c>
      <c r="F6" s="32">
        <v>0</v>
      </c>
      <c r="G6" s="32">
        <v>0</v>
      </c>
      <c r="H6" s="34">
        <v>0</v>
      </c>
      <c r="I6" s="34">
        <v>0</v>
      </c>
      <c r="J6" s="7" t="str">
        <f t="shared" si="1"/>
        <v>Yes</v>
      </c>
      <c r="K6" s="45" t="str">
        <f t="shared" si="2"/>
        <v>Yes</v>
      </c>
      <c r="M6" s="136" t="s">
        <v>79</v>
      </c>
      <c r="N6" s="112" t="str">
        <f t="shared" si="0"/>
        <v>L/A</v>
      </c>
    </row>
    <row r="7" spans="1:34" s="4" customFormat="1" ht="15">
      <c r="A7" s="114">
        <v>500</v>
      </c>
      <c r="B7" s="115">
        <v>59.1</v>
      </c>
      <c r="C7" s="115">
        <v>2.4</v>
      </c>
      <c r="D7" s="115">
        <v>0.84</v>
      </c>
      <c r="E7" s="116">
        <v>0</v>
      </c>
      <c r="F7" s="117">
        <v>0</v>
      </c>
      <c r="G7" s="117">
        <v>0</v>
      </c>
      <c r="H7" s="117">
        <v>0</v>
      </c>
      <c r="I7" s="117">
        <v>0</v>
      </c>
      <c r="J7" s="7" t="str">
        <f t="shared" si="1"/>
        <v>Yes</v>
      </c>
      <c r="K7" s="45" t="str">
        <f t="shared" si="2"/>
        <v>Yes</v>
      </c>
      <c r="L7"/>
      <c r="M7"/>
      <c r="N7" s="112" t="str">
        <f t="shared" si="0"/>
        <v>L/A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ht="15">
      <c r="A8" s="17">
        <v>600</v>
      </c>
      <c r="B8" s="22">
        <v>71.2</v>
      </c>
      <c r="C8" s="22">
        <v>2.9</v>
      </c>
      <c r="D8" s="22">
        <v>0.7</v>
      </c>
      <c r="E8" s="28">
        <v>0</v>
      </c>
      <c r="F8" s="32">
        <v>0</v>
      </c>
      <c r="G8" s="32">
        <v>0</v>
      </c>
      <c r="H8" s="34">
        <v>0</v>
      </c>
      <c r="I8" s="34">
        <v>0</v>
      </c>
      <c r="J8" s="7" t="str">
        <f t="shared" si="1"/>
        <v>Yes</v>
      </c>
      <c r="K8" s="45" t="str">
        <f t="shared" si="2"/>
        <v>Yes</v>
      </c>
      <c r="N8" s="112" t="str">
        <f t="shared" si="0"/>
        <v>L/A</v>
      </c>
    </row>
    <row r="9" spans="1:34" ht="15">
      <c r="A9" s="17">
        <v>700</v>
      </c>
      <c r="B9" s="22">
        <v>83.4</v>
      </c>
      <c r="C9" s="22">
        <v>3.5</v>
      </c>
      <c r="D9" s="22">
        <v>0.6</v>
      </c>
      <c r="E9" s="28">
        <v>0</v>
      </c>
      <c r="F9" s="32">
        <v>0</v>
      </c>
      <c r="G9" s="32">
        <v>0</v>
      </c>
      <c r="H9" s="34">
        <v>0</v>
      </c>
      <c r="I9" s="34">
        <v>0</v>
      </c>
      <c r="J9" s="7" t="str">
        <f t="shared" si="1"/>
        <v>Yes</v>
      </c>
      <c r="K9" s="45" t="str">
        <f t="shared" si="2"/>
        <v>Yes</v>
      </c>
      <c r="N9" s="112" t="str">
        <f t="shared" si="0"/>
        <v>L/A</v>
      </c>
    </row>
    <row r="10" spans="1:34" ht="15">
      <c r="A10" s="17">
        <v>800</v>
      </c>
      <c r="B10" s="22">
        <v>95.8</v>
      </c>
      <c r="C10" s="22">
        <v>2.2000000000000002</v>
      </c>
      <c r="D10" s="22">
        <v>0.52</v>
      </c>
      <c r="E10" s="28">
        <v>0</v>
      </c>
      <c r="F10" s="32">
        <v>0</v>
      </c>
      <c r="G10" s="32">
        <v>0</v>
      </c>
      <c r="H10" s="34">
        <v>0</v>
      </c>
      <c r="I10" s="34">
        <v>0</v>
      </c>
      <c r="J10" s="7" t="str">
        <f t="shared" si="1"/>
        <v>Yes</v>
      </c>
      <c r="K10" s="45" t="str">
        <f t="shared" si="2"/>
        <v>Yes</v>
      </c>
      <c r="N10" s="112" t="str">
        <f t="shared" si="0"/>
        <v>L/A</v>
      </c>
    </row>
    <row r="11" spans="1:34" ht="15.75" thickBot="1">
      <c r="A11" s="17">
        <v>900</v>
      </c>
      <c r="B11" s="22">
        <v>108.4</v>
      </c>
      <c r="C11" s="22">
        <v>2.5</v>
      </c>
      <c r="D11" s="22">
        <v>0.46</v>
      </c>
      <c r="E11" s="28">
        <v>0</v>
      </c>
      <c r="F11" s="32">
        <v>0</v>
      </c>
      <c r="G11" s="32">
        <v>0</v>
      </c>
      <c r="H11" s="34">
        <v>0</v>
      </c>
      <c r="I11" s="34">
        <v>0</v>
      </c>
      <c r="J11" s="7" t="str">
        <f t="shared" si="1"/>
        <v>Yes</v>
      </c>
      <c r="K11" s="45" t="str">
        <f t="shared" si="2"/>
        <v>Yes</v>
      </c>
      <c r="N11" s="113" t="str">
        <f t="shared" si="0"/>
        <v>L/A</v>
      </c>
    </row>
    <row r="12" spans="1:34" s="4" customFormat="1" ht="15">
      <c r="A12" s="114">
        <v>1000</v>
      </c>
      <c r="B12" s="115">
        <v>121</v>
      </c>
      <c r="C12" s="115">
        <v>5</v>
      </c>
      <c r="D12" s="115">
        <v>0.41</v>
      </c>
      <c r="E12" s="116">
        <v>0</v>
      </c>
      <c r="F12" s="117">
        <v>0</v>
      </c>
      <c r="G12" s="117">
        <v>0</v>
      </c>
      <c r="H12" s="117">
        <v>0</v>
      </c>
      <c r="I12" s="117">
        <v>0</v>
      </c>
      <c r="J12" s="7" t="str">
        <f t="shared" si="1"/>
        <v>Yes</v>
      </c>
      <c r="K12" s="45" t="str">
        <f t="shared" si="2"/>
        <v>Yes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5">
      <c r="A13" s="17">
        <v>1100</v>
      </c>
      <c r="B13" s="22">
        <v>133.9</v>
      </c>
      <c r="C13" s="22">
        <v>5.5</v>
      </c>
      <c r="D13" s="22">
        <v>0.38</v>
      </c>
      <c r="E13" s="28">
        <v>0</v>
      </c>
      <c r="F13" s="32">
        <v>0</v>
      </c>
      <c r="G13" s="32">
        <v>0</v>
      </c>
      <c r="H13" s="34">
        <v>0</v>
      </c>
      <c r="I13" s="34">
        <v>0</v>
      </c>
      <c r="J13" s="7" t="str">
        <f t="shared" si="1"/>
        <v>Yes</v>
      </c>
      <c r="K13" s="45" t="str">
        <f t="shared" si="2"/>
        <v>Yes</v>
      </c>
    </row>
    <row r="14" spans="1:34" ht="15">
      <c r="A14" s="17">
        <v>1200</v>
      </c>
      <c r="B14" s="22">
        <v>146.9</v>
      </c>
      <c r="C14" s="22">
        <v>6</v>
      </c>
      <c r="D14" s="22">
        <v>0.34</v>
      </c>
      <c r="E14" s="28">
        <v>0</v>
      </c>
      <c r="F14" s="32">
        <v>0</v>
      </c>
      <c r="G14" s="32">
        <v>0</v>
      </c>
      <c r="H14" s="34">
        <v>0</v>
      </c>
      <c r="I14" s="34">
        <v>0</v>
      </c>
    </row>
    <row r="15" spans="1:34" ht="15.75" thickBot="1">
      <c r="A15" s="17">
        <v>1300</v>
      </c>
      <c r="B15" s="22">
        <v>160.1</v>
      </c>
      <c r="C15" s="22">
        <v>6.6</v>
      </c>
      <c r="D15" s="22">
        <v>0.32</v>
      </c>
      <c r="E15" s="28">
        <v>0</v>
      </c>
      <c r="F15" s="32">
        <v>0</v>
      </c>
      <c r="G15" s="32">
        <v>0</v>
      </c>
      <c r="H15" s="34">
        <v>0</v>
      </c>
      <c r="I15" s="34">
        <v>0</v>
      </c>
    </row>
    <row r="16" spans="1:34" ht="26.25" customHeight="1">
      <c r="A16" s="17">
        <v>1400</v>
      </c>
      <c r="B16" s="22">
        <v>173.6</v>
      </c>
      <c r="C16" s="22">
        <v>7.1</v>
      </c>
      <c r="D16" s="22">
        <v>0.28999999999999998</v>
      </c>
      <c r="E16" s="28">
        <v>0</v>
      </c>
      <c r="F16" s="32">
        <v>0</v>
      </c>
      <c r="G16" s="32">
        <v>0</v>
      </c>
      <c r="H16" s="34">
        <v>0</v>
      </c>
      <c r="I16" s="34">
        <v>0</v>
      </c>
      <c r="J16" s="308" t="s">
        <v>15</v>
      </c>
      <c r="K16" s="309"/>
      <c r="L16" s="309"/>
      <c r="M16" s="310"/>
    </row>
    <row r="17" spans="1:34" s="4" customFormat="1" ht="15.75" thickBot="1">
      <c r="A17" s="114">
        <v>1500</v>
      </c>
      <c r="B17" s="115">
        <v>187.2</v>
      </c>
      <c r="C17" s="115">
        <v>7.7</v>
      </c>
      <c r="D17" s="115">
        <v>0.27</v>
      </c>
      <c r="E17" s="116">
        <v>0</v>
      </c>
      <c r="F17" s="117">
        <v>0</v>
      </c>
      <c r="G17" s="117">
        <v>0</v>
      </c>
      <c r="H17" s="117">
        <v>0</v>
      </c>
      <c r="I17" s="117">
        <v>0</v>
      </c>
      <c r="J17" s="311"/>
      <c r="K17" s="286"/>
      <c r="L17" s="286"/>
      <c r="M17" s="28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5">
      <c r="A18" s="17">
        <v>1600</v>
      </c>
      <c r="B18" s="22">
        <v>201.1</v>
      </c>
      <c r="C18" s="22">
        <v>8.1999999999999993</v>
      </c>
      <c r="D18" s="22">
        <v>0.25</v>
      </c>
      <c r="E18" s="28">
        <v>0</v>
      </c>
      <c r="F18" s="32">
        <v>0</v>
      </c>
      <c r="G18" s="32">
        <v>0</v>
      </c>
      <c r="H18" s="34">
        <v>0</v>
      </c>
      <c r="I18" s="34">
        <v>0</v>
      </c>
      <c r="J18" s="96" t="s">
        <v>12</v>
      </c>
      <c r="K18" s="94" t="s">
        <v>38</v>
      </c>
      <c r="L18" s="96" t="s">
        <v>39</v>
      </c>
      <c r="M18" s="95" t="s">
        <v>22</v>
      </c>
    </row>
    <row r="19" spans="1:34" ht="15">
      <c r="A19" s="17">
        <v>1700</v>
      </c>
      <c r="B19" s="22">
        <v>215.3</v>
      </c>
      <c r="C19" s="22">
        <v>8.8000000000000007</v>
      </c>
      <c r="D19" s="22">
        <v>0.24</v>
      </c>
      <c r="E19" s="28">
        <v>0</v>
      </c>
      <c r="F19" s="32">
        <v>0</v>
      </c>
      <c r="G19" s="32">
        <v>0</v>
      </c>
      <c r="H19" s="34">
        <v>0</v>
      </c>
      <c r="I19" s="34">
        <v>0</v>
      </c>
      <c r="J19" s="97">
        <v>1</v>
      </c>
      <c r="K19" s="215">
        <f>INPUT!B5</f>
        <v>0</v>
      </c>
      <c r="L19" s="108">
        <f>INPUT!C5</f>
        <v>0</v>
      </c>
      <c r="M19" s="111" t="str">
        <f>INPUT!D5</f>
        <v>L/A</v>
      </c>
    </row>
    <row r="20" spans="1:34" ht="15">
      <c r="A20" s="17">
        <v>1800</v>
      </c>
      <c r="B20" s="22">
        <v>229.7</v>
      </c>
      <c r="C20" s="22">
        <v>9.3000000000000007</v>
      </c>
      <c r="D20" s="22">
        <v>0.22</v>
      </c>
      <c r="E20" s="28">
        <v>0</v>
      </c>
      <c r="F20" s="32">
        <v>0</v>
      </c>
      <c r="G20" s="32">
        <v>0</v>
      </c>
      <c r="H20" s="34">
        <v>0</v>
      </c>
      <c r="I20" s="34">
        <v>0</v>
      </c>
      <c r="J20" s="97">
        <v>2</v>
      </c>
      <c r="K20" s="215">
        <f>INPUT!B6</f>
        <v>0</v>
      </c>
      <c r="L20" s="108">
        <f>INPUT!C6</f>
        <v>0</v>
      </c>
      <c r="M20" s="111" t="str">
        <f>M19</f>
        <v>L/A</v>
      </c>
    </row>
    <row r="21" spans="1:34" ht="15" customHeight="1">
      <c r="A21" s="17">
        <v>1900</v>
      </c>
      <c r="B21" s="22">
        <v>244.4</v>
      </c>
      <c r="C21" s="22">
        <v>9.9</v>
      </c>
      <c r="D21" s="22">
        <v>0.21</v>
      </c>
      <c r="E21" s="28">
        <v>0</v>
      </c>
      <c r="F21" s="32">
        <v>0</v>
      </c>
      <c r="G21" s="32">
        <v>0</v>
      </c>
      <c r="H21" s="34">
        <v>0</v>
      </c>
      <c r="I21" s="34">
        <v>0</v>
      </c>
      <c r="J21" s="97">
        <v>3</v>
      </c>
      <c r="K21" s="215">
        <f>INPUT!B7</f>
        <v>0</v>
      </c>
      <c r="L21" s="108">
        <f>INPUT!C7</f>
        <v>0</v>
      </c>
      <c r="M21" s="111" t="str">
        <f t="shared" ref="M21:M28" si="3">M20</f>
        <v>L/A</v>
      </c>
    </row>
    <row r="22" spans="1:34" s="4" customFormat="1" ht="15.75" customHeight="1">
      <c r="A22" s="114">
        <v>2000</v>
      </c>
      <c r="B22" s="115">
        <v>259.5</v>
      </c>
      <c r="C22" s="115">
        <v>10.5</v>
      </c>
      <c r="D22" s="115">
        <v>0.2</v>
      </c>
      <c r="E22" s="116">
        <v>0</v>
      </c>
      <c r="F22" s="117">
        <v>0</v>
      </c>
      <c r="G22" s="117">
        <v>0</v>
      </c>
      <c r="H22" s="117">
        <v>0</v>
      </c>
      <c r="I22" s="117">
        <v>0</v>
      </c>
      <c r="J22" s="97">
        <v>4</v>
      </c>
      <c r="K22" s="215">
        <f>INPUT!B8</f>
        <v>0</v>
      </c>
      <c r="L22" s="108">
        <f>INPUT!C8</f>
        <v>0</v>
      </c>
      <c r="M22" s="111" t="str">
        <f t="shared" si="3"/>
        <v>L/A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s="4" customFormat="1" ht="15">
      <c r="A23" s="19">
        <v>2056</v>
      </c>
      <c r="B23" s="24">
        <v>268.18</v>
      </c>
      <c r="C23" s="25">
        <v>10.8</v>
      </c>
      <c r="D23" s="25">
        <v>0.19</v>
      </c>
      <c r="E23" s="24">
        <v>1280</v>
      </c>
      <c r="F23" s="36">
        <v>0.99299999999999999</v>
      </c>
      <c r="G23" s="34">
        <v>-0.97299999999999998</v>
      </c>
      <c r="H23" s="34">
        <v>39</v>
      </c>
      <c r="I23" s="34">
        <v>0.06</v>
      </c>
      <c r="J23" s="97">
        <v>5</v>
      </c>
      <c r="K23" s="215">
        <f>INPUT!B9</f>
        <v>0</v>
      </c>
      <c r="L23" s="108">
        <f>INPUT!C9</f>
        <v>0</v>
      </c>
      <c r="M23" s="111" t="str">
        <f t="shared" si="3"/>
        <v>L/A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s="4" customFormat="1" ht="15">
      <c r="A24" s="19">
        <v>2100</v>
      </c>
      <c r="B24" s="25">
        <v>275</v>
      </c>
      <c r="C24" s="25">
        <v>11.1</v>
      </c>
      <c r="D24" s="25">
        <v>0.19</v>
      </c>
      <c r="E24" s="24">
        <v>1274.4000000000001</v>
      </c>
      <c r="F24" s="36">
        <v>1.0198</v>
      </c>
      <c r="G24" s="34">
        <v>-1.0065999999999999</v>
      </c>
      <c r="H24" s="39">
        <v>38.9</v>
      </c>
      <c r="I24" s="34">
        <v>0.06</v>
      </c>
      <c r="J24" s="97">
        <v>6</v>
      </c>
      <c r="K24" s="215">
        <f>INPUT!B10</f>
        <v>0</v>
      </c>
      <c r="L24" s="108">
        <f>INPUT!C10</f>
        <v>0</v>
      </c>
      <c r="M24" s="111" t="str">
        <f t="shared" si="3"/>
        <v>L/A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s="4" customFormat="1" ht="15">
      <c r="A25" s="19">
        <v>2200</v>
      </c>
      <c r="B25" s="25">
        <v>290.8</v>
      </c>
      <c r="C25" s="25">
        <v>11.7</v>
      </c>
      <c r="D25" s="25">
        <v>0.18</v>
      </c>
      <c r="E25" s="24">
        <v>1261</v>
      </c>
      <c r="F25" s="48">
        <v>1.0466</v>
      </c>
      <c r="G25" s="49">
        <v>-1.0402</v>
      </c>
      <c r="H25" s="39">
        <v>38.6</v>
      </c>
      <c r="I25" s="34">
        <v>0.06</v>
      </c>
      <c r="J25" s="97">
        <v>7</v>
      </c>
      <c r="K25" s="215">
        <f>INPUT!B11</f>
        <v>0</v>
      </c>
      <c r="L25" s="108">
        <f>INPUT!C11</f>
        <v>0</v>
      </c>
      <c r="M25" s="111" t="str">
        <f t="shared" si="3"/>
        <v>L/A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s="4" customFormat="1" ht="15">
      <c r="A26" s="19">
        <v>2300</v>
      </c>
      <c r="B26" s="25">
        <v>307.10000000000002</v>
      </c>
      <c r="C26" s="25">
        <v>12.4</v>
      </c>
      <c r="D26" s="25">
        <v>0.17</v>
      </c>
      <c r="E26" s="24">
        <v>1246.7</v>
      </c>
      <c r="F26" s="36">
        <v>1.0733999999999999</v>
      </c>
      <c r="G26" s="34">
        <v>-1.0738000000000001</v>
      </c>
      <c r="H26" s="39">
        <v>38.4</v>
      </c>
      <c r="I26" s="34">
        <v>0.06</v>
      </c>
      <c r="J26" s="97">
        <v>8</v>
      </c>
      <c r="K26" s="215">
        <f>INPUT!B12</f>
        <v>0</v>
      </c>
      <c r="L26" s="108">
        <f>INPUT!C12</f>
        <v>0</v>
      </c>
      <c r="M26" s="111" t="str">
        <f t="shared" si="3"/>
        <v>L/A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s="4" customFormat="1" ht="15">
      <c r="A27" s="19">
        <v>2400</v>
      </c>
      <c r="B27" s="25">
        <v>323.89999999999998</v>
      </c>
      <c r="C27" s="25">
        <v>13</v>
      </c>
      <c r="D27" s="25">
        <v>0.16</v>
      </c>
      <c r="E27" s="24">
        <v>1231.5999999999999</v>
      </c>
      <c r="F27" s="36">
        <v>1.1002000000000001</v>
      </c>
      <c r="G27" s="34">
        <v>-1.1073999999999999</v>
      </c>
      <c r="H27" s="39">
        <v>38.1</v>
      </c>
      <c r="I27" s="34">
        <v>0.06</v>
      </c>
      <c r="J27" s="97">
        <v>9</v>
      </c>
      <c r="K27" s="215">
        <f>INPUT!B13</f>
        <v>0</v>
      </c>
      <c r="L27" s="108">
        <f>INPUT!C13</f>
        <v>0</v>
      </c>
      <c r="M27" s="111" t="str">
        <f t="shared" si="3"/>
        <v>L/A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s="4" customFormat="1" ht="15.75" thickBot="1">
      <c r="A28" s="114">
        <v>2500</v>
      </c>
      <c r="B28" s="115">
        <v>341.3</v>
      </c>
      <c r="C28" s="115">
        <v>13.5</v>
      </c>
      <c r="D28" s="115">
        <v>0.15</v>
      </c>
      <c r="E28" s="116">
        <v>1215.5</v>
      </c>
      <c r="F28" s="117">
        <v>1.127</v>
      </c>
      <c r="G28" s="117">
        <v>-1.141</v>
      </c>
      <c r="H28" s="117">
        <v>37.9</v>
      </c>
      <c r="I28" s="117">
        <v>0.06</v>
      </c>
      <c r="J28" s="98">
        <v>10</v>
      </c>
      <c r="K28" s="215">
        <f>INPUT!B14</f>
        <v>0</v>
      </c>
      <c r="L28" s="108">
        <f>INPUT!C14</f>
        <v>0</v>
      </c>
      <c r="M28" s="111" t="str">
        <f t="shared" si="3"/>
        <v>L/A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s="4" customFormat="1" ht="15">
      <c r="A29" s="19">
        <v>2600</v>
      </c>
      <c r="B29" s="25">
        <v>359.3</v>
      </c>
      <c r="C29" s="25">
        <v>14.3</v>
      </c>
      <c r="D29" s="25">
        <v>0.15</v>
      </c>
      <c r="E29" s="24">
        <v>1198.5999999999999</v>
      </c>
      <c r="F29" s="36">
        <v>1.1537999999999999</v>
      </c>
      <c r="G29" s="34">
        <v>-1.1746000000000001</v>
      </c>
      <c r="H29" s="39">
        <v>37.6</v>
      </c>
      <c r="I29" s="34">
        <v>0.06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s="4" customFormat="1" ht="15">
      <c r="A30" s="19">
        <v>2700</v>
      </c>
      <c r="B30" s="25">
        <v>378</v>
      </c>
      <c r="C30" s="25">
        <v>15</v>
      </c>
      <c r="D30" s="25">
        <v>0.14000000000000001</v>
      </c>
      <c r="E30" s="24">
        <v>1180.7</v>
      </c>
      <c r="F30" s="36">
        <v>1.1806000000000001</v>
      </c>
      <c r="G30" s="34">
        <v>-1.2081999999999999</v>
      </c>
      <c r="H30" s="39">
        <v>37.299999999999997</v>
      </c>
      <c r="I30" s="34">
        <v>0.06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4" customFormat="1" ht="15">
      <c r="A31" s="19">
        <v>2800</v>
      </c>
      <c r="B31" s="25">
        <v>397.5</v>
      </c>
      <c r="C31" s="25">
        <v>15.7</v>
      </c>
      <c r="D31" s="25">
        <v>0.13</v>
      </c>
      <c r="E31" s="24">
        <v>1161.9000000000001</v>
      </c>
      <c r="F31" s="36">
        <v>1.2074</v>
      </c>
      <c r="G31" s="34">
        <v>-1.2418</v>
      </c>
      <c r="H31" s="39">
        <v>37</v>
      </c>
      <c r="I31" s="34">
        <v>0.06</v>
      </c>
      <c r="J31" s="42" t="s">
        <v>72</v>
      </c>
      <c r="K31" s="42" t="s">
        <v>73</v>
      </c>
      <c r="L31" s="42" t="s">
        <v>74</v>
      </c>
      <c r="M31" s="42" t="s">
        <v>75</v>
      </c>
      <c r="N31" s="138" t="s">
        <v>76</v>
      </c>
      <c r="O31" s="138" t="s">
        <v>77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ht="15">
      <c r="A32" s="19">
        <v>2900</v>
      </c>
      <c r="B32" s="25">
        <v>418</v>
      </c>
      <c r="C32" s="25">
        <v>16.5</v>
      </c>
      <c r="D32" s="25">
        <v>0.13</v>
      </c>
      <c r="E32" s="24">
        <v>1141.9000000000001</v>
      </c>
      <c r="F32" s="36">
        <v>1.2342</v>
      </c>
      <c r="G32" s="34">
        <v>-1.2754000000000001</v>
      </c>
      <c r="H32" s="39">
        <v>36.6</v>
      </c>
      <c r="I32" s="34">
        <v>0.06</v>
      </c>
      <c r="J32" t="e">
        <f t="shared" ref="J32:J41" si="4">IF(M19="H/A",IF(K19&lt;2100,I23,VLOOKUP(K45,$A$3:$I$40,9,FALSE)),VLOOKUP(K45,$A$3:$I$40,4,FALSE))</f>
        <v>#N/A</v>
      </c>
      <c r="K32">
        <f>VLOOKUP(L45,A3:I40,IF(M19="l/A",4,9),FALSE)</f>
        <v>0</v>
      </c>
      <c r="L32" t="e">
        <f t="shared" ref="L32:L41" si="5">((K32-J32)*M45)+J32</f>
        <v>#N/A</v>
      </c>
      <c r="M32" s="139" t="e">
        <f t="shared" ref="M32:M41" si="6">VLOOKUP(K45,$A$3:$I$40,IF(L19&gt;=0,7,6),FALSE)</f>
        <v>#N/A</v>
      </c>
      <c r="N32" s="140">
        <f t="shared" ref="N32:N41" si="7">VLOOKUP(L45,A3:I40,IF(L19&gt;=0,7,6),FALSE)</f>
        <v>0</v>
      </c>
      <c r="O32" s="139" t="e">
        <f t="shared" ref="O32:O41" si="8">((N32-M32)*M45)+M32</f>
        <v>#N/A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ht="15">
      <c r="A33" s="114">
        <v>3000</v>
      </c>
      <c r="B33" s="115">
        <v>439.5</v>
      </c>
      <c r="C33" s="115">
        <v>17.3</v>
      </c>
      <c r="D33" s="115">
        <v>0.12</v>
      </c>
      <c r="E33" s="116">
        <v>1120.7</v>
      </c>
      <c r="F33" s="117">
        <v>1.2609999999999999</v>
      </c>
      <c r="G33" s="117">
        <v>-1.3089999999999999</v>
      </c>
      <c r="H33" s="117">
        <v>36.200000000000003</v>
      </c>
      <c r="I33" s="117">
        <v>0.06</v>
      </c>
      <c r="J33" t="e">
        <f t="shared" si="4"/>
        <v>#N/A</v>
      </c>
      <c r="K33">
        <f>VLOOKUP(L46,A3:I40,IF(M20="l/A",4,9),FALSE)</f>
        <v>0</v>
      </c>
      <c r="L33" t="e">
        <f t="shared" si="5"/>
        <v>#N/A</v>
      </c>
      <c r="M33" s="139" t="e">
        <f t="shared" si="6"/>
        <v>#N/A</v>
      </c>
      <c r="N33" s="140" t="e">
        <f t="shared" si="7"/>
        <v>#N/A</v>
      </c>
      <c r="O33" s="139" t="e">
        <f t="shared" si="8"/>
        <v>#N/A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ht="15">
      <c r="A34" s="19">
        <v>3100</v>
      </c>
      <c r="B34" s="25">
        <v>462.5</v>
      </c>
      <c r="C34" s="25">
        <v>18.100000000000001</v>
      </c>
      <c r="D34" s="25">
        <v>0.12</v>
      </c>
      <c r="E34" s="24">
        <v>1098.0999999999999</v>
      </c>
      <c r="F34" s="36">
        <v>1.3351999999999999</v>
      </c>
      <c r="G34" s="34">
        <v>-1.444</v>
      </c>
      <c r="H34" s="39">
        <v>35.799999999999997</v>
      </c>
      <c r="I34" s="34">
        <v>0.06</v>
      </c>
      <c r="J34" t="e">
        <f t="shared" si="4"/>
        <v>#N/A</v>
      </c>
      <c r="K34">
        <f>VLOOKUP(L47,A3:I40,IF(M21="l/A",4,9),FALSE)</f>
        <v>0</v>
      </c>
      <c r="L34" t="e">
        <f t="shared" si="5"/>
        <v>#N/A</v>
      </c>
      <c r="M34" s="139" t="e">
        <f t="shared" si="6"/>
        <v>#N/A</v>
      </c>
      <c r="N34" s="140" t="e">
        <f t="shared" si="7"/>
        <v>#N/A</v>
      </c>
      <c r="O34" s="139" t="e">
        <f t="shared" si="8"/>
        <v>#N/A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ht="15">
      <c r="A35" s="19">
        <v>3200</v>
      </c>
      <c r="B35" s="25">
        <v>487.1</v>
      </c>
      <c r="C35" s="25">
        <v>19</v>
      </c>
      <c r="D35" s="25">
        <v>0.11</v>
      </c>
      <c r="E35" s="24">
        <v>1073.7</v>
      </c>
      <c r="F35" s="36">
        <v>1.4094</v>
      </c>
      <c r="G35" s="34">
        <v>-1.579</v>
      </c>
      <c r="H35" s="39">
        <v>35.299999999999997</v>
      </c>
      <c r="I35" s="34">
        <v>0.06</v>
      </c>
      <c r="J35" t="e">
        <f t="shared" si="4"/>
        <v>#N/A</v>
      </c>
      <c r="K35">
        <f>VLOOKUP(L48,A3:I40,IF(M22="l/A",4,9),FALSE)</f>
        <v>0</v>
      </c>
      <c r="L35" t="e">
        <f t="shared" si="5"/>
        <v>#N/A</v>
      </c>
      <c r="M35" s="139" t="e">
        <f t="shared" si="6"/>
        <v>#N/A</v>
      </c>
      <c r="N35" s="140" t="e">
        <f t="shared" si="7"/>
        <v>#N/A</v>
      </c>
      <c r="O35" s="139" t="e">
        <f t="shared" si="8"/>
        <v>#N/A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ht="15">
      <c r="A36" s="19">
        <v>3300</v>
      </c>
      <c r="B36" s="25">
        <v>513.9</v>
      </c>
      <c r="C36" s="25">
        <v>19.899999999999999</v>
      </c>
      <c r="D36" s="25">
        <v>0.11</v>
      </c>
      <c r="E36" s="24">
        <v>1047.2</v>
      </c>
      <c r="F36" s="36">
        <v>1.4836</v>
      </c>
      <c r="G36" s="34">
        <v>-1.714</v>
      </c>
      <c r="H36" s="39">
        <v>34.799999999999997</v>
      </c>
      <c r="I36" s="34">
        <v>0.06</v>
      </c>
      <c r="J36" t="e">
        <f t="shared" si="4"/>
        <v>#N/A</v>
      </c>
      <c r="K36">
        <f>VLOOKUP(L49,A3:I40,IF(M23="l/A",4,9),FALSE)</f>
        <v>0</v>
      </c>
      <c r="L36" t="e">
        <f t="shared" si="5"/>
        <v>#N/A</v>
      </c>
      <c r="M36" s="139" t="e">
        <f t="shared" si="6"/>
        <v>#N/A</v>
      </c>
      <c r="N36" s="140" t="e">
        <f t="shared" si="7"/>
        <v>#N/A</v>
      </c>
      <c r="O36" s="139" t="e">
        <f t="shared" si="8"/>
        <v>#N/A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ht="15">
      <c r="A37" s="19">
        <v>3400</v>
      </c>
      <c r="B37" s="25">
        <v>543.5</v>
      </c>
      <c r="C37" s="25">
        <v>20.9</v>
      </c>
      <c r="D37" s="25">
        <v>0.1</v>
      </c>
      <c r="E37" s="24">
        <v>1017.7</v>
      </c>
      <c r="F37" s="36">
        <v>1.5578000000000001</v>
      </c>
      <c r="G37" s="34">
        <v>-1.849</v>
      </c>
      <c r="H37" s="39">
        <v>34.200000000000003</v>
      </c>
      <c r="I37" s="34">
        <v>0.06</v>
      </c>
      <c r="J37" t="e">
        <f t="shared" si="4"/>
        <v>#N/A</v>
      </c>
      <c r="K37">
        <f>VLOOKUP(L50,A3:I40,IF(M24="l/A",4,9),FALSE)</f>
        <v>0</v>
      </c>
      <c r="L37" t="e">
        <f t="shared" si="5"/>
        <v>#N/A</v>
      </c>
      <c r="M37" s="139" t="e">
        <f t="shared" si="6"/>
        <v>#N/A</v>
      </c>
      <c r="N37" s="140" t="e">
        <f t="shared" si="7"/>
        <v>#N/A</v>
      </c>
      <c r="O37" s="139" t="e">
        <f t="shared" si="8"/>
        <v>#N/A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ht="15">
      <c r="A38" s="114">
        <v>3500</v>
      </c>
      <c r="B38" s="115">
        <v>577.29999999999995</v>
      </c>
      <c r="C38" s="115">
        <v>22</v>
      </c>
      <c r="D38" s="115">
        <v>0.1</v>
      </c>
      <c r="E38" s="116">
        <v>984</v>
      </c>
      <c r="F38" s="117">
        <v>1.6319999999999999</v>
      </c>
      <c r="G38" s="117">
        <v>-1.984</v>
      </c>
      <c r="H38" s="117">
        <v>33.4</v>
      </c>
      <c r="I38" s="117">
        <v>0.06</v>
      </c>
      <c r="J38" t="e">
        <f t="shared" si="4"/>
        <v>#N/A</v>
      </c>
      <c r="K38">
        <f>VLOOKUP(L51,A3:I40,IF(M25="l/A",4,9),FALSE)</f>
        <v>0</v>
      </c>
      <c r="L38" t="e">
        <f t="shared" si="5"/>
        <v>#N/A</v>
      </c>
      <c r="M38" s="139" t="e">
        <f t="shared" si="6"/>
        <v>#N/A</v>
      </c>
      <c r="N38" s="140" t="e">
        <f t="shared" si="7"/>
        <v>#N/A</v>
      </c>
      <c r="O38" s="139" t="e">
        <f t="shared" si="8"/>
        <v>#N/A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ht="15">
      <c r="A39" s="19">
        <v>3600</v>
      </c>
      <c r="B39" s="25">
        <v>617.70000000000005</v>
      </c>
      <c r="C39" s="25">
        <v>23.4</v>
      </c>
      <c r="D39" s="25">
        <v>0.9</v>
      </c>
      <c r="E39" s="24">
        <v>943.6</v>
      </c>
      <c r="F39" s="36">
        <f>(E38/E39)*F38</f>
        <v>1.7018736752861381</v>
      </c>
      <c r="G39" s="36">
        <f>(E38/E39)*G38</f>
        <v>-2.0689444679949132</v>
      </c>
      <c r="H39" s="39">
        <v>32.5</v>
      </c>
      <c r="I39" s="34">
        <v>7.0000000000000007E-2</v>
      </c>
      <c r="J39" t="e">
        <f t="shared" si="4"/>
        <v>#N/A</v>
      </c>
      <c r="K39">
        <f>VLOOKUP(L52,A3:I40,IF(M26="l/A",4,9),FALSE)</f>
        <v>0</v>
      </c>
      <c r="L39" t="e">
        <f t="shared" si="5"/>
        <v>#N/A</v>
      </c>
      <c r="M39" s="139" t="e">
        <f t="shared" si="6"/>
        <v>#N/A</v>
      </c>
      <c r="N39" s="140" t="e">
        <f t="shared" si="7"/>
        <v>#N/A</v>
      </c>
      <c r="O39" s="139" t="e">
        <f t="shared" si="8"/>
        <v>#N/A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ht="15">
      <c r="A40" s="20">
        <v>3700</v>
      </c>
      <c r="B40" s="26">
        <v>672</v>
      </c>
      <c r="C40" s="26">
        <v>25.1</v>
      </c>
      <c r="D40" s="26">
        <v>0.9</v>
      </c>
      <c r="E40" s="30">
        <v>889.4</v>
      </c>
      <c r="F40" s="37">
        <f>(E38/E40)*F38</f>
        <v>1.8055857881718009</v>
      </c>
      <c r="G40" s="37">
        <f>(E38/E40)*G38</f>
        <v>-2.1950258601304249</v>
      </c>
      <c r="H40" s="40">
        <v>31.2</v>
      </c>
      <c r="I40" s="41">
        <v>7.0000000000000007E-2</v>
      </c>
      <c r="J40" t="e">
        <f t="shared" si="4"/>
        <v>#N/A</v>
      </c>
      <c r="K40">
        <f>VLOOKUP(L53,A3:I40,IF(M27="l/A",4,9),FALSE)</f>
        <v>0</v>
      </c>
      <c r="L40" t="e">
        <f t="shared" si="5"/>
        <v>#N/A</v>
      </c>
      <c r="M40" s="139" t="e">
        <f t="shared" si="6"/>
        <v>#N/A</v>
      </c>
      <c r="N40" s="140" t="e">
        <f t="shared" si="7"/>
        <v>#N/A</v>
      </c>
      <c r="O40" s="139" t="e">
        <f t="shared" si="8"/>
        <v>#N/A</v>
      </c>
    </row>
    <row r="41" spans="1:34" ht="15">
      <c r="A41" s="172"/>
      <c r="B41" s="171"/>
      <c r="C41" s="171"/>
      <c r="E41" s="171"/>
      <c r="J41" t="e">
        <f t="shared" si="4"/>
        <v>#N/A</v>
      </c>
      <c r="K41">
        <f>VLOOKUP(L54,A3:I40,IF(M28="l/A",4,9),FALSE)</f>
        <v>0</v>
      </c>
      <c r="L41" t="e">
        <f t="shared" si="5"/>
        <v>#N/A</v>
      </c>
      <c r="M41" s="139" t="e">
        <f t="shared" si="6"/>
        <v>#N/A</v>
      </c>
      <c r="N41" s="140" t="e">
        <f t="shared" si="7"/>
        <v>#N/A</v>
      </c>
      <c r="O41" s="139" t="e">
        <f t="shared" si="8"/>
        <v>#N/A</v>
      </c>
    </row>
    <row r="43" spans="1:34" ht="15">
      <c r="J43" s="304" t="s">
        <v>40</v>
      </c>
      <c r="K43" s="305"/>
      <c r="L43" s="305"/>
      <c r="M43" s="305"/>
      <c r="N43" s="305"/>
      <c r="O43" s="305"/>
      <c r="P43" s="305"/>
      <c r="Q43" s="305"/>
      <c r="R43" s="305"/>
      <c r="S43" s="305"/>
    </row>
    <row r="44" spans="1:34" ht="15">
      <c r="J44" s="6" t="s">
        <v>13</v>
      </c>
      <c r="K44" s="44" t="s">
        <v>17</v>
      </c>
      <c r="L44" s="44" t="s">
        <v>18</v>
      </c>
      <c r="M44" s="44" t="s">
        <v>16</v>
      </c>
      <c r="N44" s="42" t="s">
        <v>26</v>
      </c>
      <c r="O44" s="42" t="s">
        <v>27</v>
      </c>
      <c r="P44" s="77" t="s">
        <v>31</v>
      </c>
      <c r="Q44" s="44" t="s">
        <v>19</v>
      </c>
      <c r="R44" s="44" t="s">
        <v>20</v>
      </c>
      <c r="S44" s="11" t="s">
        <v>25</v>
      </c>
    </row>
    <row r="45" spans="1:34">
      <c r="J45" s="7" t="str">
        <f>IF(K45-'SAFETY FAN DATA'!K30=0,"NO","YES")</f>
        <v>NO</v>
      </c>
      <c r="K45" s="45">
        <f t="shared" ref="K45:K54" si="9">_xlfn.FLOOR.MATH(K19,100)</f>
        <v>0</v>
      </c>
      <c r="L45" s="46">
        <f t="shared" ref="L45:L54" si="10">K45+100</f>
        <v>100</v>
      </c>
      <c r="M45" s="45">
        <f t="shared" ref="M45:M54" si="11">(K19-K45)/100</f>
        <v>0</v>
      </c>
      <c r="N45" s="43" t="e">
        <f>VLOOKUP(K45,'1 HE'!A:H,IF(INPUT!D5="L/a",3,8),FALSE)</f>
        <v>#N/A</v>
      </c>
      <c r="O45" s="43">
        <f>VLOOKUP(L45,'1 HE'!A:H,IF(INPUT!D5="L/A",3,8),FALSE)</f>
        <v>0.5</v>
      </c>
      <c r="P45" s="91" t="e">
        <f t="shared" ref="P45:P54" si="12">N45+((O45-N45)*M45)</f>
        <v>#N/A</v>
      </c>
      <c r="Q45" s="45" t="e">
        <f>IF(K19=2056,IF(M19="L/A",B23,E23),VLOOKUP(K45,'1 HE'!A:J,(IF(INPUT!D5="L/A",2,5)),FALSE))</f>
        <v>#N/A</v>
      </c>
      <c r="R45" s="45">
        <f>VLOOKUP(L45,'1 HE'!A:H,IF(INPUT!D5="L/A",2,5),FALSE)</f>
        <v>11.7</v>
      </c>
      <c r="S45" s="12" t="e">
        <f t="shared" ref="S45:S54" si="13">((R45-Q45)*M45)+Q45</f>
        <v>#N/A</v>
      </c>
    </row>
    <row r="46" spans="1:34">
      <c r="J46" s="7" t="str">
        <f>IF(K46-'SAFETY FAN DATA'!K31=0,"NO","YES")</f>
        <v>NO</v>
      </c>
      <c r="K46" s="45">
        <f t="shared" si="9"/>
        <v>0</v>
      </c>
      <c r="L46" s="46">
        <f t="shared" si="10"/>
        <v>100</v>
      </c>
      <c r="M46" s="45">
        <f t="shared" si="11"/>
        <v>0</v>
      </c>
      <c r="N46" s="43" t="e">
        <f>VLOOKUP(K46,'1 HE'!A:H,IF('1 HE'!N3="L/a",3,8),FALSE)</f>
        <v>#N/A</v>
      </c>
      <c r="O46" s="43">
        <f>VLOOKUP(L46,'1 HE'!A:H,IF('1 HE'!N3="L/A",3,8),FALSE)</f>
        <v>0.5</v>
      </c>
      <c r="P46" s="91" t="e">
        <f t="shared" si="12"/>
        <v>#N/A</v>
      </c>
      <c r="Q46" s="45" t="e">
        <f>IF(K20=2056,IF(M20="L/A",B24,E24),VLOOKUP(K46,'1 HE'!A:J,(IF('1 HE'!N3="L/A",2,5)),FALSE))</f>
        <v>#N/A</v>
      </c>
      <c r="R46" s="45">
        <f>VLOOKUP(L46,'1 HE'!A:H,IF('1 HE'!N3="L/A",2,5),FALSE)</f>
        <v>11.7</v>
      </c>
      <c r="S46" s="12" t="e">
        <f t="shared" si="13"/>
        <v>#N/A</v>
      </c>
    </row>
    <row r="47" spans="1:34">
      <c r="J47" s="7" t="str">
        <f>IF(K47-'SAFETY FAN DATA'!K32=0,"NO","YES")</f>
        <v>NO</v>
      </c>
      <c r="K47" s="45">
        <f t="shared" si="9"/>
        <v>0</v>
      </c>
      <c r="L47" s="46">
        <f t="shared" si="10"/>
        <v>100</v>
      </c>
      <c r="M47" s="45">
        <f t="shared" si="11"/>
        <v>0</v>
      </c>
      <c r="N47" s="43" t="e">
        <f>VLOOKUP(K47,'1 HE'!A:H,IF('1 HE'!N4="L/a",3,8),FALSE)</f>
        <v>#N/A</v>
      </c>
      <c r="O47" s="43">
        <f>VLOOKUP(L47,'1 HE'!A:H,IF('1 HE'!N4="L/A",3,8),FALSE)</f>
        <v>0.5</v>
      </c>
      <c r="P47" s="91" t="e">
        <f t="shared" si="12"/>
        <v>#N/A</v>
      </c>
      <c r="Q47" s="45" t="e">
        <f>IF(K21=2056,IF(M21="L/A",B25,E25),VLOOKUP(K47,'1 HE'!A:J,(IF('1 HE'!N4="L/A",2,5)),FALSE))</f>
        <v>#N/A</v>
      </c>
      <c r="R47" s="45">
        <f>VLOOKUP(L47,'1 HE'!A:H,IF('1 HE'!N4="L/A",2,5),FALSE)</f>
        <v>11.7</v>
      </c>
      <c r="S47" s="12" t="e">
        <f t="shared" si="13"/>
        <v>#N/A</v>
      </c>
    </row>
    <row r="48" spans="1:34">
      <c r="J48" s="7" t="str">
        <f>IF(K48-'SAFETY FAN DATA'!K33=0,"NO","YES")</f>
        <v>NO</v>
      </c>
      <c r="K48" s="45">
        <f t="shared" si="9"/>
        <v>0</v>
      </c>
      <c r="L48" s="46">
        <f t="shared" si="10"/>
        <v>100</v>
      </c>
      <c r="M48" s="45">
        <f t="shared" si="11"/>
        <v>0</v>
      </c>
      <c r="N48" s="43" t="e">
        <f>VLOOKUP(K48,'1 HE'!A:H,IF('1 HE'!N5="L/a",3,8),FALSE)</f>
        <v>#N/A</v>
      </c>
      <c r="O48" s="43">
        <f>VLOOKUP(L48,'1 HE'!A:H,IF('1 HE'!N5="L/A",3,8),FALSE)</f>
        <v>0.5</v>
      </c>
      <c r="P48" s="91" t="e">
        <f t="shared" si="12"/>
        <v>#N/A</v>
      </c>
      <c r="Q48" s="45" t="e">
        <f>IF(K22=2056,IF(M22="L/A",B26,E26),VLOOKUP(K48,'1 HE'!A:J,(IF('1 HE'!N5="L/A",2,5)),FALSE))</f>
        <v>#N/A</v>
      </c>
      <c r="R48" s="45">
        <f>VLOOKUP(L48,'1 HE'!A:H,IF('1 HE'!N5="L/A",2,5),FALSE)</f>
        <v>11.7</v>
      </c>
      <c r="S48" s="12" t="e">
        <f t="shared" si="13"/>
        <v>#N/A</v>
      </c>
    </row>
    <row r="49" spans="1:19">
      <c r="J49" s="7" t="str">
        <f>IF(K49-'SAFETY FAN DATA'!K34=0,"NO","YES")</f>
        <v>NO</v>
      </c>
      <c r="K49" s="45">
        <f t="shared" si="9"/>
        <v>0</v>
      </c>
      <c r="L49" s="46">
        <f t="shared" si="10"/>
        <v>100</v>
      </c>
      <c r="M49" s="45">
        <f t="shared" si="11"/>
        <v>0</v>
      </c>
      <c r="N49" s="43" t="e">
        <f>VLOOKUP(K49,'1 HE'!A:H,IF('1 HE'!N6="L/a",3,8),FALSE)</f>
        <v>#N/A</v>
      </c>
      <c r="O49" s="43">
        <f>VLOOKUP(L49,'1 HE'!A:H,IF('1 HE'!N6="L/A",3,8),FALSE)</f>
        <v>0.5</v>
      </c>
      <c r="P49" s="91" t="e">
        <f t="shared" si="12"/>
        <v>#N/A</v>
      </c>
      <c r="Q49" s="45" t="e">
        <f>IF(K23=2056,IF(M23="L/A",B27,E27),VLOOKUP(K49,'1 HE'!A:J,(IF('1 HE'!N6="L/A",2,5)),FALSE))</f>
        <v>#N/A</v>
      </c>
      <c r="R49" s="45">
        <f>VLOOKUP(L49,'1 HE'!A:H,IF('1 HE'!N6="L/A",2,5),FALSE)</f>
        <v>11.7</v>
      </c>
      <c r="S49" s="12" t="e">
        <f t="shared" si="13"/>
        <v>#N/A</v>
      </c>
    </row>
    <row r="50" spans="1:19">
      <c r="J50" s="7" t="str">
        <f>IF(K50-'SAFETY FAN DATA'!K35=0,"NO","YES")</f>
        <v>NO</v>
      </c>
      <c r="K50" s="45">
        <f t="shared" si="9"/>
        <v>0</v>
      </c>
      <c r="L50" s="46">
        <f t="shared" si="10"/>
        <v>100</v>
      </c>
      <c r="M50" s="45">
        <f t="shared" si="11"/>
        <v>0</v>
      </c>
      <c r="N50" s="43" t="e">
        <f>VLOOKUP(K50,'1 HE'!A:H,IF('1 HE'!N7="L/a",3,8),FALSE)</f>
        <v>#N/A</v>
      </c>
      <c r="O50" s="43">
        <f>VLOOKUP(L50,'1 HE'!A:H,IF('1 HE'!N7="L/A",3,8),FALSE)</f>
        <v>0.5</v>
      </c>
      <c r="P50" s="91" t="e">
        <f t="shared" si="12"/>
        <v>#N/A</v>
      </c>
      <c r="Q50" s="45" t="e">
        <f>IF(K24=2056,IF(M24="L/A",B28,E28),VLOOKUP(K50,'1 HE'!A:J,(IF('1 HE'!N7="L/A",2,5)),FALSE))</f>
        <v>#N/A</v>
      </c>
      <c r="R50" s="45">
        <f>VLOOKUP(L50,'1 HE'!A:H,IF('1 HE'!N7="L/A",2,5),FALSE)</f>
        <v>11.7</v>
      </c>
      <c r="S50" s="12" t="e">
        <f t="shared" si="13"/>
        <v>#N/A</v>
      </c>
    </row>
    <row r="51" spans="1:19">
      <c r="J51" s="7" t="str">
        <f>IF(K51-'SAFETY FAN DATA'!K36=0,"NO","YES")</f>
        <v>NO</v>
      </c>
      <c r="K51" s="45">
        <f t="shared" si="9"/>
        <v>0</v>
      </c>
      <c r="L51" s="46">
        <f t="shared" si="10"/>
        <v>100</v>
      </c>
      <c r="M51" s="45">
        <f t="shared" si="11"/>
        <v>0</v>
      </c>
      <c r="N51" s="43" t="e">
        <f>VLOOKUP(K51,'1 HE'!A:H,IF('1 HE'!N8="L/a",3,8),FALSE)</f>
        <v>#N/A</v>
      </c>
      <c r="O51" s="43">
        <f>VLOOKUP(L51,'1 HE'!A:H,IF('1 HE'!N8="L/A",3,8),FALSE)</f>
        <v>0.5</v>
      </c>
      <c r="P51" s="91" t="e">
        <f t="shared" si="12"/>
        <v>#N/A</v>
      </c>
      <c r="Q51" s="45" t="e">
        <f>IF(K25=2056,IF(M25="L/A",B29,E29),VLOOKUP(K51,'1 HE'!A:J,(IF('1 HE'!N8="L/A",2,5)),FALSE))</f>
        <v>#N/A</v>
      </c>
      <c r="R51" s="45">
        <f>VLOOKUP(L51,'1 HE'!A:H,IF('1 HE'!N8="L/A",2,5),FALSE)</f>
        <v>11.7</v>
      </c>
      <c r="S51" s="12" t="e">
        <f t="shared" si="13"/>
        <v>#N/A</v>
      </c>
    </row>
    <row r="52" spans="1:19">
      <c r="J52" s="7" t="str">
        <f>IF(K52-'SAFETY FAN DATA'!K37=0,"NO","YES")</f>
        <v>NO</v>
      </c>
      <c r="K52" s="45">
        <f t="shared" si="9"/>
        <v>0</v>
      </c>
      <c r="L52" s="46">
        <f t="shared" si="10"/>
        <v>100</v>
      </c>
      <c r="M52" s="45">
        <f t="shared" si="11"/>
        <v>0</v>
      </c>
      <c r="N52" s="43" t="e">
        <f>VLOOKUP(K52,'1 HE'!A:H,IF('1 HE'!N9="L/a",3,8),FALSE)</f>
        <v>#N/A</v>
      </c>
      <c r="O52" s="43">
        <f>VLOOKUP(L52,'1 HE'!A:H,IF('1 HE'!N9="L/A",3,8),FALSE)</f>
        <v>0.5</v>
      </c>
      <c r="P52" s="91" t="e">
        <f t="shared" si="12"/>
        <v>#N/A</v>
      </c>
      <c r="Q52" s="45" t="e">
        <f>IF(K26=2056,IF(M26="L/A",B30,E30),VLOOKUP(K52,'1 HE'!A:J,(IF('1 HE'!N9="L/A",2,5)),FALSE))</f>
        <v>#N/A</v>
      </c>
      <c r="R52" s="45">
        <f>VLOOKUP(L52,'1 HE'!A:H,IF('1 HE'!N9="L/A",2,5),FALSE)</f>
        <v>11.7</v>
      </c>
      <c r="S52" s="12" t="e">
        <f t="shared" si="13"/>
        <v>#N/A</v>
      </c>
    </row>
    <row r="53" spans="1:19">
      <c r="J53" s="7" t="str">
        <f>IF(K53-'SAFETY FAN DATA'!K38=0,"NO","YES")</f>
        <v>NO</v>
      </c>
      <c r="K53" s="45">
        <f t="shared" si="9"/>
        <v>0</v>
      </c>
      <c r="L53" s="46">
        <f t="shared" si="10"/>
        <v>100</v>
      </c>
      <c r="M53" s="45">
        <f t="shared" si="11"/>
        <v>0</v>
      </c>
      <c r="N53" s="43" t="e">
        <f>VLOOKUP(K53,'1 HE'!A:H,IF('1 HE'!N10="L/a",3,8),FALSE)</f>
        <v>#N/A</v>
      </c>
      <c r="O53" s="43">
        <f>VLOOKUP(L53,'1 HE'!A:H,IF('1 HE'!N10="L/A",3,8),FALSE)</f>
        <v>0.5</v>
      </c>
      <c r="P53" s="91" t="e">
        <f t="shared" si="12"/>
        <v>#N/A</v>
      </c>
      <c r="Q53" s="45" t="e">
        <f>IF(K27=2056,IF(M27="L/A",B31,E31),VLOOKUP(K53,'1 HE'!A:J,(IF('1 HE'!N10="L/A",2,5)),FALSE))</f>
        <v>#N/A</v>
      </c>
      <c r="R53" s="45">
        <f>VLOOKUP(L53,'1 HE'!A:H,IF('1 HE'!N10="L/A",2,5),FALSE)</f>
        <v>11.7</v>
      </c>
      <c r="S53" s="12" t="e">
        <f t="shared" si="13"/>
        <v>#N/A</v>
      </c>
    </row>
    <row r="54" spans="1:19" ht="15">
      <c r="A54" s="2"/>
      <c r="J54" s="8" t="str">
        <f>IF(K54-'SAFETY FAN DATA'!K39=0,"NO","YES")</f>
        <v>NO</v>
      </c>
      <c r="K54" s="45">
        <f t="shared" si="9"/>
        <v>0</v>
      </c>
      <c r="L54" s="10">
        <f t="shared" si="10"/>
        <v>100</v>
      </c>
      <c r="M54" s="45">
        <f t="shared" si="11"/>
        <v>0</v>
      </c>
      <c r="N54" s="43" t="e">
        <f>VLOOKUP(K54,'1 HE'!A:H,IF('1 HE'!N11="L/a",3,8),FALSE)</f>
        <v>#N/A</v>
      </c>
      <c r="O54" s="43">
        <f>VLOOKUP(L54,'1 HE'!A:H,IF('1 HE'!N11="L/A",3,8),FALSE)</f>
        <v>0.5</v>
      </c>
      <c r="P54" s="91" t="e">
        <f t="shared" si="12"/>
        <v>#N/A</v>
      </c>
      <c r="Q54" s="45" t="e">
        <f>IF(K28=2056,IF(M28="L/A",B32,E32),VLOOKUP(K54,'1 HE'!A:J,(IF('1 HE'!N11="L/A",2,5)),FALSE))</f>
        <v>#N/A</v>
      </c>
      <c r="R54" s="45">
        <f>VLOOKUP(L54,'1 HE'!A:H,IF('1 HE'!N11="L/A",2,5),FALSE)</f>
        <v>11.7</v>
      </c>
      <c r="S54" s="47" t="e">
        <f t="shared" si="13"/>
        <v>#N/A</v>
      </c>
    </row>
    <row r="66" spans="1:1" ht="15">
      <c r="A66" s="2"/>
    </row>
    <row r="67" spans="1:1" ht="15">
      <c r="A67" s="2"/>
    </row>
    <row r="68" spans="1:1" ht="15">
      <c r="A68" s="2"/>
    </row>
    <row r="69" spans="1:1" ht="15">
      <c r="A69" s="2"/>
    </row>
    <row r="70" spans="1:1" ht="15">
      <c r="A70" s="2"/>
    </row>
    <row r="71" spans="1:1" ht="15">
      <c r="A71" s="2"/>
    </row>
    <row r="72" spans="1:1" ht="15">
      <c r="A72" s="2"/>
    </row>
    <row r="73" spans="1:1" ht="15">
      <c r="A73" s="2"/>
    </row>
    <row r="74" spans="1:1" ht="15">
      <c r="A74" s="2"/>
    </row>
    <row r="75" spans="1:1" ht="15">
      <c r="A75" s="2"/>
    </row>
    <row r="76" spans="1:1" ht="15">
      <c r="A76" s="2"/>
    </row>
    <row r="77" spans="1:1" ht="15">
      <c r="A77" s="2"/>
    </row>
    <row r="78" spans="1:1" ht="15">
      <c r="A78" s="2"/>
    </row>
    <row r="79" spans="1:1" ht="15">
      <c r="A79" s="2"/>
    </row>
    <row r="80" spans="1:1" ht="15">
      <c r="A80" s="2"/>
    </row>
    <row r="81" spans="1:1" ht="15">
      <c r="A81" s="2"/>
    </row>
    <row r="82" spans="1:1" ht="15">
      <c r="A82" s="2"/>
    </row>
    <row r="83" spans="1:1" ht="15">
      <c r="A83" s="2"/>
    </row>
    <row r="84" spans="1:1" ht="15">
      <c r="A84" s="2"/>
    </row>
    <row r="85" spans="1:1" ht="15">
      <c r="A85" s="2"/>
    </row>
    <row r="86" spans="1:1" ht="15">
      <c r="A86" s="2"/>
    </row>
    <row r="87" spans="1:1" ht="15">
      <c r="A87" s="2"/>
    </row>
    <row r="88" spans="1:1" ht="15">
      <c r="A88" s="2"/>
    </row>
    <row r="89" spans="1:1" ht="15">
      <c r="A89" s="2"/>
    </row>
    <row r="90" spans="1:1" ht="15">
      <c r="A90" s="2"/>
    </row>
    <row r="91" spans="1:1" ht="15">
      <c r="A91" s="2"/>
    </row>
    <row r="92" spans="1:1" ht="15">
      <c r="A92" s="2"/>
    </row>
    <row r="93" spans="1:1" ht="15">
      <c r="A93" s="2"/>
    </row>
    <row r="94" spans="1:1" ht="15">
      <c r="A94" s="2"/>
    </row>
    <row r="95" spans="1:1" ht="15">
      <c r="A95" s="2"/>
    </row>
    <row r="96" spans="1:1" ht="15">
      <c r="A96" s="2"/>
    </row>
    <row r="97" spans="1:1" ht="15">
      <c r="A97" s="2"/>
    </row>
    <row r="98" spans="1:1" ht="15">
      <c r="A98" s="2"/>
    </row>
    <row r="99" spans="1:1" ht="15">
      <c r="A99" s="2"/>
    </row>
    <row r="100" spans="1:1" ht="15">
      <c r="A100" s="2"/>
    </row>
    <row r="101" spans="1:1" ht="15">
      <c r="A101" s="2"/>
    </row>
    <row r="102" spans="1:1" ht="15">
      <c r="A102" s="2"/>
    </row>
    <row r="103" spans="1:1" ht="15">
      <c r="A103" s="2"/>
    </row>
    <row r="104" spans="1:1" ht="15">
      <c r="A104" s="2"/>
    </row>
    <row r="105" spans="1:1" ht="15">
      <c r="A105" s="2"/>
    </row>
    <row r="106" spans="1:1" ht="15">
      <c r="A106" s="2"/>
    </row>
    <row r="107" spans="1:1" ht="15">
      <c r="A107" s="2"/>
    </row>
    <row r="108" spans="1:1" ht="15">
      <c r="A108" s="2"/>
    </row>
    <row r="109" spans="1:1" ht="15">
      <c r="A109" s="2"/>
    </row>
    <row r="110" spans="1:1" ht="15">
      <c r="A110" s="2"/>
    </row>
    <row r="111" spans="1:1" ht="15">
      <c r="A111" s="2"/>
    </row>
    <row r="112" spans="1:1" ht="15">
      <c r="A112" s="2"/>
    </row>
    <row r="113" spans="1:1" ht="15">
      <c r="A113" s="2"/>
    </row>
    <row r="114" spans="1:1" ht="15">
      <c r="A114" s="2"/>
    </row>
    <row r="115" spans="1:1" ht="15">
      <c r="A115" s="2"/>
    </row>
    <row r="116" spans="1:1" ht="15">
      <c r="A116" s="2"/>
    </row>
    <row r="117" spans="1:1" ht="15">
      <c r="A117" s="2"/>
    </row>
    <row r="118" spans="1:1" ht="15">
      <c r="A118" s="2"/>
    </row>
  </sheetData>
  <sheetProtection selectLockedCells="1" selectUnlockedCells="1"/>
  <sortState ref="E3:E39">
    <sortCondition descending="1" ref="E39"/>
  </sortState>
  <mergeCells count="4">
    <mergeCell ref="J43:S43"/>
    <mergeCell ref="A1:H1"/>
    <mergeCell ref="J2:K2"/>
    <mergeCell ref="J16:M17"/>
  </mergeCells>
  <phoneticPr fontId="3" type="noConversion"/>
  <dataValidations count="1">
    <dataValidation type="list" allowBlank="1" showInputMessage="1" showErrorMessage="1" sqref="M19:M28">
      <formula1>$M$3:$M$4</formula1>
    </dataValidation>
  </dataValidations>
  <pageMargins left="0.7" right="0.7" top="0.75" bottom="0.75" header="0.3" footer="0.3"/>
  <pageSetup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sqref="A1:I1"/>
    </sheetView>
  </sheetViews>
  <sheetFormatPr defaultRowHeight="14.25"/>
  <cols>
    <col min="2" max="2" width="14.75" bestFit="1" customWidth="1"/>
    <col min="3" max="3" width="13.25" bestFit="1" customWidth="1"/>
    <col min="4" max="4" width="17.875" bestFit="1" customWidth="1"/>
    <col min="5" max="5" width="15" bestFit="1" customWidth="1"/>
    <col min="6" max="6" width="17.875" bestFit="1" customWidth="1"/>
    <col min="7" max="7" width="15" bestFit="1" customWidth="1"/>
    <col min="8" max="8" width="13.25" bestFit="1" customWidth="1"/>
    <col min="9" max="9" width="17.875" bestFit="1" customWidth="1"/>
    <col min="10" max="10" width="9.875" style="13" bestFit="1" customWidth="1"/>
    <col min="11" max="11" width="12.25" bestFit="1" customWidth="1"/>
    <col min="12" max="12" width="12.75" bestFit="1" customWidth="1"/>
    <col min="13" max="13" width="16.25" bestFit="1" customWidth="1"/>
    <col min="14" max="14" width="15.125" bestFit="1" customWidth="1"/>
    <col min="15" max="15" width="15.75" bestFit="1" customWidth="1"/>
  </cols>
  <sheetData>
    <row r="1" spans="1:13" ht="26.25">
      <c r="A1" s="312" t="s">
        <v>30</v>
      </c>
      <c r="B1" s="312"/>
      <c r="C1" s="312"/>
      <c r="D1" s="312"/>
      <c r="E1" s="312"/>
      <c r="F1" s="312"/>
      <c r="G1" s="312"/>
      <c r="H1" s="312"/>
      <c r="I1" s="312"/>
      <c r="J1"/>
    </row>
    <row r="2" spans="1:13" ht="15">
      <c r="A2" s="15" t="s">
        <v>0</v>
      </c>
      <c r="B2" s="15" t="s">
        <v>6</v>
      </c>
      <c r="C2" s="15" t="s">
        <v>1</v>
      </c>
      <c r="D2" s="15" t="s">
        <v>5</v>
      </c>
      <c r="E2" s="15" t="s">
        <v>7</v>
      </c>
      <c r="F2" s="15" t="s">
        <v>2</v>
      </c>
      <c r="G2" s="15" t="s">
        <v>3</v>
      </c>
      <c r="H2" s="15" t="s">
        <v>1</v>
      </c>
      <c r="I2" s="15" t="s">
        <v>5</v>
      </c>
      <c r="J2" s="307" t="s">
        <v>21</v>
      </c>
      <c r="K2" s="307"/>
    </row>
    <row r="3" spans="1:13" ht="15">
      <c r="A3" s="16">
        <v>100</v>
      </c>
      <c r="B3" s="21">
        <v>9.8000000000000007</v>
      </c>
      <c r="C3" s="21">
        <v>0.4</v>
      </c>
      <c r="D3" s="21">
        <v>0</v>
      </c>
      <c r="E3" s="53">
        <v>0</v>
      </c>
      <c r="F3" s="27">
        <v>0</v>
      </c>
      <c r="G3" s="27">
        <v>0</v>
      </c>
      <c r="H3" s="70">
        <v>0</v>
      </c>
      <c r="I3" s="70">
        <v>0</v>
      </c>
      <c r="J3" s="69" t="s">
        <v>23</v>
      </c>
      <c r="K3" s="69" t="s">
        <v>24</v>
      </c>
    </row>
    <row r="4" spans="1:13" ht="15">
      <c r="A4" s="17">
        <v>200</v>
      </c>
      <c r="B4" s="22">
        <v>19.7</v>
      </c>
      <c r="C4" s="22">
        <v>0.9</v>
      </c>
      <c r="D4" s="22">
        <v>0</v>
      </c>
      <c r="E4" s="53">
        <v>0</v>
      </c>
      <c r="F4" s="28">
        <v>0</v>
      </c>
      <c r="G4" s="28">
        <v>0</v>
      </c>
      <c r="H4" s="53">
        <v>0</v>
      </c>
      <c r="I4" s="53">
        <v>0</v>
      </c>
      <c r="J4" s="7" t="str">
        <f>IF('2 HE'!K18&lt;100,"Yes",IF('2 HE'!K18&gt;4300,"Yes","No"))</f>
        <v>Yes</v>
      </c>
      <c r="K4" s="45" t="str">
        <f>IF('2 HE'!K18&lt;2300,"Yes",IF('2 HE'!K18&gt;4300,"Yes","No"))</f>
        <v>Yes</v>
      </c>
    </row>
    <row r="5" spans="1:13" ht="15">
      <c r="A5" s="17">
        <v>300</v>
      </c>
      <c r="B5" s="22">
        <v>29.7</v>
      </c>
      <c r="C5" s="22">
        <v>1.3</v>
      </c>
      <c r="D5" s="22">
        <v>0</v>
      </c>
      <c r="E5" s="53">
        <v>0</v>
      </c>
      <c r="F5" s="28">
        <v>0</v>
      </c>
      <c r="G5" s="28">
        <v>0</v>
      </c>
      <c r="H5" s="53">
        <v>0</v>
      </c>
      <c r="I5" s="53">
        <v>0</v>
      </c>
      <c r="J5" s="7" t="str">
        <f>IF('2 HE'!K19&lt;100,"Yes",IF('2 HE'!K19&gt;4300,"Yes","No"))</f>
        <v>Yes</v>
      </c>
      <c r="K5" s="45" t="str">
        <f>IF('2 HE'!K19&lt;2300,"Yes",IF('2 HE'!K19&gt;4300,"Yes","No"))</f>
        <v>Yes</v>
      </c>
    </row>
    <row r="6" spans="1:13" ht="15">
      <c r="A6" s="17">
        <v>400</v>
      </c>
      <c r="B6" s="22">
        <v>39.700000000000003</v>
      </c>
      <c r="C6" s="22">
        <v>1.8</v>
      </c>
      <c r="D6" s="22">
        <v>1.1499999999999999</v>
      </c>
      <c r="E6" s="53">
        <v>0</v>
      </c>
      <c r="F6" s="28">
        <v>0</v>
      </c>
      <c r="G6" s="28">
        <v>0</v>
      </c>
      <c r="H6" s="53">
        <v>0</v>
      </c>
      <c r="I6" s="53">
        <v>0</v>
      </c>
      <c r="J6" s="7" t="str">
        <f>IF('2 HE'!K20&lt;100,"Yes",IF('2 HE'!K20&gt;4300,"Yes","No"))</f>
        <v>Yes</v>
      </c>
      <c r="K6" s="45" t="str">
        <f>IF('2 HE'!K20&lt;2300,"Yes",IF('2 HE'!K20&gt;4300,"Yes","No"))</f>
        <v>Yes</v>
      </c>
    </row>
    <row r="7" spans="1:13" ht="15">
      <c r="A7" s="18">
        <v>500</v>
      </c>
      <c r="B7" s="23">
        <v>49.8</v>
      </c>
      <c r="C7" s="23">
        <v>2.2000000000000002</v>
      </c>
      <c r="D7" s="23">
        <v>0.91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7" t="str">
        <f>IF('2 HE'!K21&lt;100,"Yes",IF('2 HE'!K21&gt;4300,"Yes","No"))</f>
        <v>Yes</v>
      </c>
      <c r="K7" s="45" t="str">
        <f>IF('2 HE'!K21&lt;2300,"Yes",IF('2 HE'!K21&gt;4300,"Yes","No"))</f>
        <v>Yes</v>
      </c>
    </row>
    <row r="8" spans="1:13" ht="15">
      <c r="A8" s="17">
        <v>600</v>
      </c>
      <c r="B8" s="22">
        <v>60</v>
      </c>
      <c r="C8" s="22">
        <v>2.7</v>
      </c>
      <c r="D8" s="22">
        <v>0.76</v>
      </c>
      <c r="E8" s="53">
        <v>0</v>
      </c>
      <c r="F8" s="28">
        <v>0</v>
      </c>
      <c r="G8" s="28">
        <v>0</v>
      </c>
      <c r="H8" s="53">
        <v>0</v>
      </c>
      <c r="I8" s="53">
        <v>0</v>
      </c>
      <c r="J8" s="7" t="str">
        <f>IF('2 HE'!K22&lt;100,"Yes",IF('2 HE'!K22&gt;4300,"Yes","No"))</f>
        <v>Yes</v>
      </c>
      <c r="K8" s="45" t="str">
        <f>IF('2 HE'!K22&lt;2300,"Yes",IF('2 HE'!K22&gt;4300,"Yes","No"))</f>
        <v>Yes</v>
      </c>
    </row>
    <row r="9" spans="1:13" ht="15">
      <c r="A9" s="17">
        <v>700</v>
      </c>
      <c r="B9" s="22">
        <v>70.3</v>
      </c>
      <c r="C9" s="22">
        <v>3.2</v>
      </c>
      <c r="D9" s="22">
        <v>0.65</v>
      </c>
      <c r="E9" s="53">
        <v>0</v>
      </c>
      <c r="F9" s="28">
        <v>0</v>
      </c>
      <c r="G9" s="28">
        <v>0</v>
      </c>
      <c r="H9" s="53">
        <v>0</v>
      </c>
      <c r="I9" s="53">
        <v>0</v>
      </c>
      <c r="J9" s="7" t="str">
        <f>IF('2 HE'!K23&lt;100,"Yes",IF('2 HE'!K23&gt;4300,"Yes","No"))</f>
        <v>Yes</v>
      </c>
      <c r="K9" s="45" t="str">
        <f>IF('2 HE'!K23&lt;2300,"Yes",IF('2 HE'!K23&gt;4300,"Yes","No"))</f>
        <v>Yes</v>
      </c>
    </row>
    <row r="10" spans="1:13" ht="15">
      <c r="A10" s="17">
        <v>800</v>
      </c>
      <c r="B10" s="22">
        <v>80.599999999999994</v>
      </c>
      <c r="C10" s="22">
        <v>3.6</v>
      </c>
      <c r="D10" s="22">
        <v>0.56999999999999995</v>
      </c>
      <c r="E10" s="53">
        <v>0</v>
      </c>
      <c r="F10" s="28">
        <v>0</v>
      </c>
      <c r="G10" s="28">
        <v>0</v>
      </c>
      <c r="H10" s="53">
        <v>0</v>
      </c>
      <c r="I10" s="53">
        <v>0</v>
      </c>
      <c r="J10" s="7" t="str">
        <f>IF('2 HE'!K24&lt;100,"Yes",IF('2 HE'!K24&gt;4300,"Yes","No"))</f>
        <v>Yes</v>
      </c>
      <c r="K10" s="45" t="str">
        <f>IF('2 HE'!K24&lt;2300,"Yes",IF('2 HE'!K24&gt;4300,"Yes","No"))</f>
        <v>Yes</v>
      </c>
    </row>
    <row r="11" spans="1:13" ht="15">
      <c r="A11" s="17">
        <v>900</v>
      </c>
      <c r="B11" s="22">
        <v>91.1</v>
      </c>
      <c r="C11" s="22">
        <v>4.0999999999999996</v>
      </c>
      <c r="D11" s="22">
        <v>0.5</v>
      </c>
      <c r="E11" s="53">
        <v>0</v>
      </c>
      <c r="F11" s="28">
        <v>0</v>
      </c>
      <c r="G11" s="28">
        <v>0</v>
      </c>
      <c r="H11" s="53">
        <v>0</v>
      </c>
      <c r="I11" s="53">
        <v>0</v>
      </c>
      <c r="J11" s="7" t="str">
        <f>IF('2 HE'!K25&lt;100,"Yes",IF('2 HE'!K25&gt;4300,"Yes","No"))</f>
        <v>Yes</v>
      </c>
      <c r="K11" s="45" t="str">
        <f>IF('2 HE'!K25&lt;2300,"Yes",IF('2 HE'!K25&gt;4300,"Yes","No"))</f>
        <v>Yes</v>
      </c>
    </row>
    <row r="12" spans="1:13" ht="15">
      <c r="A12" s="18">
        <v>1000</v>
      </c>
      <c r="B12" s="23">
        <v>101.7</v>
      </c>
      <c r="C12" s="23">
        <v>4.5999999999999996</v>
      </c>
      <c r="D12" s="23">
        <v>0.45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7" t="str">
        <f>IF('2 HE'!K26&lt;100,"Yes",IF('2 HE'!K26&gt;4300,"Yes","No"))</f>
        <v>Yes</v>
      </c>
      <c r="K12" s="45" t="str">
        <f>IF('2 HE'!K26&lt;2300,"Yes",IF('2 HE'!K26&gt;4300,"Yes","No"))</f>
        <v>Yes</v>
      </c>
    </row>
    <row r="13" spans="1:13" ht="15">
      <c r="A13" s="17">
        <v>1100</v>
      </c>
      <c r="B13" s="22">
        <v>112.4</v>
      </c>
      <c r="C13" s="22">
        <v>5</v>
      </c>
      <c r="D13" s="22">
        <v>0.41</v>
      </c>
      <c r="E13" s="53">
        <v>0</v>
      </c>
      <c r="F13" s="28">
        <v>0</v>
      </c>
      <c r="G13" s="28">
        <v>0</v>
      </c>
      <c r="H13" s="53">
        <v>0</v>
      </c>
      <c r="I13" s="53">
        <v>0</v>
      </c>
      <c r="J13" s="7" t="str">
        <f>IF('2 HE'!K27&lt;100,"Yes",IF('2 HE'!K27&gt;4300,"Yes","No"))</f>
        <v>Yes</v>
      </c>
      <c r="K13" s="45" t="str">
        <f>IF('2 HE'!K27&lt;2300,"Yes",IF('2 HE'!K27&gt;4300,"Yes","No"))</f>
        <v>Yes</v>
      </c>
    </row>
    <row r="14" spans="1:13" ht="15">
      <c r="A14" s="17">
        <v>1200</v>
      </c>
      <c r="B14" s="22">
        <v>123.2</v>
      </c>
      <c r="C14" s="22">
        <v>5.5</v>
      </c>
      <c r="D14" s="22">
        <v>0.37</v>
      </c>
      <c r="E14" s="53">
        <v>0</v>
      </c>
      <c r="F14" s="28">
        <v>0</v>
      </c>
      <c r="G14" s="28">
        <v>0</v>
      </c>
      <c r="H14" s="53">
        <v>0</v>
      </c>
      <c r="I14" s="53">
        <v>0</v>
      </c>
      <c r="J14"/>
    </row>
    <row r="15" spans="1:13" ht="15">
      <c r="A15" s="17">
        <v>1300</v>
      </c>
      <c r="B15" s="22">
        <v>134.1</v>
      </c>
      <c r="C15" s="22">
        <v>6</v>
      </c>
      <c r="D15" s="22">
        <v>0.34</v>
      </c>
      <c r="E15" s="53">
        <v>0</v>
      </c>
      <c r="F15" s="28">
        <v>0</v>
      </c>
      <c r="G15" s="28">
        <v>0</v>
      </c>
      <c r="H15" s="53">
        <v>0</v>
      </c>
      <c r="I15" s="53">
        <v>0</v>
      </c>
      <c r="J15"/>
    </row>
    <row r="16" spans="1:13" ht="15">
      <c r="A16" s="17">
        <v>1400</v>
      </c>
      <c r="B16" s="22">
        <v>145.19999999999999</v>
      </c>
      <c r="C16" s="22">
        <v>6.5</v>
      </c>
      <c r="D16" s="22">
        <v>0.32</v>
      </c>
      <c r="E16" s="53">
        <v>0</v>
      </c>
      <c r="F16" s="28">
        <v>0</v>
      </c>
      <c r="G16" s="28">
        <v>0</v>
      </c>
      <c r="H16" s="53">
        <v>0</v>
      </c>
      <c r="I16" s="53">
        <v>0</v>
      </c>
      <c r="J16" s="313" t="s">
        <v>15</v>
      </c>
      <c r="K16" s="313"/>
      <c r="L16" s="313"/>
      <c r="M16" s="313"/>
    </row>
    <row r="17" spans="1:15" ht="15">
      <c r="A17" s="18">
        <v>1500</v>
      </c>
      <c r="B17" s="23">
        <v>156.4</v>
      </c>
      <c r="C17" s="23">
        <v>7</v>
      </c>
      <c r="D17" s="23">
        <v>0.3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57" t="s">
        <v>12</v>
      </c>
      <c r="K17" s="58" t="s">
        <v>0</v>
      </c>
      <c r="L17" s="58" t="s">
        <v>4</v>
      </c>
      <c r="M17" s="59" t="s">
        <v>22</v>
      </c>
    </row>
    <row r="18" spans="1:15" ht="15">
      <c r="A18" s="17">
        <v>1600</v>
      </c>
      <c r="B18" s="22">
        <v>167.8</v>
      </c>
      <c r="C18" s="22">
        <v>7.5</v>
      </c>
      <c r="D18" s="22">
        <v>0.28000000000000003</v>
      </c>
      <c r="E18" s="53">
        <v>0</v>
      </c>
      <c r="F18" s="28">
        <v>0</v>
      </c>
      <c r="G18" s="28">
        <v>0</v>
      </c>
      <c r="H18" s="53">
        <v>0</v>
      </c>
      <c r="I18" s="53">
        <v>0</v>
      </c>
      <c r="J18" s="60">
        <v>1</v>
      </c>
      <c r="K18" s="216">
        <f>INPUT!B5</f>
        <v>0</v>
      </c>
      <c r="L18" s="61">
        <f>INPUT!C5</f>
        <v>0</v>
      </c>
      <c r="M18" s="5" t="str">
        <f>INPUT!D5</f>
        <v>L/A</v>
      </c>
    </row>
    <row r="19" spans="1:15" ht="15">
      <c r="A19" s="17">
        <v>1700</v>
      </c>
      <c r="B19" s="63">
        <v>179.3</v>
      </c>
      <c r="C19" s="22">
        <v>8</v>
      </c>
      <c r="D19" s="22">
        <v>0.26</v>
      </c>
      <c r="E19" s="53">
        <v>0</v>
      </c>
      <c r="F19" s="28">
        <v>0</v>
      </c>
      <c r="G19" s="28">
        <v>0</v>
      </c>
      <c r="H19" s="53">
        <v>0</v>
      </c>
      <c r="I19" s="53">
        <v>0</v>
      </c>
      <c r="J19" s="60">
        <v>2</v>
      </c>
      <c r="K19" s="216">
        <f>INPUT!B6</f>
        <v>0</v>
      </c>
      <c r="L19" s="61">
        <f>INPUT!C6</f>
        <v>0</v>
      </c>
      <c r="M19" s="5" t="str">
        <f>'1 HE'!N3</f>
        <v>L/A</v>
      </c>
    </row>
    <row r="20" spans="1:15" ht="15">
      <c r="A20" s="17">
        <v>1800</v>
      </c>
      <c r="B20" s="63">
        <v>191</v>
      </c>
      <c r="C20" s="22">
        <v>8.5</v>
      </c>
      <c r="D20" s="22">
        <v>0.24</v>
      </c>
      <c r="E20" s="53">
        <v>0</v>
      </c>
      <c r="F20" s="28">
        <v>0</v>
      </c>
      <c r="G20" s="28">
        <v>0</v>
      </c>
      <c r="H20" s="53">
        <v>0</v>
      </c>
      <c r="I20" s="53">
        <v>0</v>
      </c>
      <c r="J20" s="60">
        <v>3</v>
      </c>
      <c r="K20" s="216">
        <f>INPUT!B7</f>
        <v>0</v>
      </c>
      <c r="L20" s="61">
        <f>INPUT!C7</f>
        <v>0</v>
      </c>
      <c r="M20" s="5" t="str">
        <f>'1 HE'!N4</f>
        <v>L/A</v>
      </c>
    </row>
    <row r="21" spans="1:15" ht="15">
      <c r="A21" s="17">
        <v>1900</v>
      </c>
      <c r="B21" s="22">
        <v>202.9</v>
      </c>
      <c r="C21" s="22">
        <v>9</v>
      </c>
      <c r="D21" s="22">
        <v>0.23</v>
      </c>
      <c r="E21" s="53">
        <v>0</v>
      </c>
      <c r="F21" s="28">
        <v>0</v>
      </c>
      <c r="G21" s="28">
        <v>0</v>
      </c>
      <c r="H21" s="53">
        <v>0</v>
      </c>
      <c r="I21" s="53">
        <v>0</v>
      </c>
      <c r="J21" s="60">
        <v>4</v>
      </c>
      <c r="K21" s="216">
        <f>INPUT!B8</f>
        <v>0</v>
      </c>
      <c r="L21" s="61">
        <f>INPUT!C8</f>
        <v>0</v>
      </c>
      <c r="M21" s="5" t="str">
        <f>'1 HE'!N5</f>
        <v>L/A</v>
      </c>
    </row>
    <row r="22" spans="1:15" ht="15">
      <c r="A22" s="18">
        <v>2000</v>
      </c>
      <c r="B22" s="23">
        <v>215.1</v>
      </c>
      <c r="C22" s="23">
        <v>9.5</v>
      </c>
      <c r="D22" s="23">
        <v>0.22</v>
      </c>
      <c r="E22" s="29">
        <v>0</v>
      </c>
      <c r="F22" s="74">
        <v>0</v>
      </c>
      <c r="G22" s="74">
        <v>0</v>
      </c>
      <c r="H22" s="29">
        <v>0</v>
      </c>
      <c r="I22" s="29">
        <v>0</v>
      </c>
      <c r="J22" s="60">
        <v>5</v>
      </c>
      <c r="K22" s="216">
        <f>INPUT!B9</f>
        <v>0</v>
      </c>
      <c r="L22" s="61">
        <f>INPUT!C9</f>
        <v>0</v>
      </c>
      <c r="M22" s="5" t="str">
        <f>'1 HE'!N6</f>
        <v>L/A</v>
      </c>
    </row>
    <row r="23" spans="1:15" ht="15">
      <c r="A23" s="19">
        <v>2100</v>
      </c>
      <c r="B23" s="63">
        <v>227.4</v>
      </c>
      <c r="C23" s="63">
        <v>10.1</v>
      </c>
      <c r="D23" s="63">
        <v>0.21</v>
      </c>
      <c r="E23" s="53">
        <v>0</v>
      </c>
      <c r="F23" s="75">
        <v>0</v>
      </c>
      <c r="G23" s="53">
        <v>0</v>
      </c>
      <c r="H23" s="75">
        <v>0</v>
      </c>
      <c r="I23" s="53">
        <v>0</v>
      </c>
      <c r="J23" s="60">
        <v>6</v>
      </c>
      <c r="K23" s="216">
        <f>INPUT!B10</f>
        <v>0</v>
      </c>
      <c r="L23" s="61">
        <f>INPUT!C10</f>
        <v>0</v>
      </c>
      <c r="M23" s="5" t="str">
        <f>'1 HE'!N7</f>
        <v>L/A</v>
      </c>
    </row>
    <row r="24" spans="1:15" ht="15">
      <c r="A24" s="19">
        <v>2200</v>
      </c>
      <c r="B24" s="63">
        <v>239.9</v>
      </c>
      <c r="C24" s="63">
        <v>10.6</v>
      </c>
      <c r="D24" s="63">
        <v>0.2</v>
      </c>
      <c r="E24" s="53">
        <v>0</v>
      </c>
      <c r="F24" s="75">
        <v>0</v>
      </c>
      <c r="G24" s="53">
        <v>0</v>
      </c>
      <c r="H24" s="75">
        <v>0</v>
      </c>
      <c r="I24" s="53">
        <v>0</v>
      </c>
      <c r="J24" s="60">
        <v>7</v>
      </c>
      <c r="K24" s="216">
        <f>INPUT!B11</f>
        <v>0</v>
      </c>
      <c r="L24" s="61">
        <f>INPUT!C11</f>
        <v>0</v>
      </c>
      <c r="M24" s="5" t="str">
        <f>'1 HE'!N8</f>
        <v>L/A</v>
      </c>
    </row>
    <row r="25" spans="1:15" ht="15">
      <c r="A25" s="19">
        <v>2300</v>
      </c>
      <c r="B25" s="63">
        <v>252.7</v>
      </c>
      <c r="C25" s="63">
        <v>11.1</v>
      </c>
      <c r="D25" s="63">
        <v>0.19</v>
      </c>
      <c r="E25" s="53">
        <v>1288.7</v>
      </c>
      <c r="F25" s="48">
        <f>(E25/E27)*F27</f>
        <v>-1.0988441496920891</v>
      </c>
      <c r="G25" s="48">
        <f>(E25/E27)*G27</f>
        <v>1.0917220116848254</v>
      </c>
      <c r="H25" s="55">
        <v>42.3</v>
      </c>
      <c r="I25" s="49">
        <v>0.05</v>
      </c>
      <c r="J25" s="60">
        <v>8</v>
      </c>
      <c r="K25" s="216">
        <f>INPUT!B12</f>
        <v>0</v>
      </c>
      <c r="L25" s="61">
        <f>INPUT!C12</f>
        <v>0</v>
      </c>
      <c r="M25" s="5" t="str">
        <f>'1 HE'!N9</f>
        <v>L/A</v>
      </c>
    </row>
    <row r="26" spans="1:15" ht="15">
      <c r="A26" s="19">
        <v>2400</v>
      </c>
      <c r="B26" s="63">
        <v>265.8</v>
      </c>
      <c r="C26" s="63">
        <v>11.7</v>
      </c>
      <c r="D26" s="63">
        <v>0.18</v>
      </c>
      <c r="E26" s="53">
        <v>1278</v>
      </c>
      <c r="F26" s="48">
        <f>(E26/E27)*F27</f>
        <v>-1.0897205116058741</v>
      </c>
      <c r="G26" s="48">
        <f>(E26/E27)*G27</f>
        <v>1.0826575082899101</v>
      </c>
      <c r="H26" s="55">
        <v>42</v>
      </c>
      <c r="I26" s="49">
        <v>0.05</v>
      </c>
      <c r="J26" s="60">
        <v>9</v>
      </c>
      <c r="K26" s="216">
        <f>INPUT!B13</f>
        <v>0</v>
      </c>
      <c r="L26" s="61">
        <f>INPUT!C13</f>
        <v>0</v>
      </c>
      <c r="M26" s="5" t="str">
        <f>'1 HE'!N10</f>
        <v>L/A</v>
      </c>
    </row>
    <row r="27" spans="1:15" ht="15">
      <c r="A27" s="18">
        <v>2500</v>
      </c>
      <c r="B27" s="23">
        <v>279.2</v>
      </c>
      <c r="C27" s="23">
        <v>12.2</v>
      </c>
      <c r="D27" s="23">
        <v>0.17</v>
      </c>
      <c r="E27" s="29">
        <v>1266.5999999999999</v>
      </c>
      <c r="F27" s="35">
        <v>-1.08</v>
      </c>
      <c r="G27" s="33">
        <v>1.073</v>
      </c>
      <c r="H27" s="71">
        <v>41.8</v>
      </c>
      <c r="I27" s="33">
        <v>0.05</v>
      </c>
      <c r="J27" s="60">
        <v>10</v>
      </c>
      <c r="K27" s="216">
        <f>INPUT!B14</f>
        <v>0</v>
      </c>
      <c r="L27" s="61">
        <f>INPUT!C14</f>
        <v>0</v>
      </c>
      <c r="M27" s="5" t="str">
        <f>'1 HE'!N11</f>
        <v>L/A</v>
      </c>
    </row>
    <row r="28" spans="1:15" ht="15">
      <c r="A28" s="19">
        <v>2600</v>
      </c>
      <c r="B28" s="63">
        <v>292.8</v>
      </c>
      <c r="C28" s="63">
        <v>12.8</v>
      </c>
      <c r="D28" s="63">
        <v>0.16</v>
      </c>
      <c r="E28" s="53">
        <v>1254.5</v>
      </c>
      <c r="F28" s="48">
        <v>-1.0964</v>
      </c>
      <c r="G28" s="49">
        <v>1.0871999999999999</v>
      </c>
      <c r="H28" s="55">
        <v>41.5</v>
      </c>
      <c r="I28" s="49">
        <v>0.05</v>
      </c>
      <c r="J28"/>
    </row>
    <row r="29" spans="1:15" ht="15">
      <c r="A29" s="19">
        <v>2700</v>
      </c>
      <c r="B29" s="63">
        <v>306.89999999999998</v>
      </c>
      <c r="C29" s="63">
        <v>13.4</v>
      </c>
      <c r="D29" s="63">
        <v>0.16</v>
      </c>
      <c r="E29" s="53">
        <v>1241.7</v>
      </c>
      <c r="F29" s="48">
        <v>-1.1128</v>
      </c>
      <c r="G29" s="49">
        <v>1.1013999999999999</v>
      </c>
      <c r="H29" s="55">
        <v>41.3</v>
      </c>
      <c r="I29" s="49">
        <v>0.05</v>
      </c>
      <c r="J29" s="42" t="s">
        <v>72</v>
      </c>
      <c r="K29" s="42" t="s">
        <v>73</v>
      </c>
      <c r="L29" s="42" t="s">
        <v>74</v>
      </c>
      <c r="M29" s="42" t="s">
        <v>75</v>
      </c>
      <c r="N29" s="138" t="s">
        <v>76</v>
      </c>
      <c r="O29" s="138" t="s">
        <v>77</v>
      </c>
    </row>
    <row r="30" spans="1:15" ht="15">
      <c r="A30" s="19">
        <v>2800</v>
      </c>
      <c r="B30" s="63">
        <v>321.3</v>
      </c>
      <c r="C30" s="63">
        <v>14</v>
      </c>
      <c r="D30" s="63">
        <v>0.15</v>
      </c>
      <c r="E30" s="53">
        <v>1228.2</v>
      </c>
      <c r="F30" s="48">
        <v>-1.1292</v>
      </c>
      <c r="G30" s="49">
        <v>1.1155999999999999</v>
      </c>
      <c r="H30" s="55">
        <v>41.1</v>
      </c>
      <c r="I30" s="49">
        <v>0.05</v>
      </c>
      <c r="J30" t="e">
        <f t="shared" ref="J30:J39" si="0">VLOOKUP(K43,$A$3:$I$45,IF(M18="L/A",4,9),FALSE)</f>
        <v>#N/A</v>
      </c>
      <c r="K30">
        <f t="shared" ref="K30:K39" si="1">VLOOKUP(L43,$A$3:$I$45,IF(M18="L/A",4,9),FALSE)</f>
        <v>0</v>
      </c>
      <c r="L30" t="e">
        <f t="shared" ref="L30:L39" si="2">IF(K43=4300,J30,((K30-J30)*M43)+J30)</f>
        <v>#N/A</v>
      </c>
      <c r="M30" s="139" t="e">
        <f t="shared" ref="M30:M39" si="3">VLOOKUP(K43,$A$3:$I$45,IF(L18&gt;=0,7,6),FALSE)</f>
        <v>#N/A</v>
      </c>
      <c r="N30" s="140">
        <f t="shared" ref="N30:N39" si="4">VLOOKUP(L43,$A$3:$I$45,IF(L18&gt;=0,7,6),FALSE)</f>
        <v>0</v>
      </c>
      <c r="O30" s="139" t="e">
        <f t="shared" ref="O30:O39" si="5">IF(K18=4300,M30,((N30-M30)*M43)+M30)</f>
        <v>#N/A</v>
      </c>
    </row>
    <row r="31" spans="1:15" ht="15">
      <c r="A31" s="19">
        <v>2900</v>
      </c>
      <c r="B31" s="63">
        <v>336.1</v>
      </c>
      <c r="C31" s="63">
        <v>14.6</v>
      </c>
      <c r="D31" s="63">
        <v>0.14000000000000001</v>
      </c>
      <c r="E31" s="53">
        <v>1214.2</v>
      </c>
      <c r="F31" s="48">
        <v>-1.1456</v>
      </c>
      <c r="G31" s="49">
        <v>1.1297999999999999</v>
      </c>
      <c r="H31" s="55">
        <v>40.799999999999997</v>
      </c>
      <c r="I31" s="49">
        <v>0.05</v>
      </c>
      <c r="J31" t="e">
        <f t="shared" si="0"/>
        <v>#N/A</v>
      </c>
      <c r="K31">
        <f t="shared" si="1"/>
        <v>0</v>
      </c>
      <c r="L31" t="e">
        <f t="shared" si="2"/>
        <v>#N/A</v>
      </c>
      <c r="M31" s="139" t="e">
        <f t="shared" si="3"/>
        <v>#N/A</v>
      </c>
      <c r="N31" s="140">
        <f t="shared" si="4"/>
        <v>0</v>
      </c>
      <c r="O31" s="139" t="e">
        <f t="shared" si="5"/>
        <v>#N/A</v>
      </c>
    </row>
    <row r="32" spans="1:15" ht="15">
      <c r="A32" s="18">
        <v>3000</v>
      </c>
      <c r="B32" s="23">
        <v>351.4</v>
      </c>
      <c r="C32" s="23">
        <v>15.2</v>
      </c>
      <c r="D32" s="23">
        <v>0.14000000000000001</v>
      </c>
      <c r="E32" s="29">
        <v>1199.5</v>
      </c>
      <c r="F32" s="35">
        <v>-1.1619999999999999</v>
      </c>
      <c r="G32" s="33">
        <v>1.1439999999999999</v>
      </c>
      <c r="H32" s="71">
        <v>40.6</v>
      </c>
      <c r="I32" s="33">
        <v>0.05</v>
      </c>
      <c r="J32" t="e">
        <f t="shared" si="0"/>
        <v>#N/A</v>
      </c>
      <c r="K32">
        <f t="shared" si="1"/>
        <v>0</v>
      </c>
      <c r="L32" t="e">
        <f t="shared" si="2"/>
        <v>#N/A</v>
      </c>
      <c r="M32" s="139" t="e">
        <f t="shared" si="3"/>
        <v>#N/A</v>
      </c>
      <c r="N32" s="140">
        <f t="shared" si="4"/>
        <v>0</v>
      </c>
      <c r="O32" s="139" t="e">
        <f t="shared" si="5"/>
        <v>#N/A</v>
      </c>
    </row>
    <row r="33" spans="1:19" ht="15">
      <c r="A33" s="19">
        <v>3100</v>
      </c>
      <c r="B33" s="63">
        <v>367.2</v>
      </c>
      <c r="C33" s="63">
        <v>15.9</v>
      </c>
      <c r="D33" s="63">
        <v>0.13</v>
      </c>
      <c r="E33" s="53">
        <v>1184.0999999999999</v>
      </c>
      <c r="F33" s="48">
        <v>-1.1928000000000001</v>
      </c>
      <c r="G33" s="49">
        <v>1.1684000000000001</v>
      </c>
      <c r="H33" s="55">
        <v>40.299999999999997</v>
      </c>
      <c r="I33" s="49">
        <v>0.05</v>
      </c>
      <c r="J33" t="e">
        <f t="shared" si="0"/>
        <v>#N/A</v>
      </c>
      <c r="K33">
        <f t="shared" si="1"/>
        <v>0</v>
      </c>
      <c r="L33" t="e">
        <f t="shared" si="2"/>
        <v>#N/A</v>
      </c>
      <c r="M33" s="139" t="e">
        <f t="shared" si="3"/>
        <v>#N/A</v>
      </c>
      <c r="N33" s="140">
        <f t="shared" si="4"/>
        <v>0</v>
      </c>
      <c r="O33" s="139" t="e">
        <f t="shared" si="5"/>
        <v>#N/A</v>
      </c>
    </row>
    <row r="34" spans="1:19" ht="15">
      <c r="A34" s="19">
        <v>3200</v>
      </c>
      <c r="B34" s="63">
        <v>383.6</v>
      </c>
      <c r="C34" s="63">
        <v>16.5</v>
      </c>
      <c r="D34" s="63">
        <v>0.13</v>
      </c>
      <c r="E34" s="53">
        <v>1168</v>
      </c>
      <c r="F34" s="48">
        <v>-1.2236</v>
      </c>
      <c r="G34" s="49">
        <v>1.1928000000000001</v>
      </c>
      <c r="H34" s="55">
        <v>40</v>
      </c>
      <c r="I34" s="49">
        <v>0.05</v>
      </c>
      <c r="J34" t="e">
        <f t="shared" si="0"/>
        <v>#N/A</v>
      </c>
      <c r="K34">
        <f t="shared" si="1"/>
        <v>0</v>
      </c>
      <c r="L34" t="e">
        <f t="shared" si="2"/>
        <v>#N/A</v>
      </c>
      <c r="M34" s="139" t="e">
        <f t="shared" si="3"/>
        <v>#N/A</v>
      </c>
      <c r="N34" s="140">
        <f t="shared" si="4"/>
        <v>0</v>
      </c>
      <c r="O34" s="139" t="e">
        <f t="shared" si="5"/>
        <v>#N/A</v>
      </c>
    </row>
    <row r="35" spans="1:19" ht="15">
      <c r="A35" s="19">
        <v>3300</v>
      </c>
      <c r="B35" s="63">
        <v>400.7</v>
      </c>
      <c r="C35" s="63">
        <v>17.2</v>
      </c>
      <c r="D35" s="63">
        <v>0.12</v>
      </c>
      <c r="E35" s="53">
        <v>1151.0999999999999</v>
      </c>
      <c r="F35" s="48">
        <v>-1.2544</v>
      </c>
      <c r="G35" s="49">
        <v>1.2172000000000001</v>
      </c>
      <c r="H35" s="55">
        <v>39.700000000000003</v>
      </c>
      <c r="I35" s="49">
        <v>0.05</v>
      </c>
      <c r="J35" t="e">
        <f t="shared" si="0"/>
        <v>#N/A</v>
      </c>
      <c r="K35">
        <f t="shared" si="1"/>
        <v>0</v>
      </c>
      <c r="L35" t="e">
        <f t="shared" si="2"/>
        <v>#N/A</v>
      </c>
      <c r="M35" s="139" t="e">
        <f t="shared" si="3"/>
        <v>#N/A</v>
      </c>
      <c r="N35" s="140">
        <f t="shared" si="4"/>
        <v>0</v>
      </c>
      <c r="O35" s="139" t="e">
        <f t="shared" si="5"/>
        <v>#N/A</v>
      </c>
    </row>
    <row r="36" spans="1:19" ht="15">
      <c r="A36" s="19">
        <v>3400</v>
      </c>
      <c r="B36" s="63">
        <v>418.5</v>
      </c>
      <c r="C36" s="63">
        <v>17.899999999999999</v>
      </c>
      <c r="D36" s="63">
        <v>0.12</v>
      </c>
      <c r="E36" s="53">
        <v>1133.4000000000001</v>
      </c>
      <c r="F36" s="48">
        <v>-1.2851999999999999</v>
      </c>
      <c r="G36" s="49">
        <v>1.2416</v>
      </c>
      <c r="H36" s="55">
        <v>39.4</v>
      </c>
      <c r="I36" s="49">
        <v>0.06</v>
      </c>
      <c r="J36" t="e">
        <f t="shared" si="0"/>
        <v>#N/A</v>
      </c>
      <c r="K36">
        <f t="shared" si="1"/>
        <v>0</v>
      </c>
      <c r="L36" t="e">
        <f t="shared" si="2"/>
        <v>#N/A</v>
      </c>
      <c r="M36" s="139" t="e">
        <f t="shared" si="3"/>
        <v>#N/A</v>
      </c>
      <c r="N36" s="140">
        <f t="shared" si="4"/>
        <v>0</v>
      </c>
      <c r="O36" s="139" t="e">
        <f t="shared" si="5"/>
        <v>#N/A</v>
      </c>
    </row>
    <row r="37" spans="1:19" ht="15">
      <c r="A37" s="18">
        <v>3500</v>
      </c>
      <c r="B37" s="23">
        <v>437.2</v>
      </c>
      <c r="C37" s="23">
        <v>18.5</v>
      </c>
      <c r="D37" s="23">
        <v>0.11</v>
      </c>
      <c r="E37" s="29">
        <v>1114.8</v>
      </c>
      <c r="F37" s="35">
        <v>-1.3160000000000001</v>
      </c>
      <c r="G37" s="35">
        <v>1.266</v>
      </c>
      <c r="H37" s="29">
        <v>39</v>
      </c>
      <c r="I37" s="33">
        <v>0.06</v>
      </c>
      <c r="J37" t="e">
        <f t="shared" si="0"/>
        <v>#N/A</v>
      </c>
      <c r="K37">
        <f t="shared" si="1"/>
        <v>0</v>
      </c>
      <c r="L37" t="e">
        <f t="shared" si="2"/>
        <v>#N/A</v>
      </c>
      <c r="M37" s="139" t="e">
        <f t="shared" si="3"/>
        <v>#N/A</v>
      </c>
      <c r="N37" s="140">
        <f t="shared" si="4"/>
        <v>0</v>
      </c>
      <c r="O37" s="139" t="e">
        <f t="shared" si="5"/>
        <v>#N/A</v>
      </c>
    </row>
    <row r="38" spans="1:19" ht="15">
      <c r="A38" s="19">
        <v>3600</v>
      </c>
      <c r="B38" s="53">
        <v>456.9</v>
      </c>
      <c r="C38" s="63">
        <v>19.399999999999999</v>
      </c>
      <c r="D38" s="63">
        <v>0.11</v>
      </c>
      <c r="E38" s="53">
        <v>1095.0999999999999</v>
      </c>
      <c r="F38" s="48">
        <v>-1.4128000000000001</v>
      </c>
      <c r="G38" s="49">
        <v>1.3240000000000001</v>
      </c>
      <c r="H38" s="53">
        <v>38.6</v>
      </c>
      <c r="I38" s="49">
        <v>0.06</v>
      </c>
      <c r="J38" t="e">
        <f t="shared" si="0"/>
        <v>#N/A</v>
      </c>
      <c r="K38">
        <f t="shared" si="1"/>
        <v>0</v>
      </c>
      <c r="L38" t="e">
        <f t="shared" si="2"/>
        <v>#N/A</v>
      </c>
      <c r="M38" s="139" t="e">
        <f t="shared" si="3"/>
        <v>#N/A</v>
      </c>
      <c r="N38" s="140">
        <f t="shared" si="4"/>
        <v>0</v>
      </c>
      <c r="O38" s="139" t="e">
        <f t="shared" si="5"/>
        <v>#N/A</v>
      </c>
    </row>
    <row r="39" spans="1:19" ht="15">
      <c r="A39" s="19">
        <v>3700</v>
      </c>
      <c r="B39" s="63">
        <v>477.9</v>
      </c>
      <c r="C39" s="63">
        <v>20.2</v>
      </c>
      <c r="D39" s="63">
        <v>0.1</v>
      </c>
      <c r="E39" s="53">
        <v>1074</v>
      </c>
      <c r="F39" s="48">
        <v>-1.5096000000000001</v>
      </c>
      <c r="G39" s="48">
        <v>1.3819999999999999</v>
      </c>
      <c r="H39" s="55">
        <v>38.200000000000003</v>
      </c>
      <c r="I39" s="49">
        <v>0.06</v>
      </c>
      <c r="J39" t="e">
        <f t="shared" si="0"/>
        <v>#N/A</v>
      </c>
      <c r="K39">
        <f t="shared" si="1"/>
        <v>0</v>
      </c>
      <c r="L39" t="e">
        <f t="shared" si="2"/>
        <v>#N/A</v>
      </c>
      <c r="M39" s="139" t="e">
        <f t="shared" si="3"/>
        <v>#N/A</v>
      </c>
      <c r="N39" s="140">
        <f t="shared" si="4"/>
        <v>0</v>
      </c>
      <c r="O39" s="139" t="e">
        <f t="shared" si="5"/>
        <v>#N/A</v>
      </c>
    </row>
    <row r="40" spans="1:19" ht="15">
      <c r="A40" s="19">
        <v>3800</v>
      </c>
      <c r="B40" s="63">
        <v>500.4</v>
      </c>
      <c r="C40" s="63">
        <v>21.1</v>
      </c>
      <c r="D40" s="63">
        <v>0.1</v>
      </c>
      <c r="E40" s="53">
        <v>1051.4000000000001</v>
      </c>
      <c r="F40" s="48">
        <v>-1.6064000000000001</v>
      </c>
      <c r="G40" s="49">
        <v>1.44</v>
      </c>
      <c r="H40" s="55">
        <v>37.700000000000003</v>
      </c>
      <c r="I40" s="49">
        <v>0.06</v>
      </c>
      <c r="J40"/>
    </row>
    <row r="41" spans="1:19" ht="15">
      <c r="A41" s="19">
        <v>3900</v>
      </c>
      <c r="B41" s="63">
        <v>524.79999999999995</v>
      </c>
      <c r="C41" s="63">
        <v>22</v>
      </c>
      <c r="D41" s="63">
        <v>0.1</v>
      </c>
      <c r="E41" s="53">
        <v>1026.9000000000001</v>
      </c>
      <c r="F41" s="72">
        <v>-1.7032</v>
      </c>
      <c r="G41" s="48">
        <v>1.498</v>
      </c>
      <c r="H41" s="55">
        <v>37.1</v>
      </c>
      <c r="I41" s="49">
        <v>0.06</v>
      </c>
      <c r="J41" s="314" t="s">
        <v>33</v>
      </c>
      <c r="K41" s="315"/>
      <c r="L41" s="315"/>
      <c r="M41" s="315"/>
      <c r="N41" s="315"/>
      <c r="O41" s="315"/>
      <c r="P41" s="315"/>
      <c r="Q41" s="315"/>
      <c r="R41" s="315"/>
      <c r="S41" s="316"/>
    </row>
    <row r="42" spans="1:19" ht="15">
      <c r="A42" s="18">
        <v>4000</v>
      </c>
      <c r="B42" s="23">
        <v>551.9</v>
      </c>
      <c r="C42" s="23">
        <v>23</v>
      </c>
      <c r="D42" s="23">
        <v>0.9</v>
      </c>
      <c r="E42" s="29">
        <v>999.7</v>
      </c>
      <c r="F42" s="35">
        <v>-1.8</v>
      </c>
      <c r="G42" s="33">
        <v>1.556</v>
      </c>
      <c r="H42" s="71">
        <v>36.5</v>
      </c>
      <c r="I42" s="33">
        <v>0.06</v>
      </c>
      <c r="J42" s="6" t="s">
        <v>13</v>
      </c>
      <c r="K42" s="44" t="s">
        <v>17</v>
      </c>
      <c r="L42" s="44" t="s">
        <v>18</v>
      </c>
      <c r="M42" s="44" t="s">
        <v>16</v>
      </c>
      <c r="N42" s="44" t="s">
        <v>26</v>
      </c>
      <c r="O42" s="44" t="s">
        <v>27</v>
      </c>
      <c r="P42" s="77" t="s">
        <v>31</v>
      </c>
      <c r="Q42" s="44" t="s">
        <v>19</v>
      </c>
      <c r="R42" s="44" t="s">
        <v>20</v>
      </c>
      <c r="S42" s="11" t="s">
        <v>25</v>
      </c>
    </row>
    <row r="43" spans="1:19" ht="15">
      <c r="A43" s="62">
        <v>4100</v>
      </c>
      <c r="B43" s="63">
        <v>582.6</v>
      </c>
      <c r="C43" s="63">
        <v>24.1</v>
      </c>
      <c r="D43" s="63">
        <v>0.9</v>
      </c>
      <c r="E43" s="53">
        <v>968.8</v>
      </c>
      <c r="F43" s="49">
        <v>-1.744</v>
      </c>
      <c r="G43" s="48">
        <f>(E43/E42)*G42</f>
        <v>1.5079051715514653</v>
      </c>
      <c r="H43" s="55">
        <v>35.799999999999997</v>
      </c>
      <c r="I43" s="49">
        <v>0.06</v>
      </c>
      <c r="J43" s="7" t="str">
        <f>IF(K43-'2 HE'!K44=0,"NO","YES")</f>
        <v>NO</v>
      </c>
      <c r="K43" s="45">
        <f>_xlfn.FLOOR.MATH('2 HE'!K18,100)</f>
        <v>0</v>
      </c>
      <c r="L43" s="46">
        <f t="shared" ref="L43:L52" si="6">K43+100</f>
        <v>100</v>
      </c>
      <c r="M43" s="45">
        <f>('2 HE'!K18-K43)/100</f>
        <v>0</v>
      </c>
      <c r="N43" s="45" t="e">
        <f>VLOOKUP(K43,'2 HE'!A:I,IF('2 HE'!M18="l/a",3,8),FALSE)</f>
        <v>#N/A</v>
      </c>
      <c r="O43" s="45">
        <f>VLOOKUP(L43,'2 HE'!A:I,IF('2 HE'!M18="L/a",3,8),FALSE)</f>
        <v>0.4</v>
      </c>
      <c r="P43" s="78" t="e">
        <f>IF(K43=4300,N43,N43+((O43-N43)*M43))</f>
        <v>#N/A</v>
      </c>
      <c r="Q43" s="45" t="e">
        <f>VLOOKUP(K43,'2 HE'!A:I,(IF('2 HE'!M18="L/A", 2,5)),FALSE)</f>
        <v>#N/A</v>
      </c>
      <c r="R43" s="45">
        <f>VLOOKUP(L43,'2 HE'!A:I,IF('2 HE'!M18="L/A",2,5),FALSE)</f>
        <v>9.8000000000000007</v>
      </c>
      <c r="S43" s="12" t="e">
        <f>IF(K43=4300,Q43,((R43-Q43)*M43)+Q43)</f>
        <v>#N/A</v>
      </c>
    </row>
    <row r="44" spans="1:19" s="64" customFormat="1" ht="15">
      <c r="A44" s="19">
        <v>4200</v>
      </c>
      <c r="B44" s="63">
        <v>619.1</v>
      </c>
      <c r="C44" s="63">
        <v>25.3</v>
      </c>
      <c r="D44" s="63">
        <v>0.8</v>
      </c>
      <c r="E44" s="53">
        <v>932.1</v>
      </c>
      <c r="F44" s="48">
        <f>(E44/E42)*F42</f>
        <v>-1.6782834850455135</v>
      </c>
      <c r="G44" s="48">
        <f>(E44/E42)*G42</f>
        <v>1.450782834850455</v>
      </c>
      <c r="H44" s="55">
        <v>34.799999999999997</v>
      </c>
      <c r="I44" s="49">
        <v>0.06</v>
      </c>
      <c r="J44" s="7" t="str">
        <f>IF(K44-'2 HE'!K45=0,"NO","YES")</f>
        <v>NO</v>
      </c>
      <c r="K44" s="45">
        <f>_xlfn.FLOOR.MATH('2 HE'!K19,100)</f>
        <v>0</v>
      </c>
      <c r="L44" s="46">
        <f t="shared" si="6"/>
        <v>100</v>
      </c>
      <c r="M44" s="45">
        <f>('2 HE'!K19-K44)/100</f>
        <v>0</v>
      </c>
      <c r="N44" s="45" t="e">
        <f>VLOOKUP(K44,'2 HE'!A:I,IF('2 HE'!M19="l/a",3,8),FALSE)</f>
        <v>#N/A</v>
      </c>
      <c r="O44" s="45">
        <f>VLOOKUP(L44,'2 HE'!A:I,IF('2 HE'!M19="L/a",3,8),FALSE)</f>
        <v>0.4</v>
      </c>
      <c r="P44" s="78" t="e">
        <f t="shared" ref="P44:P52" si="7">IF(K44=4300,N44,N44+((O44-N44)*M44))</f>
        <v>#N/A</v>
      </c>
      <c r="Q44" s="45" t="e">
        <f>VLOOKUP(K44,'2 HE'!A:I,(IF('2 HE'!M19="L/A", 2,5)),FALSE)</f>
        <v>#N/A</v>
      </c>
      <c r="R44" s="45">
        <f>VLOOKUP(L44,'2 HE'!A:I,IF('2 HE'!M19="L/A",2,5),FALSE)</f>
        <v>9.8000000000000007</v>
      </c>
      <c r="S44" s="12" t="e">
        <f>IF(K44=4300,Q44,((R44-Q44)*M44)+Q44)</f>
        <v>#N/A</v>
      </c>
    </row>
    <row r="45" spans="1:19" ht="15">
      <c r="A45" s="51">
        <v>4300</v>
      </c>
      <c r="B45" s="65">
        <v>667.2</v>
      </c>
      <c r="C45" s="65">
        <v>27</v>
      </c>
      <c r="D45" s="65">
        <v>0.8</v>
      </c>
      <c r="E45" s="54">
        <v>883.8</v>
      </c>
      <c r="F45" s="66">
        <f>(E45/E42)*F42</f>
        <v>-1.5913173952185655</v>
      </c>
      <c r="G45" s="66">
        <f>(E45/E42)*G42</f>
        <v>1.3756054816444934</v>
      </c>
      <c r="H45" s="56">
        <v>33.6</v>
      </c>
      <c r="I45" s="67">
        <v>0.06</v>
      </c>
      <c r="J45" s="7" t="str">
        <f>IF(K45-'2 HE'!K46=0,"NO","YES")</f>
        <v>NO</v>
      </c>
      <c r="K45" s="45">
        <f>_xlfn.FLOOR.MATH('2 HE'!K20,100)</f>
        <v>0</v>
      </c>
      <c r="L45" s="46">
        <f t="shared" si="6"/>
        <v>100</v>
      </c>
      <c r="M45" s="45">
        <f>('2 HE'!K20-K45)/100</f>
        <v>0</v>
      </c>
      <c r="N45" s="45" t="e">
        <f>VLOOKUP(K45,'2 HE'!A:I,IF('2 HE'!M20="l/a",3,8),FALSE)</f>
        <v>#N/A</v>
      </c>
      <c r="O45" s="45">
        <f>VLOOKUP(L45,'2 HE'!A:I,IF('2 HE'!M20="L/a",3,8),FALSE)</f>
        <v>0.4</v>
      </c>
      <c r="P45" s="78" t="e">
        <f t="shared" si="7"/>
        <v>#N/A</v>
      </c>
      <c r="Q45" s="45" t="e">
        <f>VLOOKUP(K45,'2 HE'!A:I,(IF('2 HE'!M20="L/A", 2,5)),FALSE)</f>
        <v>#N/A</v>
      </c>
      <c r="R45" s="45">
        <f>VLOOKUP(L45,'2 HE'!A:I,IF('2 HE'!M20="L/A",2,5),FALSE)</f>
        <v>9.8000000000000007</v>
      </c>
      <c r="S45" s="12" t="e">
        <f>IF(K45=4300,Q45,((R45-Q45)*M45)+Q45)</f>
        <v>#N/A</v>
      </c>
    </row>
    <row r="46" spans="1:19">
      <c r="J46" s="7" t="str">
        <f>IF(K46-'2 HE'!K47=0,"NO","YES")</f>
        <v>NO</v>
      </c>
      <c r="K46" s="45">
        <f>_xlfn.FLOOR.MATH('2 HE'!K21,100)</f>
        <v>0</v>
      </c>
      <c r="L46" s="46">
        <f t="shared" si="6"/>
        <v>100</v>
      </c>
      <c r="M46" s="45">
        <f>('2 HE'!K21-K46)/100</f>
        <v>0</v>
      </c>
      <c r="N46" s="45" t="e">
        <f>VLOOKUP(K46,'2 HE'!A:I,IF('2 HE'!M21="l/a",3,8),FALSE)</f>
        <v>#N/A</v>
      </c>
      <c r="O46" s="45">
        <f>VLOOKUP(L46,'2 HE'!A:I,IF('2 HE'!M21="L/a",3,8),FALSE)</f>
        <v>0.4</v>
      </c>
      <c r="P46" s="78" t="e">
        <f t="shared" si="7"/>
        <v>#N/A</v>
      </c>
      <c r="Q46" s="45" t="e">
        <f>VLOOKUP(K46,'2 HE'!A:I,(IF('2 HE'!M21="L/A", 2,5)),FALSE)</f>
        <v>#N/A</v>
      </c>
      <c r="R46" s="45">
        <f>VLOOKUP(L46,'2 HE'!A:I,IF('2 HE'!M21="L/A",2,5),FALSE)</f>
        <v>9.8000000000000007</v>
      </c>
      <c r="S46" s="12" t="e">
        <f>IF(K46=4300,Q46,((R46-Q46)*M46)+Q46)</f>
        <v>#N/A</v>
      </c>
    </row>
    <row r="47" spans="1:19">
      <c r="J47" s="7" t="str">
        <f>IF(K47-'2 HE'!K48=0,"NO","YES")</f>
        <v>NO</v>
      </c>
      <c r="K47" s="45">
        <f>_xlfn.FLOOR.MATH('2 HE'!K22,100)</f>
        <v>0</v>
      </c>
      <c r="L47" s="46">
        <f t="shared" si="6"/>
        <v>100</v>
      </c>
      <c r="M47" s="45">
        <f>('2 HE'!K22-K47)/100</f>
        <v>0</v>
      </c>
      <c r="N47" s="45" t="e">
        <f>VLOOKUP(K47,'2 HE'!A:I,IF('2 HE'!M22="l/a",3,8),FALSE)</f>
        <v>#N/A</v>
      </c>
      <c r="O47" s="45">
        <f>VLOOKUP(L47,'2 HE'!A:I,IF('2 HE'!M22="L/a",3,8),FALSE)</f>
        <v>0.4</v>
      </c>
      <c r="P47" s="78" t="e">
        <f t="shared" si="7"/>
        <v>#N/A</v>
      </c>
      <c r="Q47" s="45" t="e">
        <f>VLOOKUP(K47,'2 HE'!A:I,(IF('2 HE'!M22="L/A", 2,5)),FALSE)</f>
        <v>#N/A</v>
      </c>
      <c r="R47" s="45">
        <f>VLOOKUP(L47,'2 HE'!A:I,IF('2 HE'!M22="L/A",2,5),FALSE)</f>
        <v>9.8000000000000007</v>
      </c>
      <c r="S47" s="12" t="e">
        <f t="shared" ref="S47:S52" si="8">IF(K47=4300,Q47,((R47-Q47)*M47)+Q47)</f>
        <v>#N/A</v>
      </c>
    </row>
    <row r="48" spans="1:19">
      <c r="J48" s="7" t="str">
        <f>IF(K48-'2 HE'!K49=0,"NO","YES")</f>
        <v>NO</v>
      </c>
      <c r="K48" s="45">
        <f>_xlfn.FLOOR.MATH('2 HE'!K23,100)</f>
        <v>0</v>
      </c>
      <c r="L48" s="46">
        <f t="shared" si="6"/>
        <v>100</v>
      </c>
      <c r="M48" s="45">
        <f>('2 HE'!K23-K48)/100</f>
        <v>0</v>
      </c>
      <c r="N48" s="45" t="e">
        <f>VLOOKUP(K48,'2 HE'!A:I,IF('2 HE'!M23="l/a",3,8),FALSE)</f>
        <v>#N/A</v>
      </c>
      <c r="O48" s="45">
        <f>VLOOKUP(L48,'2 HE'!A:I,IF('2 HE'!M23="L/a",3,8),FALSE)</f>
        <v>0.4</v>
      </c>
      <c r="P48" s="78" t="e">
        <f t="shared" si="7"/>
        <v>#N/A</v>
      </c>
      <c r="Q48" s="45" t="e">
        <f>VLOOKUP(K48,'2 HE'!A:I,(IF('2 HE'!M23="L/A", 2,5)),FALSE)</f>
        <v>#N/A</v>
      </c>
      <c r="R48" s="45">
        <f>VLOOKUP(L48,'2 HE'!A:I,IF('2 HE'!M23="L/A",2,5),FALSE)</f>
        <v>9.8000000000000007</v>
      </c>
      <c r="S48" s="12" t="e">
        <f t="shared" si="8"/>
        <v>#N/A</v>
      </c>
    </row>
    <row r="49" spans="10:19">
      <c r="J49" s="7" t="str">
        <f>IF(K49-'2 HE'!K50=0,"NO","YES")</f>
        <v>NO</v>
      </c>
      <c r="K49" s="45">
        <f>_xlfn.FLOOR.MATH('2 HE'!K24,100)</f>
        <v>0</v>
      </c>
      <c r="L49" s="46">
        <f t="shared" si="6"/>
        <v>100</v>
      </c>
      <c r="M49" s="45">
        <f>('2 HE'!K24-K49)/100</f>
        <v>0</v>
      </c>
      <c r="N49" s="45" t="e">
        <f>VLOOKUP(K49,'2 HE'!A:I,IF('2 HE'!M24="l/a",3,8),FALSE)</f>
        <v>#N/A</v>
      </c>
      <c r="O49" s="45">
        <f>VLOOKUP(L49,'2 HE'!A:I,IF('2 HE'!M24="L/a",3,8),FALSE)</f>
        <v>0.4</v>
      </c>
      <c r="P49" s="78" t="e">
        <f t="shared" si="7"/>
        <v>#N/A</v>
      </c>
      <c r="Q49" s="45" t="e">
        <f>VLOOKUP(K49,'2 HE'!A:I,(IF('2 HE'!M24="L/A", 2,5)),FALSE)</f>
        <v>#N/A</v>
      </c>
      <c r="R49" s="45">
        <f>VLOOKUP(L49,'2 HE'!A:I,IF('2 HE'!M24="L/A",2,5),FALSE)</f>
        <v>9.8000000000000007</v>
      </c>
      <c r="S49" s="12" t="e">
        <f t="shared" si="8"/>
        <v>#N/A</v>
      </c>
    </row>
    <row r="50" spans="10:19">
      <c r="J50" s="7" t="str">
        <f>IF(K50-'2 HE'!K51=0,"NO","YES")</f>
        <v>NO</v>
      </c>
      <c r="K50" s="45">
        <f>_xlfn.FLOOR.MATH('2 HE'!K25,100)</f>
        <v>0</v>
      </c>
      <c r="L50" s="46">
        <f t="shared" si="6"/>
        <v>100</v>
      </c>
      <c r="M50" s="45">
        <f>('2 HE'!K25-K50)/100</f>
        <v>0</v>
      </c>
      <c r="N50" s="45" t="e">
        <f>VLOOKUP(K50,'2 HE'!A:I,IF('2 HE'!M25="l/a",3,8),FALSE)</f>
        <v>#N/A</v>
      </c>
      <c r="O50" s="45">
        <f>VLOOKUP(L50,'2 HE'!A:I,IF('2 HE'!M25="L/a",3,8),FALSE)</f>
        <v>0.4</v>
      </c>
      <c r="P50" s="78" t="e">
        <f t="shared" si="7"/>
        <v>#N/A</v>
      </c>
      <c r="Q50" s="45" t="e">
        <f>VLOOKUP(K50,'2 HE'!A:I,(IF('2 HE'!M25="L/A", 2,5)),FALSE)</f>
        <v>#N/A</v>
      </c>
      <c r="R50" s="45">
        <f>VLOOKUP(L50,'2 HE'!A:I,IF('2 HE'!M25="L/A",2,5),FALSE)</f>
        <v>9.8000000000000007</v>
      </c>
      <c r="S50" s="12" t="e">
        <f t="shared" si="8"/>
        <v>#N/A</v>
      </c>
    </row>
    <row r="51" spans="10:19">
      <c r="J51" s="7" t="str">
        <f>IF(K51-'2 HE'!K52=0,"NO","YES")</f>
        <v>NO</v>
      </c>
      <c r="K51" s="45">
        <f>_xlfn.FLOOR.MATH('2 HE'!K26,100)</f>
        <v>0</v>
      </c>
      <c r="L51" s="46">
        <f t="shared" si="6"/>
        <v>100</v>
      </c>
      <c r="M51" s="45">
        <f>('2 HE'!K26-K51)/100</f>
        <v>0</v>
      </c>
      <c r="N51" s="45" t="e">
        <f>VLOOKUP(K51,'2 HE'!A:I,IF('2 HE'!M26="l/a",3,8),FALSE)</f>
        <v>#N/A</v>
      </c>
      <c r="O51" s="45">
        <f>VLOOKUP(L51,'2 HE'!A:I,IF('2 HE'!M26="L/a",3,8),FALSE)</f>
        <v>0.4</v>
      </c>
      <c r="P51" s="78" t="e">
        <f t="shared" si="7"/>
        <v>#N/A</v>
      </c>
      <c r="Q51" s="45" t="e">
        <f>VLOOKUP(K51,'2 HE'!A:I,(IF('2 HE'!M26="L/A", 2,5)),FALSE)</f>
        <v>#N/A</v>
      </c>
      <c r="R51" s="45">
        <f>VLOOKUP(L51,'2 HE'!A:I,IF('2 HE'!M26="L/A",2,5),FALSE)</f>
        <v>9.8000000000000007</v>
      </c>
      <c r="S51" s="12" t="e">
        <f t="shared" si="8"/>
        <v>#N/A</v>
      </c>
    </row>
    <row r="52" spans="10:19">
      <c r="J52" s="8" t="str">
        <f>IF(K52-'2 IM'!J14=0,"NO","YES")</f>
        <v>NO</v>
      </c>
      <c r="K52" s="9">
        <f>_xlfn.FLOOR.MATH('2 HE'!K27,100)</f>
        <v>0</v>
      </c>
      <c r="L52" s="10">
        <f t="shared" si="6"/>
        <v>100</v>
      </c>
      <c r="M52" s="9">
        <f>('2 HE'!K27-K52)/100</f>
        <v>0</v>
      </c>
      <c r="N52" s="9" t="e">
        <f>VLOOKUP(K52,'2 HE'!A:I,IF('2 HE'!M27="l/a",3,8),FALSE)</f>
        <v>#N/A</v>
      </c>
      <c r="O52" s="9">
        <f>VLOOKUP(L52,'2 HE'!A:I,IF('2 HE'!M27="L/a",3,8),FALSE)</f>
        <v>0.4</v>
      </c>
      <c r="P52" s="78" t="e">
        <f t="shared" si="7"/>
        <v>#N/A</v>
      </c>
      <c r="Q52" s="9" t="e">
        <f>VLOOKUP(K52,'2 HE'!A:I,(IF('2 HE'!M27="L/A", 2,5)),FALSE)</f>
        <v>#N/A</v>
      </c>
      <c r="R52" s="9">
        <f>VLOOKUP(L52,'2 HE'!A:I,IF('2 HE'!M27="L/A",2,5),FALSE)</f>
        <v>9.8000000000000007</v>
      </c>
      <c r="S52" s="12" t="e">
        <f t="shared" si="8"/>
        <v>#N/A</v>
      </c>
    </row>
  </sheetData>
  <sheetProtection selectLockedCells="1" selectUnlockedCells="1"/>
  <mergeCells count="4">
    <mergeCell ref="A1:I1"/>
    <mergeCell ref="J16:M16"/>
    <mergeCell ref="J2:K2"/>
    <mergeCell ref="J41:S4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M18:M27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sqref="A1:I1"/>
    </sheetView>
  </sheetViews>
  <sheetFormatPr defaultRowHeight="14.25"/>
  <cols>
    <col min="1" max="1" width="9" style="13"/>
    <col min="2" max="2" width="14.75" style="13" bestFit="1" customWidth="1"/>
    <col min="3" max="3" width="9" style="13"/>
    <col min="4" max="4" width="17.875" style="13" bestFit="1" customWidth="1"/>
    <col min="5" max="5" width="15" style="13" bestFit="1" customWidth="1"/>
    <col min="6" max="6" width="13.25" style="13" bestFit="1" customWidth="1"/>
    <col min="7" max="7" width="13.75" style="13" bestFit="1" customWidth="1"/>
    <col min="8" max="8" width="9" style="13"/>
    <col min="9" max="9" width="17.875" style="13" bestFit="1" customWidth="1"/>
    <col min="11" max="11" width="10.875" bestFit="1" customWidth="1"/>
    <col min="12" max="12" width="11.25" bestFit="1" customWidth="1"/>
    <col min="13" max="13" width="10.5" bestFit="1" customWidth="1"/>
  </cols>
  <sheetData>
    <row r="1" spans="1:13" ht="26.25">
      <c r="A1" s="312" t="s">
        <v>35</v>
      </c>
      <c r="B1" s="312"/>
      <c r="C1" s="312"/>
      <c r="D1" s="312"/>
      <c r="E1" s="312"/>
      <c r="F1" s="312"/>
      <c r="G1" s="312"/>
      <c r="H1" s="312"/>
      <c r="I1" s="312"/>
    </row>
    <row r="2" spans="1:13" ht="15">
      <c r="A2" s="15" t="s">
        <v>0</v>
      </c>
      <c r="B2" s="15" t="s">
        <v>6</v>
      </c>
      <c r="C2" s="15" t="s">
        <v>1</v>
      </c>
      <c r="D2" s="15" t="s">
        <v>5</v>
      </c>
      <c r="E2" s="15" t="s">
        <v>7</v>
      </c>
      <c r="F2" s="15" t="s">
        <v>2</v>
      </c>
      <c r="G2" s="15" t="s">
        <v>3</v>
      </c>
      <c r="H2" s="15" t="s">
        <v>1</v>
      </c>
      <c r="I2" s="15" t="s">
        <v>5</v>
      </c>
      <c r="J2" s="307" t="s">
        <v>21</v>
      </c>
      <c r="K2" s="307"/>
    </row>
    <row r="3" spans="1:13" ht="15">
      <c r="A3" s="16">
        <v>100</v>
      </c>
      <c r="B3" s="21">
        <v>8</v>
      </c>
      <c r="C3" s="21">
        <v>0.4</v>
      </c>
      <c r="D3" s="21">
        <v>0</v>
      </c>
      <c r="E3" s="53">
        <v>0</v>
      </c>
      <c r="F3" s="27"/>
      <c r="G3" s="27"/>
      <c r="H3" s="70">
        <v>0</v>
      </c>
      <c r="I3" s="70"/>
      <c r="J3" s="121" t="s">
        <v>23</v>
      </c>
      <c r="K3" s="121" t="s">
        <v>24</v>
      </c>
    </row>
    <row r="4" spans="1:13" ht="15">
      <c r="A4" s="17">
        <v>200</v>
      </c>
      <c r="B4" s="22">
        <v>16.100000000000001</v>
      </c>
      <c r="C4" s="22">
        <v>0.8</v>
      </c>
      <c r="D4" s="22">
        <v>0</v>
      </c>
      <c r="E4" s="53">
        <v>0</v>
      </c>
      <c r="F4" s="28"/>
      <c r="G4" s="28"/>
      <c r="H4" s="53">
        <v>0</v>
      </c>
      <c r="I4" s="53"/>
      <c r="J4" s="7" t="str">
        <f>IF('3 HE'!K19&lt;100,"Yes",IF('3 HE'!K19&gt;5200,"Yes","No"))</f>
        <v>Yes</v>
      </c>
      <c r="K4" s="45" t="str">
        <f>IF('3 HE'!K19&lt;2640,"Yes",IF('3 HE'!K19&gt;5200,"Yes","No"))</f>
        <v>Yes</v>
      </c>
    </row>
    <row r="5" spans="1:13" ht="15">
      <c r="A5" s="17">
        <v>300</v>
      </c>
      <c r="B5" s="22">
        <v>24.2</v>
      </c>
      <c r="C5" s="22">
        <v>1.2</v>
      </c>
      <c r="D5" s="22">
        <v>0</v>
      </c>
      <c r="E5" s="53">
        <v>0</v>
      </c>
      <c r="F5" s="28"/>
      <c r="G5" s="28"/>
      <c r="H5" s="53">
        <v>0</v>
      </c>
      <c r="I5" s="53"/>
      <c r="J5" s="7" t="str">
        <f>IF('3 HE'!K20&lt;100,"Yes",IF('3 HE'!K20&gt;5200,"Yes","No"))</f>
        <v>Yes</v>
      </c>
      <c r="K5" s="45" t="str">
        <f>IF('3 HE'!K20&lt;2640,"Yes",IF('3 HE'!K20&gt;5200,"Yes","No"))</f>
        <v>Yes</v>
      </c>
    </row>
    <row r="6" spans="1:13" ht="15">
      <c r="A6" s="17">
        <v>400</v>
      </c>
      <c r="B6" s="22">
        <v>32.4</v>
      </c>
      <c r="C6" s="22">
        <v>1.6</v>
      </c>
      <c r="D6" s="22">
        <v>1.27</v>
      </c>
      <c r="E6" s="53">
        <v>0</v>
      </c>
      <c r="F6" s="28"/>
      <c r="G6" s="28"/>
      <c r="H6" s="53">
        <v>0</v>
      </c>
      <c r="I6" s="53"/>
      <c r="J6" s="7" t="str">
        <f>IF('3 HE'!K21&lt;100,"Yes",IF('3 HE'!K21&gt;5200,"Yes","No"))</f>
        <v>Yes</v>
      </c>
      <c r="K6" s="45" t="str">
        <f>IF('3 HE'!K21&lt;2640,"Yes",IF('3 HE'!K21&gt;5200,"Yes","No"))</f>
        <v>Yes</v>
      </c>
    </row>
    <row r="7" spans="1:13" ht="15">
      <c r="A7" s="18">
        <v>500</v>
      </c>
      <c r="B7" s="118">
        <v>40.6</v>
      </c>
      <c r="C7" s="23">
        <v>2</v>
      </c>
      <c r="D7" s="23">
        <v>1.01</v>
      </c>
      <c r="E7" s="29">
        <v>0</v>
      </c>
      <c r="F7" s="29"/>
      <c r="G7" s="29"/>
      <c r="H7" s="29">
        <v>0</v>
      </c>
      <c r="I7" s="29"/>
      <c r="J7" s="7" t="str">
        <f>IF('3 HE'!K22&lt;100,"Yes",IF('3 HE'!K22&gt;5200,"Yes","No"))</f>
        <v>Yes</v>
      </c>
      <c r="K7" s="45" t="str">
        <f>IF('3 HE'!K22&lt;2640,"Yes",IF('3 HE'!K22&gt;5200,"Yes","No"))</f>
        <v>Yes</v>
      </c>
    </row>
    <row r="8" spans="1:13" ht="15">
      <c r="A8" s="17">
        <v>600</v>
      </c>
      <c r="B8" s="119">
        <v>48.9</v>
      </c>
      <c r="C8" s="22">
        <v>2.4</v>
      </c>
      <c r="D8" s="22">
        <v>0.84</v>
      </c>
      <c r="E8" s="53">
        <v>0</v>
      </c>
      <c r="F8" s="28"/>
      <c r="G8" s="28"/>
      <c r="H8" s="53">
        <v>0</v>
      </c>
      <c r="I8" s="53"/>
      <c r="J8" s="7" t="str">
        <f>IF('3 HE'!K23&lt;100,"Yes",IF('3 HE'!K23&gt;5200,"Yes","No"))</f>
        <v>Yes</v>
      </c>
      <c r="K8" s="45" t="str">
        <f>IF('3 HE'!K23&lt;2640,"Yes",IF('3 HE'!K23&gt;5200,"Yes","No"))</f>
        <v>Yes</v>
      </c>
    </row>
    <row r="9" spans="1:13" ht="15">
      <c r="A9" s="17">
        <v>700</v>
      </c>
      <c r="B9" s="119">
        <v>57.3</v>
      </c>
      <c r="C9" s="22">
        <v>2.9</v>
      </c>
      <c r="D9" s="22">
        <v>0.72</v>
      </c>
      <c r="E9" s="53">
        <v>0</v>
      </c>
      <c r="F9" s="28"/>
      <c r="G9" s="28"/>
      <c r="H9" s="53">
        <v>0</v>
      </c>
      <c r="I9" s="53"/>
      <c r="J9" s="7" t="str">
        <f>IF('3 HE'!K24&lt;100,"Yes",IF('3 HE'!K24&gt;5200,"Yes","No"))</f>
        <v>Yes</v>
      </c>
      <c r="K9" s="45" t="str">
        <f>IF('3 HE'!K24&lt;2640,"Yes",IF('3 HE'!K24&gt;5200,"Yes","No"))</f>
        <v>Yes</v>
      </c>
    </row>
    <row r="10" spans="1:13" ht="15">
      <c r="A10" s="17">
        <v>800</v>
      </c>
      <c r="B10" s="119">
        <v>65.7</v>
      </c>
      <c r="C10" s="22">
        <v>3.3</v>
      </c>
      <c r="D10" s="22">
        <v>0.63</v>
      </c>
      <c r="E10" s="53">
        <v>0</v>
      </c>
      <c r="F10" s="28"/>
      <c r="G10" s="28"/>
      <c r="H10" s="53">
        <v>0</v>
      </c>
      <c r="I10" s="53"/>
      <c r="J10" s="7" t="str">
        <f>IF('3 HE'!K25&lt;100,"Yes",IF('3 HE'!K25&gt;5200,"Yes","No"))</f>
        <v>Yes</v>
      </c>
      <c r="K10" s="45" t="str">
        <f>IF('3 HE'!K25&lt;2640,"Yes",IF('3 HE'!K25&gt;5200,"Yes","No"))</f>
        <v>Yes</v>
      </c>
    </row>
    <row r="11" spans="1:13" ht="15">
      <c r="A11" s="17">
        <v>900</v>
      </c>
      <c r="B11" s="119">
        <v>74.3</v>
      </c>
      <c r="C11" s="22">
        <v>3.7</v>
      </c>
      <c r="D11" s="22">
        <v>0.56000000000000005</v>
      </c>
      <c r="E11" s="53">
        <v>0</v>
      </c>
      <c r="F11" s="28"/>
      <c r="G11" s="28"/>
      <c r="H11" s="53">
        <v>0</v>
      </c>
      <c r="I11" s="53"/>
      <c r="J11" s="7" t="str">
        <f>IF('3 HE'!K26&lt;100,"Yes",IF('3 HE'!K26&gt;5200,"Yes","No"))</f>
        <v>Yes</v>
      </c>
      <c r="K11" s="45" t="str">
        <f>IF('3 HE'!K26&lt;2640,"Yes",IF('3 HE'!K26&gt;5200,"Yes","No"))</f>
        <v>Yes</v>
      </c>
    </row>
    <row r="12" spans="1:13" ht="15">
      <c r="A12" s="18">
        <v>1000</v>
      </c>
      <c r="B12" s="120">
        <v>82.8</v>
      </c>
      <c r="C12" s="23">
        <v>4.0999999999999996</v>
      </c>
      <c r="D12" s="23">
        <v>0.5</v>
      </c>
      <c r="E12" s="29">
        <v>0</v>
      </c>
      <c r="F12" s="29"/>
      <c r="G12" s="29"/>
      <c r="H12" s="29">
        <v>0</v>
      </c>
      <c r="I12" s="29"/>
      <c r="J12" s="7" t="str">
        <f>IF('3 HE'!K27&lt;100,"Yes",IF('3 HE'!K27&gt;5200,"Yes","No"))</f>
        <v>Yes</v>
      </c>
      <c r="K12" s="45" t="str">
        <f>IF('3 HE'!K27&lt;2640,"Yes",IF('3 HE'!K27&gt;5200,"Yes","No"))</f>
        <v>Yes</v>
      </c>
    </row>
    <row r="13" spans="1:13" ht="15">
      <c r="A13" s="17">
        <v>1100</v>
      </c>
      <c r="B13" s="119">
        <v>91.5</v>
      </c>
      <c r="C13" s="22">
        <v>4.5</v>
      </c>
      <c r="D13" s="22">
        <v>0.45</v>
      </c>
      <c r="E13" s="53">
        <v>0</v>
      </c>
      <c r="F13" s="28"/>
      <c r="G13" s="28"/>
      <c r="H13" s="53">
        <v>0</v>
      </c>
      <c r="I13" s="53"/>
      <c r="J13" s="7" t="str">
        <f>IF('3 HE'!K28&lt;100,"Yes",IF('3 HE'!K28&gt;5200,"Yes","No"))</f>
        <v>Yes</v>
      </c>
      <c r="K13" s="45" t="str">
        <f>IF('3 HE'!K28&lt;2640,"Yes",IF('3 HE'!K28&gt;5200,"Yes","No"))</f>
        <v>Yes</v>
      </c>
    </row>
    <row r="14" spans="1:13" ht="15">
      <c r="A14" s="17">
        <v>1200</v>
      </c>
      <c r="B14" s="119">
        <v>100.3</v>
      </c>
      <c r="C14" s="22">
        <v>5</v>
      </c>
      <c r="D14" s="22">
        <v>0.42</v>
      </c>
      <c r="E14" s="53">
        <v>0</v>
      </c>
      <c r="F14" s="28"/>
      <c r="G14" s="28"/>
      <c r="H14" s="53">
        <v>0</v>
      </c>
      <c r="I14" s="53"/>
    </row>
    <row r="15" spans="1:13" ht="15.75" thickBot="1">
      <c r="A15" s="17">
        <v>1300</v>
      </c>
      <c r="B15" s="119">
        <v>109.1</v>
      </c>
      <c r="C15" s="22">
        <v>5.4</v>
      </c>
      <c r="D15" s="22">
        <v>0.38</v>
      </c>
      <c r="E15" s="53">
        <v>0</v>
      </c>
      <c r="F15" s="28"/>
      <c r="G15" s="28"/>
      <c r="H15" s="53">
        <v>0</v>
      </c>
      <c r="I15" s="53"/>
    </row>
    <row r="16" spans="1:13" ht="15">
      <c r="A16" s="17">
        <v>1400</v>
      </c>
      <c r="B16" s="119">
        <v>118.1</v>
      </c>
      <c r="C16" s="22">
        <v>5.8</v>
      </c>
      <c r="D16" s="22">
        <v>0.35</v>
      </c>
      <c r="E16" s="53">
        <v>0</v>
      </c>
      <c r="F16" s="28"/>
      <c r="G16" s="28"/>
      <c r="H16" s="53">
        <v>0</v>
      </c>
      <c r="I16" s="53"/>
      <c r="J16" s="308" t="s">
        <v>15</v>
      </c>
      <c r="K16" s="309"/>
      <c r="L16" s="309"/>
      <c r="M16" s="310"/>
    </row>
    <row r="17" spans="1:15" ht="15.75" thickBot="1">
      <c r="A17" s="18">
        <v>1500</v>
      </c>
      <c r="B17" s="120">
        <v>127.1</v>
      </c>
      <c r="C17" s="23">
        <v>6.3</v>
      </c>
      <c r="D17" s="23">
        <v>0.33</v>
      </c>
      <c r="E17" s="29">
        <v>0</v>
      </c>
      <c r="F17" s="29"/>
      <c r="G17" s="29"/>
      <c r="H17" s="29">
        <v>0</v>
      </c>
      <c r="I17" s="29"/>
      <c r="J17" s="311"/>
      <c r="K17" s="286"/>
      <c r="L17" s="286"/>
      <c r="M17" s="287"/>
    </row>
    <row r="18" spans="1:15" ht="15">
      <c r="A18" s="17">
        <v>1600</v>
      </c>
      <c r="B18" s="119">
        <v>136.19999999999999</v>
      </c>
      <c r="C18" s="22">
        <v>6.7</v>
      </c>
      <c r="D18" s="22">
        <v>0.31</v>
      </c>
      <c r="E18" s="53">
        <v>0</v>
      </c>
      <c r="F18" s="28"/>
      <c r="G18" s="28"/>
      <c r="H18" s="53">
        <v>0</v>
      </c>
      <c r="I18" s="53"/>
      <c r="J18" s="96" t="s">
        <v>12</v>
      </c>
      <c r="K18" s="94" t="s">
        <v>38</v>
      </c>
      <c r="L18" s="96" t="s">
        <v>39</v>
      </c>
      <c r="M18" s="95" t="s">
        <v>22</v>
      </c>
    </row>
    <row r="19" spans="1:15" ht="15">
      <c r="A19" s="17">
        <v>1700</v>
      </c>
      <c r="B19" s="22">
        <v>145.5</v>
      </c>
      <c r="C19" s="22">
        <v>7.2</v>
      </c>
      <c r="D19" s="22">
        <v>0.28999999999999998</v>
      </c>
      <c r="E19" s="53">
        <v>0</v>
      </c>
      <c r="F19" s="28"/>
      <c r="G19" s="28"/>
      <c r="H19" s="53">
        <v>0</v>
      </c>
      <c r="I19" s="53"/>
      <c r="J19" s="97">
        <v>1</v>
      </c>
      <c r="K19" s="110">
        <f>'1 HE'!K19</f>
        <v>0</v>
      </c>
      <c r="L19" s="108">
        <f>INPUT!C5</f>
        <v>0</v>
      </c>
      <c r="M19" s="111" t="str">
        <f>INPUT!D5</f>
        <v>L/A</v>
      </c>
    </row>
    <row r="20" spans="1:15" ht="15">
      <c r="A20" s="17">
        <v>1800</v>
      </c>
      <c r="B20" s="63">
        <v>154.80000000000001</v>
      </c>
      <c r="C20" s="22">
        <v>7.6</v>
      </c>
      <c r="D20" s="22">
        <v>0.27</v>
      </c>
      <c r="E20" s="53">
        <v>0</v>
      </c>
      <c r="F20" s="28"/>
      <c r="G20" s="28"/>
      <c r="H20" s="53">
        <v>0</v>
      </c>
      <c r="I20" s="53"/>
      <c r="J20" s="97">
        <v>2</v>
      </c>
      <c r="K20" s="110">
        <f>'1 HE'!K20</f>
        <v>0</v>
      </c>
      <c r="L20" s="108">
        <f>INPUT!C6</f>
        <v>0</v>
      </c>
      <c r="M20" s="112" t="str">
        <f t="shared" ref="M20:M28" si="0">M19</f>
        <v>L/A</v>
      </c>
    </row>
    <row r="21" spans="1:15" ht="15">
      <c r="A21" s="17">
        <v>1900</v>
      </c>
      <c r="B21" s="22">
        <v>164.3</v>
      </c>
      <c r="C21" s="22">
        <v>8.1</v>
      </c>
      <c r="D21" s="22">
        <v>0.26</v>
      </c>
      <c r="E21" s="53">
        <v>0</v>
      </c>
      <c r="F21" s="28"/>
      <c r="G21" s="28"/>
      <c r="H21" s="53">
        <v>0</v>
      </c>
      <c r="I21" s="53"/>
      <c r="J21" s="97">
        <v>3</v>
      </c>
      <c r="K21" s="110">
        <f>'1 HE'!K21</f>
        <v>0</v>
      </c>
      <c r="L21" s="108">
        <f>INPUT!C7</f>
        <v>0</v>
      </c>
      <c r="M21" s="112" t="str">
        <f t="shared" si="0"/>
        <v>L/A</v>
      </c>
    </row>
    <row r="22" spans="1:15" ht="15">
      <c r="A22" s="18">
        <v>2000</v>
      </c>
      <c r="B22" s="23">
        <v>173.9</v>
      </c>
      <c r="C22" s="23">
        <v>8.5</v>
      </c>
      <c r="D22" s="23">
        <v>0.23</v>
      </c>
      <c r="E22" s="29">
        <v>0</v>
      </c>
      <c r="F22" s="74"/>
      <c r="G22" s="74"/>
      <c r="H22" s="29">
        <v>0</v>
      </c>
      <c r="I22" s="29"/>
      <c r="J22" s="97">
        <v>4</v>
      </c>
      <c r="K22" s="110">
        <f>'1 HE'!K22</f>
        <v>0</v>
      </c>
      <c r="L22" s="108">
        <f>INPUT!C8</f>
        <v>0</v>
      </c>
      <c r="M22" s="112" t="str">
        <f t="shared" si="0"/>
        <v>L/A</v>
      </c>
    </row>
    <row r="23" spans="1:15" ht="15">
      <c r="A23" s="17">
        <v>2100</v>
      </c>
      <c r="B23" s="63">
        <v>183.6</v>
      </c>
      <c r="C23" s="63">
        <v>9</v>
      </c>
      <c r="D23" s="63">
        <v>0.23</v>
      </c>
      <c r="E23" s="53">
        <v>0</v>
      </c>
      <c r="F23" s="75"/>
      <c r="G23" s="53"/>
      <c r="H23" s="75">
        <v>0</v>
      </c>
      <c r="I23" s="53"/>
      <c r="J23" s="97">
        <v>5</v>
      </c>
      <c r="K23" s="110">
        <f>'1 HE'!K23</f>
        <v>0</v>
      </c>
      <c r="L23" s="108">
        <f>INPUT!C9</f>
        <v>0</v>
      </c>
      <c r="M23" s="112" t="str">
        <f t="shared" si="0"/>
        <v>L/A</v>
      </c>
    </row>
    <row r="24" spans="1:15" ht="15">
      <c r="A24" s="17">
        <v>2200</v>
      </c>
      <c r="B24" s="63">
        <v>193.4</v>
      </c>
      <c r="C24" s="63">
        <v>9.5</v>
      </c>
      <c r="D24" s="63">
        <v>0.22</v>
      </c>
      <c r="E24" s="53">
        <v>0</v>
      </c>
      <c r="F24" s="75"/>
      <c r="G24" s="53"/>
      <c r="H24" s="75">
        <v>0</v>
      </c>
      <c r="I24" s="53"/>
      <c r="J24" s="97">
        <v>6</v>
      </c>
      <c r="K24" s="110">
        <f>'1 HE'!K24</f>
        <v>0</v>
      </c>
      <c r="L24" s="108">
        <f>INPUT!C10</f>
        <v>0</v>
      </c>
      <c r="M24" s="112" t="str">
        <f t="shared" si="0"/>
        <v>L/A</v>
      </c>
    </row>
    <row r="25" spans="1:15" ht="15">
      <c r="A25" s="17">
        <v>2300</v>
      </c>
      <c r="B25" s="63">
        <v>203.4</v>
      </c>
      <c r="C25" s="63">
        <v>10</v>
      </c>
      <c r="D25" s="63">
        <v>0.21</v>
      </c>
      <c r="E25" s="53">
        <v>0</v>
      </c>
      <c r="F25" s="122"/>
      <c r="G25" s="122"/>
      <c r="H25" s="55">
        <v>0</v>
      </c>
      <c r="I25" s="53"/>
      <c r="J25" s="97">
        <v>7</v>
      </c>
      <c r="K25" s="110">
        <f>'1 HE'!K25</f>
        <v>0</v>
      </c>
      <c r="L25" s="108">
        <f>INPUT!C11</f>
        <v>0</v>
      </c>
      <c r="M25" s="112" t="str">
        <f t="shared" si="0"/>
        <v>L/A</v>
      </c>
    </row>
    <row r="26" spans="1:15" ht="15">
      <c r="A26" s="17">
        <v>2400</v>
      </c>
      <c r="B26" s="63">
        <v>213.6</v>
      </c>
      <c r="C26" s="63">
        <v>10.4</v>
      </c>
      <c r="D26" s="63">
        <v>0.2</v>
      </c>
      <c r="E26" s="53">
        <v>0</v>
      </c>
      <c r="F26" s="122"/>
      <c r="G26" s="122"/>
      <c r="H26" s="55">
        <v>0</v>
      </c>
      <c r="I26" s="53"/>
      <c r="J26" s="97">
        <v>8</v>
      </c>
      <c r="K26" s="110">
        <f>'1 HE'!K26</f>
        <v>0</v>
      </c>
      <c r="L26" s="108">
        <f>INPUT!C12</f>
        <v>0</v>
      </c>
      <c r="M26" s="112" t="str">
        <f t="shared" si="0"/>
        <v>L/A</v>
      </c>
    </row>
    <row r="27" spans="1:15" ht="15">
      <c r="A27" s="18">
        <v>2500</v>
      </c>
      <c r="B27" s="23">
        <v>223.9</v>
      </c>
      <c r="C27" s="23">
        <v>10.9</v>
      </c>
      <c r="D27" s="23">
        <v>0.19</v>
      </c>
      <c r="E27" s="29">
        <v>0</v>
      </c>
      <c r="F27" s="123"/>
      <c r="G27" s="29"/>
      <c r="H27" s="71">
        <v>0</v>
      </c>
      <c r="I27" s="29"/>
      <c r="J27" s="97">
        <v>9</v>
      </c>
      <c r="K27" s="110">
        <f>'1 HE'!K27</f>
        <v>0</v>
      </c>
      <c r="L27" s="108">
        <f>INPUT!C13</f>
        <v>0</v>
      </c>
      <c r="M27" s="112" t="str">
        <f t="shared" si="0"/>
        <v>L/A</v>
      </c>
    </row>
    <row r="28" spans="1:15" ht="15.75" thickBot="1">
      <c r="A28" s="17">
        <v>2600</v>
      </c>
      <c r="B28" s="28">
        <v>234.4</v>
      </c>
      <c r="C28" s="13">
        <v>11.4</v>
      </c>
      <c r="D28" s="63">
        <v>0.18</v>
      </c>
      <c r="E28" s="53">
        <v>0</v>
      </c>
      <c r="F28" s="122"/>
      <c r="G28" s="53"/>
      <c r="H28" s="55">
        <v>47.1</v>
      </c>
      <c r="I28" s="53"/>
      <c r="J28" s="98">
        <v>10</v>
      </c>
      <c r="K28" s="110">
        <f>'1 HE'!K28</f>
        <v>0</v>
      </c>
      <c r="L28" s="108">
        <f>INPUT!C14</f>
        <v>0</v>
      </c>
      <c r="M28" s="113" t="str">
        <f t="shared" si="0"/>
        <v>L/A</v>
      </c>
    </row>
    <row r="29" spans="1:15" ht="15">
      <c r="A29" s="17">
        <v>2640</v>
      </c>
      <c r="B29" s="63">
        <v>238.6</v>
      </c>
      <c r="C29" s="63">
        <v>11.6</v>
      </c>
      <c r="D29" s="63">
        <v>0.18</v>
      </c>
      <c r="E29" s="53">
        <v>1305</v>
      </c>
      <c r="F29" s="122">
        <v>1.10666666666667</v>
      </c>
      <c r="G29" s="122">
        <v>-1.115</v>
      </c>
      <c r="H29" s="55">
        <v>46.9</v>
      </c>
      <c r="I29" s="53">
        <v>0.05</v>
      </c>
    </row>
    <row r="30" spans="1:15" ht="15">
      <c r="A30" s="17">
        <v>2700</v>
      </c>
      <c r="B30" s="63">
        <v>245</v>
      </c>
      <c r="C30" s="63">
        <v>11.9</v>
      </c>
      <c r="D30" s="63">
        <v>0.18</v>
      </c>
      <c r="E30" s="53">
        <v>1299.9000000000001</v>
      </c>
      <c r="F30" s="122">
        <v>1.099</v>
      </c>
      <c r="G30" s="122">
        <v>-1.107</v>
      </c>
      <c r="H30" s="55">
        <v>46.8</v>
      </c>
      <c r="I30" s="63">
        <v>0.05</v>
      </c>
    </row>
    <row r="31" spans="1:15" ht="15">
      <c r="A31" s="17">
        <v>2800</v>
      </c>
      <c r="B31" s="63">
        <v>255.9</v>
      </c>
      <c r="C31" s="63">
        <v>12.4</v>
      </c>
      <c r="D31" s="63">
        <v>0.17</v>
      </c>
      <c r="E31" s="53">
        <v>1291</v>
      </c>
      <c r="F31" s="122">
        <v>1.0920000000000001</v>
      </c>
      <c r="G31" s="122">
        <v>-1.099</v>
      </c>
      <c r="H31" s="55">
        <v>46.5</v>
      </c>
      <c r="I31" s="63">
        <v>0.05</v>
      </c>
      <c r="J31" s="42" t="s">
        <v>72</v>
      </c>
      <c r="K31" s="42" t="s">
        <v>73</v>
      </c>
      <c r="L31" s="42" t="s">
        <v>74</v>
      </c>
      <c r="M31" s="42" t="s">
        <v>75</v>
      </c>
      <c r="N31" s="138" t="s">
        <v>76</v>
      </c>
      <c r="O31" s="138" t="s">
        <v>77</v>
      </c>
    </row>
    <row r="32" spans="1:15" ht="15">
      <c r="A32" s="17">
        <v>2900</v>
      </c>
      <c r="B32" s="63">
        <v>267</v>
      </c>
      <c r="C32" s="63">
        <v>12.9</v>
      </c>
      <c r="D32" s="63">
        <v>0.16</v>
      </c>
      <c r="E32" s="53">
        <v>1281.5999999999999</v>
      </c>
      <c r="F32" s="122">
        <v>1.0840000000000001</v>
      </c>
      <c r="G32" s="122">
        <v>-1.091</v>
      </c>
      <c r="H32" s="55">
        <v>46.3</v>
      </c>
      <c r="I32" s="63">
        <v>0.05</v>
      </c>
      <c r="J32" t="e">
        <f>VLOOKUP(J45,$A$3:$I$55,IF(M19="L/A",4,9),FALSE)</f>
        <v>#N/A</v>
      </c>
      <c r="K32">
        <f>VLOOKUP(K45,$A$3:$I$55,IF(M19="L/A",4,9),FALSE)</f>
        <v>0</v>
      </c>
      <c r="L32" t="e">
        <f t="shared" ref="L32:L41" si="1">IF(M19="H/A",IF(K4="YES",0,IF(K19&lt;2700,IF(L19&gt;=0,$G$29,$F$29),(((K32-J32)*L45)+J32))),(((K32-J32)*L45)+J32))</f>
        <v>#N/A</v>
      </c>
      <c r="M32" s="139" t="e">
        <f t="shared" ref="M32:M41" si="2">VLOOKUP(J45,$A$3:$I$55,IF(L20&gt;=0,7,6),FALSE)</f>
        <v>#N/A</v>
      </c>
      <c r="N32" s="140">
        <f t="shared" ref="N32:N41" si="3">VLOOKUP(K45,$A$3:$I$55,IF(L20&gt;=0,7,6),FALSE)</f>
        <v>0</v>
      </c>
      <c r="O32" s="139" t="e">
        <f t="shared" ref="O32:O41" si="4">((N32-M32)*L45)+M32</f>
        <v>#N/A</v>
      </c>
    </row>
    <row r="33" spans="1:18" ht="15">
      <c r="A33" s="18">
        <v>3000</v>
      </c>
      <c r="B33" s="23">
        <v>278.2</v>
      </c>
      <c r="C33" s="23">
        <v>13.4</v>
      </c>
      <c r="D33" s="29">
        <v>0.16</v>
      </c>
      <c r="E33" s="29">
        <v>1271.0999999999999</v>
      </c>
      <c r="F33" s="29">
        <v>1.075</v>
      </c>
      <c r="G33" s="123">
        <v>-1.0820000000000001</v>
      </c>
      <c r="H33" s="71">
        <v>46.1</v>
      </c>
      <c r="I33" s="23">
        <v>0.05</v>
      </c>
      <c r="J33" t="e">
        <f t="shared" ref="J33:J41" si="5">VLOOKUP(J46,$A$3:$I$55,IF(M20="L/A",4,9),FALSE)</f>
        <v>#N/A</v>
      </c>
      <c r="K33">
        <f t="shared" ref="K33:K41" si="6">VLOOKUP(K46,$A$3:$I$55,IF(M20="L/A",4,9),FALSE)</f>
        <v>0</v>
      </c>
      <c r="L33" t="e">
        <f t="shared" si="1"/>
        <v>#N/A</v>
      </c>
      <c r="M33" s="139" t="e">
        <f t="shared" si="2"/>
        <v>#N/A</v>
      </c>
      <c r="N33" s="140">
        <f t="shared" si="3"/>
        <v>0</v>
      </c>
      <c r="O33" s="139" t="e">
        <f t="shared" si="4"/>
        <v>#N/A</v>
      </c>
    </row>
    <row r="34" spans="1:18" ht="15">
      <c r="A34" s="19">
        <v>3100</v>
      </c>
      <c r="B34" s="63">
        <v>289.7</v>
      </c>
      <c r="C34" s="63">
        <v>14</v>
      </c>
      <c r="D34" s="53">
        <v>0.15</v>
      </c>
      <c r="E34" s="53">
        <v>1261.3</v>
      </c>
      <c r="F34" s="53">
        <v>1.0862000000000001</v>
      </c>
      <c r="G34" s="122">
        <v>-1.0948</v>
      </c>
      <c r="H34" s="55">
        <v>45.9</v>
      </c>
      <c r="I34" s="63">
        <v>0.05</v>
      </c>
      <c r="J34" t="e">
        <f t="shared" si="5"/>
        <v>#N/A</v>
      </c>
      <c r="K34">
        <f t="shared" si="6"/>
        <v>0</v>
      </c>
      <c r="L34" t="e">
        <f t="shared" si="1"/>
        <v>#N/A</v>
      </c>
      <c r="M34" s="139" t="e">
        <f t="shared" si="2"/>
        <v>#N/A</v>
      </c>
      <c r="N34" s="140">
        <f t="shared" si="3"/>
        <v>0</v>
      </c>
      <c r="O34" s="139" t="e">
        <f t="shared" si="4"/>
        <v>#N/A</v>
      </c>
    </row>
    <row r="35" spans="1:18" ht="15">
      <c r="A35" s="19">
        <v>3200</v>
      </c>
      <c r="B35" s="63">
        <v>301.5</v>
      </c>
      <c r="C35" s="63">
        <v>14.5</v>
      </c>
      <c r="D35" s="63">
        <v>0.14000000000000001</v>
      </c>
      <c r="E35" s="53">
        <v>1250.5</v>
      </c>
      <c r="F35" s="53">
        <v>1.0973999999999999</v>
      </c>
      <c r="G35" s="122">
        <v>-1.1075999999999999</v>
      </c>
      <c r="H35" s="55">
        <v>45.6</v>
      </c>
      <c r="I35" s="63">
        <v>0.05</v>
      </c>
      <c r="J35" t="e">
        <f t="shared" si="5"/>
        <v>#N/A</v>
      </c>
      <c r="K35">
        <f t="shared" si="6"/>
        <v>0</v>
      </c>
      <c r="L35" t="e">
        <f t="shared" si="1"/>
        <v>#N/A</v>
      </c>
      <c r="M35" s="139" t="e">
        <f t="shared" si="2"/>
        <v>#N/A</v>
      </c>
      <c r="N35" s="140">
        <f t="shared" si="3"/>
        <v>0</v>
      </c>
      <c r="O35" s="139" t="e">
        <f t="shared" si="4"/>
        <v>#N/A</v>
      </c>
    </row>
    <row r="36" spans="1:18" ht="15">
      <c r="A36" s="19">
        <v>3300</v>
      </c>
      <c r="B36" s="63">
        <v>313.5</v>
      </c>
      <c r="C36" s="63">
        <v>15.1</v>
      </c>
      <c r="D36" s="63">
        <v>0.14000000000000001</v>
      </c>
      <c r="E36" s="53">
        <v>1239.3</v>
      </c>
      <c r="F36" s="53">
        <v>1.1086</v>
      </c>
      <c r="G36" s="122">
        <v>-1.1204000000000001</v>
      </c>
      <c r="H36" s="55">
        <v>45.4</v>
      </c>
      <c r="I36" s="63">
        <v>0.05</v>
      </c>
      <c r="J36" t="e">
        <f t="shared" si="5"/>
        <v>#N/A</v>
      </c>
      <c r="K36">
        <f t="shared" si="6"/>
        <v>0</v>
      </c>
      <c r="L36" t="e">
        <f t="shared" si="1"/>
        <v>#N/A</v>
      </c>
      <c r="M36" s="139" t="e">
        <f t="shared" si="2"/>
        <v>#N/A</v>
      </c>
      <c r="N36" s="140">
        <f t="shared" si="3"/>
        <v>0</v>
      </c>
      <c r="O36" s="139" t="e">
        <f t="shared" si="4"/>
        <v>#N/A</v>
      </c>
    </row>
    <row r="37" spans="1:18" ht="15">
      <c r="A37" s="19">
        <v>3400</v>
      </c>
      <c r="B37" s="63">
        <v>325.89999999999998</v>
      </c>
      <c r="C37" s="63">
        <v>15.6</v>
      </c>
      <c r="D37" s="63">
        <v>0.13</v>
      </c>
      <c r="E37" s="53">
        <v>1227.5999999999999</v>
      </c>
      <c r="F37" s="53">
        <v>1.1197999999999999</v>
      </c>
      <c r="G37" s="122">
        <v>-1.1332</v>
      </c>
      <c r="H37" s="55">
        <v>45.2</v>
      </c>
      <c r="I37" s="63">
        <v>0.05</v>
      </c>
      <c r="J37" t="e">
        <f t="shared" si="5"/>
        <v>#N/A</v>
      </c>
      <c r="K37">
        <f t="shared" si="6"/>
        <v>0</v>
      </c>
      <c r="L37" t="e">
        <f t="shared" si="1"/>
        <v>#N/A</v>
      </c>
      <c r="M37" s="139" t="e">
        <f t="shared" si="2"/>
        <v>#N/A</v>
      </c>
      <c r="N37" s="140">
        <f t="shared" si="3"/>
        <v>0</v>
      </c>
      <c r="O37" s="139" t="e">
        <f t="shared" si="4"/>
        <v>#N/A</v>
      </c>
    </row>
    <row r="38" spans="1:18" ht="15">
      <c r="A38" s="18">
        <v>3500</v>
      </c>
      <c r="B38" s="23">
        <v>338.5</v>
      </c>
      <c r="C38" s="23">
        <v>16.2</v>
      </c>
      <c r="D38" s="23">
        <v>0.13</v>
      </c>
      <c r="E38" s="29">
        <v>1215.5</v>
      </c>
      <c r="F38" s="29">
        <v>1.131</v>
      </c>
      <c r="G38" s="123">
        <v>-1.1459999999999999</v>
      </c>
      <c r="H38" s="29">
        <v>45</v>
      </c>
      <c r="I38" s="29">
        <v>0.05</v>
      </c>
      <c r="J38" t="e">
        <f t="shared" si="5"/>
        <v>#N/A</v>
      </c>
      <c r="K38">
        <f t="shared" si="6"/>
        <v>0</v>
      </c>
      <c r="L38" t="e">
        <f t="shared" si="1"/>
        <v>#N/A</v>
      </c>
      <c r="M38" s="139" t="e">
        <f t="shared" si="2"/>
        <v>#N/A</v>
      </c>
      <c r="N38" s="140">
        <f t="shared" si="3"/>
        <v>0</v>
      </c>
      <c r="O38" s="139" t="e">
        <f t="shared" si="4"/>
        <v>#N/A</v>
      </c>
    </row>
    <row r="39" spans="1:18" ht="15">
      <c r="A39" s="19">
        <v>3600</v>
      </c>
      <c r="B39" s="53">
        <v>351.5</v>
      </c>
      <c r="C39" s="53">
        <v>16.8</v>
      </c>
      <c r="D39" s="63">
        <v>0.13</v>
      </c>
      <c r="E39" s="53">
        <v>1202.9000000000001</v>
      </c>
      <c r="F39" s="53">
        <v>1.1482000000000001</v>
      </c>
      <c r="G39" s="122">
        <v>-1.1668000000000001</v>
      </c>
      <c r="H39" s="53">
        <v>44.7</v>
      </c>
      <c r="I39" s="53">
        <v>0.05</v>
      </c>
      <c r="J39" t="e">
        <f t="shared" si="5"/>
        <v>#N/A</v>
      </c>
      <c r="K39">
        <f t="shared" si="6"/>
        <v>0</v>
      </c>
      <c r="L39" t="e">
        <f t="shared" si="1"/>
        <v>#N/A</v>
      </c>
      <c r="M39" s="139" t="e">
        <f t="shared" si="2"/>
        <v>#N/A</v>
      </c>
      <c r="N39" s="140">
        <f t="shared" si="3"/>
        <v>0</v>
      </c>
      <c r="O39" s="139" t="e">
        <f t="shared" si="4"/>
        <v>#N/A</v>
      </c>
    </row>
    <row r="40" spans="1:18" ht="15">
      <c r="A40" s="19">
        <v>3700</v>
      </c>
      <c r="B40" s="63">
        <v>364.9</v>
      </c>
      <c r="C40" s="63">
        <v>17.399999999999999</v>
      </c>
      <c r="D40" s="63">
        <v>0.12</v>
      </c>
      <c r="E40" s="53">
        <v>1189.9000000000001</v>
      </c>
      <c r="F40" s="53">
        <v>1.1654</v>
      </c>
      <c r="G40" s="122">
        <v>-1.1876</v>
      </c>
      <c r="H40" s="55">
        <v>44.5</v>
      </c>
      <c r="I40" s="63">
        <v>0.05</v>
      </c>
      <c r="J40" t="e">
        <f t="shared" si="5"/>
        <v>#N/A</v>
      </c>
      <c r="K40">
        <f t="shared" si="6"/>
        <v>0</v>
      </c>
      <c r="L40" t="e">
        <f t="shared" si="1"/>
        <v>#N/A</v>
      </c>
      <c r="M40" s="139" t="e">
        <f t="shared" si="2"/>
        <v>#N/A</v>
      </c>
      <c r="N40" s="140">
        <f t="shared" si="3"/>
        <v>0</v>
      </c>
      <c r="O40" s="139" t="e">
        <f t="shared" si="4"/>
        <v>#N/A</v>
      </c>
    </row>
    <row r="41" spans="1:18" ht="15">
      <c r="A41" s="19">
        <v>3800</v>
      </c>
      <c r="B41" s="63">
        <v>378.7</v>
      </c>
      <c r="C41" s="63">
        <v>18</v>
      </c>
      <c r="D41" s="63">
        <v>0.12</v>
      </c>
      <c r="E41" s="53">
        <v>1176.5</v>
      </c>
      <c r="F41" s="53">
        <v>1.1826000000000001</v>
      </c>
      <c r="G41" s="122">
        <v>-1.2083999999999999</v>
      </c>
      <c r="H41" s="55">
        <v>44.2</v>
      </c>
      <c r="I41" s="63">
        <v>0.05</v>
      </c>
      <c r="J41" t="e">
        <f t="shared" si="5"/>
        <v>#N/A</v>
      </c>
      <c r="K41">
        <f t="shared" si="6"/>
        <v>0</v>
      </c>
      <c r="L41" t="e">
        <f t="shared" si="1"/>
        <v>#N/A</v>
      </c>
      <c r="M41" s="139" t="e">
        <f t="shared" si="2"/>
        <v>#N/A</v>
      </c>
      <c r="N41" s="140">
        <f t="shared" si="3"/>
        <v>0</v>
      </c>
      <c r="O41" s="139" t="e">
        <f t="shared" si="4"/>
        <v>#N/A</v>
      </c>
    </row>
    <row r="42" spans="1:18" ht="15">
      <c r="A42" s="19">
        <v>3900</v>
      </c>
      <c r="B42" s="63">
        <v>392.9</v>
      </c>
      <c r="C42" s="63">
        <v>18.600000000000001</v>
      </c>
      <c r="D42" s="63">
        <v>0.11</v>
      </c>
      <c r="E42" s="53">
        <v>1162.5</v>
      </c>
      <c r="F42" s="53">
        <v>1.1998</v>
      </c>
      <c r="G42" s="122">
        <v>-1.2292000000000001</v>
      </c>
      <c r="H42" s="55">
        <v>43.9</v>
      </c>
      <c r="I42" s="63">
        <v>0.05</v>
      </c>
    </row>
    <row r="43" spans="1:18" ht="15">
      <c r="A43" s="18">
        <v>4000</v>
      </c>
      <c r="B43" s="23">
        <v>407.7</v>
      </c>
      <c r="C43" s="23">
        <v>19.2</v>
      </c>
      <c r="D43" s="23">
        <v>0.11</v>
      </c>
      <c r="E43" s="29">
        <v>1147.9000000000001</v>
      </c>
      <c r="F43" s="29">
        <v>1.2170000000000001</v>
      </c>
      <c r="G43" s="123">
        <v>-1.25</v>
      </c>
      <c r="H43" s="71">
        <v>43.6</v>
      </c>
      <c r="I43" s="23">
        <v>0.05</v>
      </c>
      <c r="J43" s="314" t="s">
        <v>42</v>
      </c>
      <c r="K43" s="315"/>
      <c r="L43" s="315"/>
      <c r="M43" s="315"/>
      <c r="N43" s="315"/>
      <c r="O43" s="315"/>
      <c r="P43" s="315"/>
      <c r="Q43" s="315"/>
      <c r="R43" s="315"/>
    </row>
    <row r="44" spans="1:18" ht="15">
      <c r="A44" s="62">
        <v>4100</v>
      </c>
      <c r="B44" s="63">
        <v>423</v>
      </c>
      <c r="C44" s="63">
        <v>19.899999999999999</v>
      </c>
      <c r="D44" s="63">
        <v>0.11</v>
      </c>
      <c r="E44" s="53">
        <v>1132.7</v>
      </c>
      <c r="F44" s="53">
        <v>1.2484</v>
      </c>
      <c r="G44" s="53">
        <v>-1.294</v>
      </c>
      <c r="H44" s="55">
        <v>43.3</v>
      </c>
      <c r="I44" s="63">
        <v>0.05</v>
      </c>
      <c r="J44" s="44" t="s">
        <v>17</v>
      </c>
      <c r="K44" s="44" t="s">
        <v>18</v>
      </c>
      <c r="L44" s="44" t="s">
        <v>16</v>
      </c>
      <c r="M44" s="44" t="s">
        <v>26</v>
      </c>
      <c r="N44" s="44" t="s">
        <v>27</v>
      </c>
      <c r="O44" s="77" t="s">
        <v>31</v>
      </c>
      <c r="P44" s="44" t="s">
        <v>19</v>
      </c>
      <c r="Q44" s="44" t="s">
        <v>20</v>
      </c>
      <c r="R44" s="11" t="s">
        <v>25</v>
      </c>
    </row>
    <row r="45" spans="1:18" ht="15">
      <c r="A45" s="19">
        <v>4200</v>
      </c>
      <c r="B45" s="63">
        <v>439</v>
      </c>
      <c r="C45" s="63">
        <v>20.6</v>
      </c>
      <c r="D45" s="63">
        <v>0.1</v>
      </c>
      <c r="E45" s="53">
        <v>1116.9000000000001</v>
      </c>
      <c r="F45" s="53">
        <v>1.2798</v>
      </c>
      <c r="G45" s="122">
        <v>-1.3380000000000001</v>
      </c>
      <c r="H45" s="55">
        <v>43</v>
      </c>
      <c r="I45" s="63">
        <v>0.05</v>
      </c>
      <c r="J45" s="45">
        <f>_xlfn.FLOOR.MATH('3 HE'!K19,100)</f>
        <v>0</v>
      </c>
      <c r="K45" s="46">
        <f t="shared" ref="K45:K54" si="7">J45+100</f>
        <v>100</v>
      </c>
      <c r="L45" s="45">
        <f t="shared" ref="L45:L54" si="8">(K19-J45)/100</f>
        <v>0</v>
      </c>
      <c r="M45" s="45" t="e">
        <f>VLOOKUP(J45,'3 HE'!A:I,IF('3 HE'!M19="l/a",3,8),FALSE)</f>
        <v>#N/A</v>
      </c>
      <c r="N45" s="45">
        <f>VLOOKUP(K45,'3 HE'!A:I,IF('3 HE'!M19="L/a",3,8),FALSE)</f>
        <v>0.4</v>
      </c>
      <c r="O45" s="78" t="e">
        <f t="shared" ref="O45:O54" si="9">M45+((N45-M45)*L45)</f>
        <v>#N/A</v>
      </c>
      <c r="P45" s="45" t="e">
        <f>IF('3 HE'!M19="H/A",IF('3 HE'!K19=2640,'3 HE'!E29,VLOOKUP(J45,$A$3:$I$55,(IF('3 HE'!M19="L/A",2,5)),FALSE)),VLOOKUP(J45,$A$3:$I$55,(IF('3 HE'!M19="L/A",2,5))))</f>
        <v>#N/A</v>
      </c>
      <c r="Q45" s="45">
        <f>VLOOKUP(K45,$A$3:$I$55,IF('3 HE'!M19="L/A",2,5),FALSE)</f>
        <v>8</v>
      </c>
      <c r="R45" s="12" t="e">
        <f>((Q45-P45)*L45)+P45</f>
        <v>#N/A</v>
      </c>
    </row>
    <row r="46" spans="1:18" ht="15">
      <c r="A46" s="19">
        <v>4300</v>
      </c>
      <c r="B46" s="63">
        <v>455.8</v>
      </c>
      <c r="C46" s="63">
        <v>21.3</v>
      </c>
      <c r="D46" s="63">
        <v>0.1</v>
      </c>
      <c r="E46" s="53">
        <v>1100.2</v>
      </c>
      <c r="F46" s="53">
        <v>1.3111999999999999</v>
      </c>
      <c r="G46" s="53">
        <v>-1.3819999999999999</v>
      </c>
      <c r="H46" s="55">
        <v>42.6</v>
      </c>
      <c r="I46" s="63">
        <v>0.05</v>
      </c>
      <c r="J46" s="45">
        <f>_xlfn.FLOOR.MATH('3 HE'!K20,100)</f>
        <v>0</v>
      </c>
      <c r="K46" s="46">
        <f t="shared" si="7"/>
        <v>100</v>
      </c>
      <c r="L46" s="45">
        <f t="shared" si="8"/>
        <v>0</v>
      </c>
      <c r="M46" s="45" t="e">
        <f>VLOOKUP(J46,'3 HE'!A:I,IF('3 HE'!M20="l/a",3,8),FALSE)</f>
        <v>#N/A</v>
      </c>
      <c r="N46" s="45">
        <f>VLOOKUP(K46,'3 HE'!A:I,IF('3 HE'!M20="L/a",3,8),FALSE)</f>
        <v>0.4</v>
      </c>
      <c r="O46" s="78" t="e">
        <f t="shared" si="9"/>
        <v>#N/A</v>
      </c>
      <c r="P46" s="45" t="e">
        <f>IF('3 HE'!M20="H/A",IF('3 HE'!K20=2640,'3 HE'!E30,VLOOKUP(J46,$A$3:$I$55,(IF('3 HE'!M20="L/A",2,5)),FALSE)),VLOOKUP(J46,$A$3:$I$55,(IF('3 HE'!M20="L/A",2,5))))</f>
        <v>#N/A</v>
      </c>
      <c r="Q46" s="45">
        <f>VLOOKUP(K46,$A$3:$I$55,IF('3 HE'!M20="L/A",2,5),FALSE)</f>
        <v>8</v>
      </c>
      <c r="R46" s="12" t="e">
        <f t="shared" ref="R46:R54" si="10">((Q46-P46)*L46)+P46</f>
        <v>#N/A</v>
      </c>
    </row>
    <row r="47" spans="1:18" ht="15">
      <c r="A47" s="19">
        <v>4400</v>
      </c>
      <c r="B47" s="63">
        <v>473.4</v>
      </c>
      <c r="C47" s="63">
        <v>22</v>
      </c>
      <c r="D47" s="63">
        <v>0.1</v>
      </c>
      <c r="E47" s="53">
        <v>1082.7</v>
      </c>
      <c r="F47" s="53">
        <v>1.3426</v>
      </c>
      <c r="G47" s="122">
        <v>-1.4259999999999999</v>
      </c>
      <c r="H47" s="55">
        <v>42.2</v>
      </c>
      <c r="I47" s="63">
        <v>0.05</v>
      </c>
      <c r="J47" s="45">
        <f>_xlfn.FLOOR.MATH('3 HE'!K21,100)</f>
        <v>0</v>
      </c>
      <c r="K47" s="46">
        <f t="shared" si="7"/>
        <v>100</v>
      </c>
      <c r="L47" s="45">
        <f t="shared" si="8"/>
        <v>0</v>
      </c>
      <c r="M47" s="45" t="e">
        <f>VLOOKUP(J47,'3 HE'!A:I,IF('3 HE'!M21="l/a",3,8),FALSE)</f>
        <v>#N/A</v>
      </c>
      <c r="N47" s="45">
        <f>VLOOKUP(K47,'3 HE'!A:I,IF('3 HE'!M21="L/a",3,8),FALSE)</f>
        <v>0.4</v>
      </c>
      <c r="O47" s="78" t="e">
        <f t="shared" si="9"/>
        <v>#N/A</v>
      </c>
      <c r="P47" s="45" t="e">
        <f>IF('3 HE'!M21="H/A",IF('3 HE'!K21=2640,'3 HE'!E31,VLOOKUP(J47,$A$3:$I$55,(IF('3 HE'!M21="L/A",2,5)),FALSE)),VLOOKUP(J47,$A$3:$I$55,(IF('3 HE'!M21="L/A",2,5))))</f>
        <v>#N/A</v>
      </c>
      <c r="Q47" s="45">
        <f>VLOOKUP(K47,$A$3:$I$55,IF('3 HE'!M21="L/A",2,5),FALSE)</f>
        <v>8</v>
      </c>
      <c r="R47" s="12" t="e">
        <f t="shared" si="10"/>
        <v>#N/A</v>
      </c>
    </row>
    <row r="48" spans="1:18" ht="15">
      <c r="A48" s="18">
        <v>4500</v>
      </c>
      <c r="B48" s="23">
        <v>492.1</v>
      </c>
      <c r="C48" s="23">
        <v>22.8</v>
      </c>
      <c r="D48" s="23">
        <v>0.9</v>
      </c>
      <c r="E48" s="29">
        <v>1064</v>
      </c>
      <c r="F48" s="29">
        <v>1.3740000000000001</v>
      </c>
      <c r="G48" s="124">
        <v>-1.47</v>
      </c>
      <c r="H48" s="71">
        <v>41.7</v>
      </c>
      <c r="I48" s="23">
        <v>0.05</v>
      </c>
      <c r="J48" s="45">
        <f>_xlfn.FLOOR.MATH('3 HE'!K22,100)</f>
        <v>0</v>
      </c>
      <c r="K48" s="46">
        <f t="shared" si="7"/>
        <v>100</v>
      </c>
      <c r="L48" s="45">
        <f t="shared" si="8"/>
        <v>0</v>
      </c>
      <c r="M48" s="45" t="e">
        <f>VLOOKUP(J48,'3 HE'!A:I,IF('3 HE'!M22="l/a",3,8),FALSE)</f>
        <v>#N/A</v>
      </c>
      <c r="N48" s="45">
        <f>VLOOKUP(K48,'3 HE'!A:I,IF('3 HE'!M22="L/a",3,8),FALSE)</f>
        <v>0.4</v>
      </c>
      <c r="O48" s="78" t="e">
        <f t="shared" si="9"/>
        <v>#N/A</v>
      </c>
      <c r="P48" s="45" t="e">
        <f>IF('3 HE'!M22="H/A",IF('3 HE'!K22=2640,'3 HE'!E32,VLOOKUP(J48,$A$3:$I$55,(IF('3 HE'!M22="L/A",2,5)),FALSE)),VLOOKUP(J48,$A$3:$I$55,(IF('3 HE'!M22="L/A",2,5))))</f>
        <v>#N/A</v>
      </c>
      <c r="Q48" s="45">
        <f>VLOOKUP(K48,$A$3:$I$55,IF('3 HE'!M22="L/A",2,5),FALSE)</f>
        <v>8</v>
      </c>
      <c r="R48" s="12" t="e">
        <f t="shared" si="10"/>
        <v>#N/A</v>
      </c>
    </row>
    <row r="49" spans="1:18" ht="15">
      <c r="A49" s="19">
        <v>4600</v>
      </c>
      <c r="B49" s="63">
        <v>512.1</v>
      </c>
      <c r="C49" s="63">
        <v>23.6</v>
      </c>
      <c r="D49" s="63">
        <v>0.9</v>
      </c>
      <c r="E49" s="53">
        <v>1044.2</v>
      </c>
      <c r="F49" s="53">
        <v>1.4623999999999999</v>
      </c>
      <c r="G49" s="125">
        <v>-1.7265999999999999</v>
      </c>
      <c r="H49" s="55">
        <v>41.3</v>
      </c>
      <c r="I49" s="63">
        <v>0.05</v>
      </c>
      <c r="J49" s="45">
        <f>_xlfn.FLOOR.MATH('3 HE'!K23,100)</f>
        <v>0</v>
      </c>
      <c r="K49" s="46">
        <f t="shared" si="7"/>
        <v>100</v>
      </c>
      <c r="L49" s="45">
        <f t="shared" si="8"/>
        <v>0</v>
      </c>
      <c r="M49" s="45" t="e">
        <f>VLOOKUP(J49,'3 HE'!A:I,IF('3 HE'!M23="l/a",3,8),FALSE)</f>
        <v>#N/A</v>
      </c>
      <c r="N49" s="45">
        <f>VLOOKUP(K49,'3 HE'!A:I,IF('3 HE'!M23="L/a",3,8),FALSE)</f>
        <v>0.4</v>
      </c>
      <c r="O49" s="78" t="e">
        <f t="shared" si="9"/>
        <v>#N/A</v>
      </c>
      <c r="P49" s="45" t="e">
        <f>IF('3 HE'!M23="H/A",IF('3 HE'!K23=2640,'3 HE'!E33,VLOOKUP(J49,$A$3:$I$55,(IF('3 HE'!M23="L/A",2,5)),FALSE)),VLOOKUP(J49,$A$3:$I$55,(IF('3 HE'!M23="L/A",2,5))))</f>
        <v>#N/A</v>
      </c>
      <c r="Q49" s="45">
        <f>VLOOKUP(K49,$A$3:$I$55,IF('3 HE'!M23="L/A",2,5),FALSE)</f>
        <v>8</v>
      </c>
      <c r="R49" s="12" t="e">
        <f t="shared" si="10"/>
        <v>#N/A</v>
      </c>
    </row>
    <row r="50" spans="1:18" ht="15">
      <c r="A50" s="19">
        <v>4700</v>
      </c>
      <c r="B50" s="63">
        <v>533.6</v>
      </c>
      <c r="C50" s="63">
        <v>24.5</v>
      </c>
      <c r="D50" s="63">
        <v>0.9</v>
      </c>
      <c r="E50" s="53">
        <v>1022.7</v>
      </c>
      <c r="F50" s="53">
        <v>1.5508</v>
      </c>
      <c r="G50" s="125">
        <v>-1.9832000000000001</v>
      </c>
      <c r="H50" s="55">
        <v>40.700000000000003</v>
      </c>
      <c r="I50" s="63">
        <v>0.05</v>
      </c>
      <c r="J50" s="45">
        <f>_xlfn.FLOOR.MATH('3 HE'!K24,100)</f>
        <v>0</v>
      </c>
      <c r="K50" s="46">
        <f t="shared" si="7"/>
        <v>100</v>
      </c>
      <c r="L50" s="45">
        <f t="shared" si="8"/>
        <v>0</v>
      </c>
      <c r="M50" s="45" t="e">
        <f>VLOOKUP(J50,'3 HE'!A:I,IF('3 HE'!M24="l/a",3,8),FALSE)</f>
        <v>#N/A</v>
      </c>
      <c r="N50" s="45">
        <f>VLOOKUP(K50,'3 HE'!A:I,IF('3 HE'!M24="L/a",3,8),FALSE)</f>
        <v>0.4</v>
      </c>
      <c r="O50" s="78" t="e">
        <f t="shared" si="9"/>
        <v>#N/A</v>
      </c>
      <c r="P50" s="45" t="e">
        <f>IF('3 HE'!M24="H/A",IF('3 HE'!K24=2640,'3 HE'!E34,VLOOKUP(J50,$A$3:$I$55,(IF('3 HE'!M24="L/A",2,5)),FALSE)),VLOOKUP(J50,$A$3:$I$55,(IF('3 HE'!M24="L/A",2,5))))</f>
        <v>#N/A</v>
      </c>
      <c r="Q50" s="45">
        <f>VLOOKUP(K50,$A$3:$I$55,IF('3 HE'!M24="L/A",2,5),FALSE)</f>
        <v>8</v>
      </c>
      <c r="R50" s="12" t="e">
        <f t="shared" si="10"/>
        <v>#N/A</v>
      </c>
    </row>
    <row r="51" spans="1:18" ht="15">
      <c r="A51" s="19">
        <v>4800</v>
      </c>
      <c r="B51" s="63">
        <v>557.20000000000005</v>
      </c>
      <c r="C51" s="63">
        <v>25.4</v>
      </c>
      <c r="D51" s="63">
        <v>0.8</v>
      </c>
      <c r="E51" s="53">
        <v>999.2</v>
      </c>
      <c r="F51" s="53">
        <v>1.6392</v>
      </c>
      <c r="G51" s="125">
        <v>-2.2397999999999998</v>
      </c>
      <c r="H51" s="55">
        <v>40.1</v>
      </c>
      <c r="I51" s="63">
        <v>0.05</v>
      </c>
      <c r="J51" s="45">
        <f>_xlfn.FLOOR.MATH('3 HE'!K25,100)</f>
        <v>0</v>
      </c>
      <c r="K51" s="46">
        <f t="shared" si="7"/>
        <v>100</v>
      </c>
      <c r="L51" s="45">
        <f t="shared" si="8"/>
        <v>0</v>
      </c>
      <c r="M51" s="45" t="e">
        <f>VLOOKUP(J51,'3 HE'!A:I,IF('3 HE'!M25="l/a",3,8),FALSE)</f>
        <v>#N/A</v>
      </c>
      <c r="N51" s="45">
        <f>VLOOKUP(K51,'3 HE'!A:I,IF('3 HE'!M25="L/a",3,8),FALSE)</f>
        <v>0.4</v>
      </c>
      <c r="O51" s="78" t="e">
        <f t="shared" si="9"/>
        <v>#N/A</v>
      </c>
      <c r="P51" s="45" t="e">
        <f>IF('3 HE'!M25="H/A",IF('3 HE'!K25=2640,'3 HE'!E35,VLOOKUP(J51,$A$3:$I$55,(IF('3 HE'!M25="L/A",2,5)),FALSE)),VLOOKUP(J51,$A$3:$I$55,(IF('3 HE'!M25="L/A",2,5))))</f>
        <v>#N/A</v>
      </c>
      <c r="Q51" s="45">
        <f>VLOOKUP(K51,$A$3:$I$55,IF('3 HE'!M25="L/A",2,5),FALSE)</f>
        <v>8</v>
      </c>
      <c r="R51" s="12" t="e">
        <f t="shared" si="10"/>
        <v>#N/A</v>
      </c>
    </row>
    <row r="52" spans="1:18" ht="15">
      <c r="A52" s="19">
        <v>4900</v>
      </c>
      <c r="B52" s="63">
        <v>583.5</v>
      </c>
      <c r="C52" s="63">
        <v>16.5</v>
      </c>
      <c r="D52" s="63">
        <v>0.8</v>
      </c>
      <c r="E52" s="53">
        <v>972.9</v>
      </c>
      <c r="F52" s="53">
        <v>1.7276</v>
      </c>
      <c r="G52" s="125">
        <v>-2.4964</v>
      </c>
      <c r="H52" s="55">
        <v>39.4</v>
      </c>
      <c r="I52" s="63">
        <v>0.06</v>
      </c>
      <c r="J52" s="45">
        <f>_xlfn.FLOOR.MATH('3 HE'!K26,100)</f>
        <v>0</v>
      </c>
      <c r="K52" s="46">
        <f t="shared" si="7"/>
        <v>100</v>
      </c>
      <c r="L52" s="45">
        <f t="shared" si="8"/>
        <v>0</v>
      </c>
      <c r="M52" s="45" t="e">
        <f>VLOOKUP(J52,'3 HE'!A:I,IF('3 HE'!M26="l/a",3,8),FALSE)</f>
        <v>#N/A</v>
      </c>
      <c r="N52" s="45">
        <f>VLOOKUP(K52,'3 HE'!A:I,IF('3 HE'!M26="L/a",3,8),FALSE)</f>
        <v>0.4</v>
      </c>
      <c r="O52" s="78" t="e">
        <f t="shared" si="9"/>
        <v>#N/A</v>
      </c>
      <c r="P52" s="45" t="e">
        <f>IF('3 HE'!M26="H/A",IF('3 HE'!K26=2640,'3 HE'!E36,VLOOKUP(J52,$A$3:$I$55,(IF('3 HE'!M26="L/A",2,5)),FALSE)),VLOOKUP(J52,$A$3:$I$55,(IF('3 HE'!M26="L/A",2,5))))</f>
        <v>#N/A</v>
      </c>
      <c r="Q52" s="45">
        <f>VLOOKUP(K52,$A$3:$I$55,IF('3 HE'!M26="L/A",2,5),FALSE)</f>
        <v>8</v>
      </c>
      <c r="R52" s="12" t="e">
        <f t="shared" si="10"/>
        <v>#N/A</v>
      </c>
    </row>
    <row r="53" spans="1:18" ht="15">
      <c r="A53" s="18">
        <v>5000</v>
      </c>
      <c r="B53" s="23">
        <v>613.9</v>
      </c>
      <c r="C53" s="23">
        <v>27.6</v>
      </c>
      <c r="D53" s="23">
        <v>0.8</v>
      </c>
      <c r="E53" s="29">
        <v>942.5</v>
      </c>
      <c r="F53" s="29">
        <v>1.8160000000000001</v>
      </c>
      <c r="G53" s="124">
        <v>-2.7530000000000001</v>
      </c>
      <c r="H53" s="71">
        <v>38.6</v>
      </c>
      <c r="I53" s="23">
        <v>0.06</v>
      </c>
      <c r="J53" s="45">
        <f>_xlfn.FLOOR.MATH('3 HE'!K27,100)</f>
        <v>0</v>
      </c>
      <c r="K53" s="46">
        <f t="shared" si="7"/>
        <v>100</v>
      </c>
      <c r="L53" s="45">
        <f t="shared" si="8"/>
        <v>0</v>
      </c>
      <c r="M53" s="45" t="e">
        <f>VLOOKUP(J53,'3 HE'!A:I,IF('3 HE'!M27="l/a",3,8),FALSE)</f>
        <v>#N/A</v>
      </c>
      <c r="N53" s="45">
        <f>VLOOKUP(K53,'3 HE'!A:I,IF('3 HE'!M27="L/a",3,8),FALSE)</f>
        <v>0.4</v>
      </c>
      <c r="O53" s="78" t="e">
        <f t="shared" si="9"/>
        <v>#N/A</v>
      </c>
      <c r="P53" s="45" t="e">
        <f>IF('3 HE'!M27="H/A",IF('3 HE'!K27=2640,'3 HE'!E37,VLOOKUP(J53,$A$3:$I$55,(IF('3 HE'!M27="L/A",2,5)),FALSE)),VLOOKUP(J53,$A$3:$I$55,(IF('3 HE'!M27="L/A",2,5))))</f>
        <v>#N/A</v>
      </c>
      <c r="Q53" s="45">
        <f>VLOOKUP(K53,$A$3:$I$55,IF('3 HE'!M27="L/A",2,5),FALSE)</f>
        <v>8</v>
      </c>
      <c r="R53" s="12" t="e">
        <f t="shared" si="10"/>
        <v>#N/A</v>
      </c>
    </row>
    <row r="54" spans="1:18" ht="15">
      <c r="A54" s="19">
        <v>5100</v>
      </c>
      <c r="B54" s="63">
        <v>651.4</v>
      </c>
      <c r="C54" s="63">
        <v>29.1</v>
      </c>
      <c r="D54" s="63">
        <v>0.7</v>
      </c>
      <c r="E54" s="53">
        <v>905.1</v>
      </c>
      <c r="F54" s="122">
        <v>1.891</v>
      </c>
      <c r="G54" s="122">
        <f>(E53/E54)*G53</f>
        <v>-2.8667578168158214</v>
      </c>
      <c r="H54" s="55">
        <v>37.5</v>
      </c>
      <c r="I54" s="53">
        <v>0.06</v>
      </c>
      <c r="J54" s="45">
        <f>_xlfn.FLOOR.MATH('3 HE'!K28,100)</f>
        <v>0</v>
      </c>
      <c r="K54" s="10">
        <f t="shared" si="7"/>
        <v>100</v>
      </c>
      <c r="L54" s="45">
        <f t="shared" si="8"/>
        <v>0</v>
      </c>
      <c r="M54" s="45" t="e">
        <f>VLOOKUP(J54,'3 HE'!A:I,IF('3 HE'!M28="l/a",3,8),FALSE)</f>
        <v>#N/A</v>
      </c>
      <c r="N54" s="45">
        <f>VLOOKUP(K54,'3 HE'!A:I,IF('3 HE'!M28="L/a",3,8),FALSE)</f>
        <v>0.4</v>
      </c>
      <c r="O54" s="79" t="e">
        <f t="shared" si="9"/>
        <v>#N/A</v>
      </c>
      <c r="P54" s="45" t="e">
        <f>IF('3 HE'!M28="H/A",IF('3 HE'!K28=2640,'3 HE'!E38,VLOOKUP(J54,$A$3:$I$55,(IF('3 HE'!M28="L/A",2,5)),FALSE)),VLOOKUP(J54,$A$3:$I$55,(IF('3 HE'!M28="L/A",2,5))))</f>
        <v>#N/A</v>
      </c>
      <c r="Q54" s="45">
        <f>VLOOKUP(K54,$A$3:$I$55,IF('3 HE'!M28="L/A",2,5),FALSE)</f>
        <v>8</v>
      </c>
      <c r="R54" s="47" t="e">
        <f t="shared" si="10"/>
        <v>#N/A</v>
      </c>
    </row>
    <row r="55" spans="1:18" ht="15">
      <c r="A55" s="51">
        <v>5200</v>
      </c>
      <c r="B55" s="65">
        <v>705.9</v>
      </c>
      <c r="C55" s="65">
        <v>31</v>
      </c>
      <c r="D55" s="65">
        <v>0.7</v>
      </c>
      <c r="E55" s="54">
        <v>850.6</v>
      </c>
      <c r="F55" s="65">
        <v>2.0099999999999998</v>
      </c>
      <c r="G55" s="126">
        <f>(E53/E55)*G53</f>
        <v>-3.0504379261697627</v>
      </c>
      <c r="H55" s="56">
        <v>35.9</v>
      </c>
      <c r="I55" s="54">
        <v>0.06</v>
      </c>
    </row>
  </sheetData>
  <sheetProtection selectLockedCells="1" selectUnlockedCells="1"/>
  <mergeCells count="4">
    <mergeCell ref="A1:I1"/>
    <mergeCell ref="J2:K2"/>
    <mergeCell ref="J16:M17"/>
    <mergeCell ref="J43:R43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M19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sqref="A1:I1"/>
    </sheetView>
  </sheetViews>
  <sheetFormatPr defaultRowHeight="14.25"/>
  <cols>
    <col min="2" max="2" width="14.75" bestFit="1" customWidth="1"/>
    <col min="4" max="4" width="17.875" bestFit="1" customWidth="1"/>
    <col min="5" max="5" width="15" bestFit="1" customWidth="1"/>
    <col min="6" max="6" width="13.25" bestFit="1" customWidth="1"/>
    <col min="7" max="7" width="13.75" bestFit="1" customWidth="1"/>
    <col min="8" max="8" width="9" style="148"/>
    <col min="9" max="9" width="17.875" style="140" bestFit="1" customWidth="1"/>
    <col min="12" max="12" width="11.25" bestFit="1" customWidth="1"/>
    <col min="13" max="13" width="10.625" bestFit="1" customWidth="1"/>
  </cols>
  <sheetData>
    <row r="1" spans="1:13" ht="26.25">
      <c r="A1" s="312" t="s">
        <v>45</v>
      </c>
      <c r="B1" s="312"/>
      <c r="C1" s="312"/>
      <c r="D1" s="312"/>
      <c r="E1" s="312"/>
      <c r="F1" s="312"/>
      <c r="G1" s="312"/>
      <c r="H1" s="312"/>
      <c r="I1" s="312"/>
    </row>
    <row r="2" spans="1:13" ht="15">
      <c r="A2" s="15" t="s">
        <v>0</v>
      </c>
      <c r="B2" s="15" t="s">
        <v>6</v>
      </c>
      <c r="C2" s="15" t="s">
        <v>1</v>
      </c>
      <c r="D2" s="15" t="s">
        <v>5</v>
      </c>
      <c r="E2" s="15" t="s">
        <v>7</v>
      </c>
      <c r="F2" s="15" t="s">
        <v>2</v>
      </c>
      <c r="G2" s="15" t="s">
        <v>3</v>
      </c>
      <c r="H2" s="145" t="s">
        <v>1</v>
      </c>
      <c r="I2" s="150" t="s">
        <v>5</v>
      </c>
      <c r="J2" s="307" t="s">
        <v>21</v>
      </c>
      <c r="K2" s="307"/>
    </row>
    <row r="3" spans="1:13" ht="15">
      <c r="A3" s="16">
        <v>100</v>
      </c>
      <c r="B3" s="21">
        <v>6.3</v>
      </c>
      <c r="C3" s="21">
        <v>0.4</v>
      </c>
      <c r="D3" s="21">
        <v>1.1399999999999999</v>
      </c>
      <c r="E3" s="53">
        <v>0</v>
      </c>
      <c r="F3" s="53">
        <v>0</v>
      </c>
      <c r="G3" s="53">
        <v>0</v>
      </c>
      <c r="H3" s="55">
        <v>0</v>
      </c>
      <c r="I3" s="63">
        <v>0</v>
      </c>
      <c r="J3" s="141" t="s">
        <v>23</v>
      </c>
      <c r="K3" s="141" t="s">
        <v>24</v>
      </c>
    </row>
    <row r="4" spans="1:13" ht="15">
      <c r="A4" s="17">
        <v>200</v>
      </c>
      <c r="B4" s="22">
        <v>12.6</v>
      </c>
      <c r="C4" s="22">
        <v>0.7</v>
      </c>
      <c r="D4" s="22">
        <v>1.1399999999999999</v>
      </c>
      <c r="E4" s="53">
        <v>0</v>
      </c>
      <c r="F4" s="53">
        <v>0</v>
      </c>
      <c r="G4" s="53">
        <v>0</v>
      </c>
      <c r="H4" s="55">
        <v>0</v>
      </c>
      <c r="I4" s="63">
        <v>0</v>
      </c>
      <c r="J4" s="7" t="str">
        <f>IF(K19&lt;100,"Yes",IF(K19&gt;6400,"Yes","No"))</f>
        <v>Yes</v>
      </c>
      <c r="K4" s="45" t="str">
        <f>IF(K19&lt;3100,"Yes",IF(K19&gt;6400,"Yes","No"))</f>
        <v>Yes</v>
      </c>
    </row>
    <row r="5" spans="1:13" ht="15">
      <c r="A5" s="17">
        <v>300</v>
      </c>
      <c r="B5" s="22">
        <v>19</v>
      </c>
      <c r="C5" s="22">
        <v>1.1000000000000001</v>
      </c>
      <c r="D5" s="22">
        <v>1.1399999999999999</v>
      </c>
      <c r="E5" s="53">
        <v>0</v>
      </c>
      <c r="F5" s="53">
        <v>0</v>
      </c>
      <c r="G5" s="53">
        <v>0</v>
      </c>
      <c r="H5" s="55">
        <v>0</v>
      </c>
      <c r="I5" s="63">
        <v>0</v>
      </c>
      <c r="J5" s="7" t="str">
        <f t="shared" ref="J5:J13" si="0">IF(K20&lt;100,"Yes",IF(K20&gt;6400,"Yes","No"))</f>
        <v>Yes</v>
      </c>
      <c r="K5" s="45" t="str">
        <f t="shared" ref="K5:K13" si="1">IF(K20&lt;3100,"Yes",IF(K20&gt;6400,"Yes","No"))</f>
        <v>Yes</v>
      </c>
    </row>
    <row r="6" spans="1:13" ht="15">
      <c r="A6" s="17">
        <v>400</v>
      </c>
      <c r="B6" s="22">
        <v>25.4</v>
      </c>
      <c r="C6" s="22">
        <v>1.4</v>
      </c>
      <c r="D6" s="22">
        <v>1.1399999999999999</v>
      </c>
      <c r="E6" s="53">
        <v>0</v>
      </c>
      <c r="F6" s="53">
        <v>0</v>
      </c>
      <c r="G6" s="53">
        <v>0</v>
      </c>
      <c r="H6" s="55">
        <v>0</v>
      </c>
      <c r="I6" s="63">
        <v>0</v>
      </c>
      <c r="J6" s="7" t="str">
        <f t="shared" si="0"/>
        <v>Yes</v>
      </c>
      <c r="K6" s="45" t="str">
        <f t="shared" si="1"/>
        <v>Yes</v>
      </c>
    </row>
    <row r="7" spans="1:13" ht="15">
      <c r="A7" s="18">
        <v>500</v>
      </c>
      <c r="B7" s="118">
        <v>31.8</v>
      </c>
      <c r="C7" s="23">
        <v>1.8</v>
      </c>
      <c r="D7" s="23">
        <v>1.1399999999999999</v>
      </c>
      <c r="E7" s="29">
        <v>0</v>
      </c>
      <c r="F7" s="29">
        <v>0</v>
      </c>
      <c r="G7" s="29">
        <v>0</v>
      </c>
      <c r="H7" s="71">
        <v>0</v>
      </c>
      <c r="I7" s="23">
        <v>0</v>
      </c>
      <c r="J7" s="7" t="str">
        <f t="shared" si="0"/>
        <v>Yes</v>
      </c>
      <c r="K7" s="45" t="str">
        <f t="shared" si="1"/>
        <v>Yes</v>
      </c>
    </row>
    <row r="8" spans="1:13" ht="15">
      <c r="A8" s="17">
        <v>600</v>
      </c>
      <c r="B8" s="119">
        <v>38.299999999999997</v>
      </c>
      <c r="C8" s="22">
        <v>2.2000000000000002</v>
      </c>
      <c r="D8" s="22">
        <v>0.95</v>
      </c>
      <c r="E8" s="53">
        <v>0</v>
      </c>
      <c r="F8" s="53">
        <v>0</v>
      </c>
      <c r="G8" s="53">
        <v>0</v>
      </c>
      <c r="H8" s="55">
        <v>0</v>
      </c>
      <c r="I8" s="63">
        <v>0</v>
      </c>
      <c r="J8" s="7" t="str">
        <f t="shared" si="0"/>
        <v>Yes</v>
      </c>
      <c r="K8" s="45" t="str">
        <f t="shared" si="1"/>
        <v>Yes</v>
      </c>
    </row>
    <row r="9" spans="1:13" ht="15">
      <c r="A9" s="17">
        <v>700</v>
      </c>
      <c r="B9" s="119">
        <v>44.8</v>
      </c>
      <c r="C9" s="22">
        <v>2.5</v>
      </c>
      <c r="D9" s="22">
        <v>0.81</v>
      </c>
      <c r="E9" s="53">
        <v>0</v>
      </c>
      <c r="F9" s="53">
        <v>0</v>
      </c>
      <c r="G9" s="53">
        <v>0</v>
      </c>
      <c r="H9" s="55">
        <v>0</v>
      </c>
      <c r="I9" s="63">
        <v>0</v>
      </c>
      <c r="J9" s="7" t="str">
        <f t="shared" si="0"/>
        <v>Yes</v>
      </c>
      <c r="K9" s="45" t="str">
        <f t="shared" si="1"/>
        <v>Yes</v>
      </c>
    </row>
    <row r="10" spans="1:13" ht="15">
      <c r="A10" s="17">
        <v>800</v>
      </c>
      <c r="B10" s="119">
        <v>51.4</v>
      </c>
      <c r="C10" s="22">
        <v>2.9</v>
      </c>
      <c r="D10" s="22">
        <v>0.71</v>
      </c>
      <c r="E10" s="53">
        <v>0</v>
      </c>
      <c r="F10" s="53">
        <v>0</v>
      </c>
      <c r="G10" s="53">
        <v>0</v>
      </c>
      <c r="H10" s="55">
        <v>0</v>
      </c>
      <c r="I10" s="63">
        <v>0</v>
      </c>
      <c r="J10" s="7" t="str">
        <f t="shared" si="0"/>
        <v>Yes</v>
      </c>
      <c r="K10" s="45" t="str">
        <f t="shared" si="1"/>
        <v>Yes</v>
      </c>
    </row>
    <row r="11" spans="1:13" ht="15">
      <c r="A11" s="17">
        <v>900</v>
      </c>
      <c r="B11" s="119">
        <v>58</v>
      </c>
      <c r="C11" s="22">
        <v>3.3</v>
      </c>
      <c r="D11" s="22">
        <v>0.63</v>
      </c>
      <c r="E11" s="53">
        <v>0</v>
      </c>
      <c r="F11" s="53">
        <v>0</v>
      </c>
      <c r="G11" s="53">
        <v>0</v>
      </c>
      <c r="H11" s="55">
        <v>0</v>
      </c>
      <c r="I11" s="63">
        <v>0</v>
      </c>
      <c r="J11" s="7" t="str">
        <f t="shared" si="0"/>
        <v>Yes</v>
      </c>
      <c r="K11" s="45" t="str">
        <f t="shared" si="1"/>
        <v>Yes</v>
      </c>
    </row>
    <row r="12" spans="1:13" ht="15">
      <c r="A12" s="18">
        <v>1000</v>
      </c>
      <c r="B12" s="120">
        <v>64.7</v>
      </c>
      <c r="C12" s="23">
        <v>3.6</v>
      </c>
      <c r="D12" s="23">
        <v>0.56999999999999995</v>
      </c>
      <c r="E12" s="29">
        <v>0</v>
      </c>
      <c r="F12" s="29">
        <v>0</v>
      </c>
      <c r="G12" s="29">
        <v>0</v>
      </c>
      <c r="H12" s="71">
        <v>0</v>
      </c>
      <c r="I12" s="23">
        <v>0</v>
      </c>
      <c r="J12" s="7" t="str">
        <f t="shared" si="0"/>
        <v>Yes</v>
      </c>
      <c r="K12" s="45" t="str">
        <f t="shared" si="1"/>
        <v>Yes</v>
      </c>
    </row>
    <row r="13" spans="1:13" ht="15">
      <c r="A13" s="17">
        <v>1100</v>
      </c>
      <c r="B13" s="119">
        <v>71.400000000000006</v>
      </c>
      <c r="C13" s="22">
        <v>4</v>
      </c>
      <c r="D13" s="22">
        <v>0.51</v>
      </c>
      <c r="E13" s="53">
        <v>0</v>
      </c>
      <c r="F13" s="53">
        <v>0</v>
      </c>
      <c r="G13" s="53">
        <v>0</v>
      </c>
      <c r="H13" s="55">
        <v>0</v>
      </c>
      <c r="I13" s="63">
        <v>0</v>
      </c>
      <c r="J13" s="7" t="str">
        <f t="shared" si="0"/>
        <v>Yes</v>
      </c>
      <c r="K13" s="45" t="str">
        <f t="shared" si="1"/>
        <v>Yes</v>
      </c>
    </row>
    <row r="14" spans="1:13" ht="15">
      <c r="A14" s="17">
        <v>1200</v>
      </c>
      <c r="B14" s="119">
        <v>78.099999999999994</v>
      </c>
      <c r="C14" s="22">
        <v>4.4000000000000004</v>
      </c>
      <c r="D14" s="22">
        <v>0.47</v>
      </c>
      <c r="E14" s="53">
        <v>0</v>
      </c>
      <c r="F14" s="53">
        <v>0</v>
      </c>
      <c r="G14" s="53">
        <v>0</v>
      </c>
      <c r="H14" s="55">
        <v>0</v>
      </c>
      <c r="I14" s="63">
        <v>0</v>
      </c>
    </row>
    <row r="15" spans="1:13" ht="15.75" thickBot="1">
      <c r="A15" s="17">
        <v>1300</v>
      </c>
      <c r="B15" s="119">
        <v>85</v>
      </c>
      <c r="C15" s="22">
        <v>4.8</v>
      </c>
      <c r="D15" s="22">
        <v>0.43</v>
      </c>
      <c r="E15" s="53">
        <v>0</v>
      </c>
      <c r="F15" s="53">
        <v>0</v>
      </c>
      <c r="G15" s="53">
        <v>0</v>
      </c>
      <c r="H15" s="55">
        <v>0</v>
      </c>
      <c r="I15" s="63">
        <v>0</v>
      </c>
    </row>
    <row r="16" spans="1:13" ht="15">
      <c r="A16" s="17">
        <v>1400</v>
      </c>
      <c r="B16" s="119">
        <v>91.8</v>
      </c>
      <c r="C16" s="22">
        <v>5.0999999999999996</v>
      </c>
      <c r="D16" s="22">
        <v>0.4</v>
      </c>
      <c r="E16" s="53">
        <v>0</v>
      </c>
      <c r="F16" s="53">
        <v>0</v>
      </c>
      <c r="G16" s="53">
        <v>0</v>
      </c>
      <c r="H16" s="55">
        <v>0</v>
      </c>
      <c r="I16" s="63">
        <v>0</v>
      </c>
      <c r="J16" s="308" t="s">
        <v>15</v>
      </c>
      <c r="K16" s="309"/>
      <c r="L16" s="309"/>
      <c r="M16" s="310"/>
    </row>
    <row r="17" spans="1:15" ht="15.75" thickBot="1">
      <c r="A17" s="18">
        <v>1500</v>
      </c>
      <c r="B17" s="120">
        <v>98.8</v>
      </c>
      <c r="C17" s="120">
        <v>5.5</v>
      </c>
      <c r="D17" s="120">
        <v>0.37</v>
      </c>
      <c r="E17" s="29">
        <v>0</v>
      </c>
      <c r="F17" s="29">
        <v>0</v>
      </c>
      <c r="G17" s="29">
        <v>0</v>
      </c>
      <c r="H17" s="71">
        <v>0</v>
      </c>
      <c r="I17" s="23">
        <v>0</v>
      </c>
      <c r="J17" s="311"/>
      <c r="K17" s="286"/>
      <c r="L17" s="286"/>
      <c r="M17" s="287"/>
    </row>
    <row r="18" spans="1:15" ht="15">
      <c r="A18" s="17">
        <v>1600</v>
      </c>
      <c r="B18" s="119">
        <v>105.8</v>
      </c>
      <c r="C18" s="119">
        <v>5.9</v>
      </c>
      <c r="D18" s="63">
        <v>0.35</v>
      </c>
      <c r="E18" s="53">
        <v>0</v>
      </c>
      <c r="F18" s="53">
        <v>0</v>
      </c>
      <c r="G18" s="53">
        <v>0</v>
      </c>
      <c r="H18" s="55">
        <v>0</v>
      </c>
      <c r="I18" s="63">
        <v>0</v>
      </c>
      <c r="J18" s="96" t="s">
        <v>12</v>
      </c>
      <c r="K18" s="94" t="s">
        <v>38</v>
      </c>
      <c r="L18" s="96" t="s">
        <v>39</v>
      </c>
      <c r="M18" s="95" t="s">
        <v>22</v>
      </c>
    </row>
    <row r="19" spans="1:15" ht="15">
      <c r="A19" s="17">
        <v>1700</v>
      </c>
      <c r="B19" s="22">
        <v>112.8</v>
      </c>
      <c r="C19" s="22">
        <v>6.3</v>
      </c>
      <c r="D19" s="22">
        <v>0.33</v>
      </c>
      <c r="E19" s="53">
        <v>0</v>
      </c>
      <c r="F19" s="53">
        <v>0</v>
      </c>
      <c r="G19" s="53">
        <v>0</v>
      </c>
      <c r="H19" s="55">
        <v>0</v>
      </c>
      <c r="I19" s="63">
        <v>0</v>
      </c>
      <c r="J19" s="97">
        <v>1</v>
      </c>
      <c r="K19" s="110">
        <f>'1 HE'!K19</f>
        <v>0</v>
      </c>
      <c r="L19" s="108">
        <f>INPUT!C5</f>
        <v>0</v>
      </c>
      <c r="M19" s="111" t="str">
        <f>INPUT!D5</f>
        <v>L/A</v>
      </c>
    </row>
    <row r="20" spans="1:15" ht="15">
      <c r="A20" s="17">
        <v>1800</v>
      </c>
      <c r="B20" s="63">
        <v>120</v>
      </c>
      <c r="C20" s="63">
        <v>6.7</v>
      </c>
      <c r="D20" s="22">
        <v>0.31</v>
      </c>
      <c r="E20" s="53">
        <v>0</v>
      </c>
      <c r="F20" s="53">
        <v>0</v>
      </c>
      <c r="G20" s="53">
        <v>0</v>
      </c>
      <c r="H20" s="55">
        <v>0</v>
      </c>
      <c r="I20" s="63">
        <v>0</v>
      </c>
      <c r="J20" s="97">
        <v>2</v>
      </c>
      <c r="K20" s="110">
        <f>'1 HE'!K20</f>
        <v>0</v>
      </c>
      <c r="L20" s="108">
        <f>INPUT!C6</f>
        <v>0</v>
      </c>
      <c r="M20" s="112" t="str">
        <f t="shared" ref="M20:M28" si="2">M19</f>
        <v>L/A</v>
      </c>
    </row>
    <row r="21" spans="1:15" ht="15">
      <c r="A21" s="17">
        <v>1900</v>
      </c>
      <c r="B21" s="22">
        <v>127.2</v>
      </c>
      <c r="C21" s="22">
        <v>7.1</v>
      </c>
      <c r="D21" s="22">
        <v>0.28999999999999998</v>
      </c>
      <c r="E21" s="53">
        <v>0</v>
      </c>
      <c r="F21" s="53">
        <v>0</v>
      </c>
      <c r="G21" s="53">
        <v>0</v>
      </c>
      <c r="H21" s="55">
        <v>0</v>
      </c>
      <c r="I21" s="63">
        <v>0</v>
      </c>
      <c r="J21" s="97">
        <v>3</v>
      </c>
      <c r="K21" s="110">
        <f>'1 HE'!K21</f>
        <v>0</v>
      </c>
      <c r="L21" s="108">
        <f>INPUT!C7</f>
        <v>0</v>
      </c>
      <c r="M21" s="112" t="str">
        <f t="shared" si="2"/>
        <v>L/A</v>
      </c>
    </row>
    <row r="22" spans="1:15" ht="15">
      <c r="A22" s="18">
        <v>2000</v>
      </c>
      <c r="B22" s="23">
        <v>134.4</v>
      </c>
      <c r="C22" s="23">
        <v>7.5</v>
      </c>
      <c r="D22" s="23">
        <v>0.28000000000000003</v>
      </c>
      <c r="E22" s="29">
        <v>0</v>
      </c>
      <c r="F22" s="29">
        <v>0</v>
      </c>
      <c r="G22" s="29">
        <v>0</v>
      </c>
      <c r="H22" s="71">
        <v>0</v>
      </c>
      <c r="I22" s="23">
        <v>0</v>
      </c>
      <c r="J22" s="97">
        <v>4</v>
      </c>
      <c r="K22" s="110">
        <f>'1 HE'!K22</f>
        <v>0</v>
      </c>
      <c r="L22" s="108">
        <f>INPUT!C8</f>
        <v>0</v>
      </c>
      <c r="M22" s="112" t="str">
        <f t="shared" si="2"/>
        <v>L/A</v>
      </c>
    </row>
    <row r="23" spans="1:15" ht="15">
      <c r="A23" s="17">
        <v>2100</v>
      </c>
      <c r="B23" s="63">
        <v>141.80000000000001</v>
      </c>
      <c r="C23" s="63">
        <v>7.9</v>
      </c>
      <c r="D23" s="63">
        <v>0.26</v>
      </c>
      <c r="E23" s="53">
        <v>0</v>
      </c>
      <c r="F23" s="53">
        <v>0</v>
      </c>
      <c r="G23" s="53">
        <v>0</v>
      </c>
      <c r="H23" s="55">
        <v>0</v>
      </c>
      <c r="I23" s="63">
        <v>0</v>
      </c>
      <c r="J23" s="97">
        <v>5</v>
      </c>
      <c r="K23" s="110">
        <f>'1 HE'!K23</f>
        <v>0</v>
      </c>
      <c r="L23" s="108">
        <f>INPUT!C9</f>
        <v>0</v>
      </c>
      <c r="M23" s="112" t="str">
        <f t="shared" si="2"/>
        <v>L/A</v>
      </c>
    </row>
    <row r="24" spans="1:15" ht="15">
      <c r="A24" s="17">
        <v>2200</v>
      </c>
      <c r="B24" s="63">
        <v>149.19999999999999</v>
      </c>
      <c r="C24" s="63">
        <v>8.3000000000000007</v>
      </c>
      <c r="D24" s="63">
        <v>0.25</v>
      </c>
      <c r="E24" s="53">
        <v>0</v>
      </c>
      <c r="F24" s="53">
        <v>0</v>
      </c>
      <c r="G24" s="53">
        <v>0</v>
      </c>
      <c r="H24" s="55">
        <v>0</v>
      </c>
      <c r="I24" s="63">
        <v>0</v>
      </c>
      <c r="J24" s="97">
        <v>6</v>
      </c>
      <c r="K24" s="110">
        <f>'1 HE'!K24</f>
        <v>0</v>
      </c>
      <c r="L24" s="108">
        <f>INPUT!C10</f>
        <v>0</v>
      </c>
      <c r="M24" s="112" t="str">
        <f t="shared" si="2"/>
        <v>L/A</v>
      </c>
    </row>
    <row r="25" spans="1:15" ht="15">
      <c r="A25" s="17">
        <v>2300</v>
      </c>
      <c r="B25" s="63">
        <v>156.69999999999999</v>
      </c>
      <c r="C25" s="63">
        <v>8.6999999999999993</v>
      </c>
      <c r="D25" s="63">
        <v>0.24</v>
      </c>
      <c r="E25" s="53">
        <v>0</v>
      </c>
      <c r="F25" s="53">
        <v>0</v>
      </c>
      <c r="G25" s="53">
        <v>0</v>
      </c>
      <c r="H25" s="55">
        <v>0</v>
      </c>
      <c r="I25" s="63">
        <v>0</v>
      </c>
      <c r="J25" s="97">
        <v>7</v>
      </c>
      <c r="K25" s="110">
        <f>'1 HE'!K25</f>
        <v>0</v>
      </c>
      <c r="L25" s="108">
        <f>INPUT!C11</f>
        <v>0</v>
      </c>
      <c r="M25" s="112" t="str">
        <f t="shared" si="2"/>
        <v>L/A</v>
      </c>
    </row>
    <row r="26" spans="1:15" ht="15">
      <c r="A26" s="17">
        <v>2400</v>
      </c>
      <c r="B26" s="63">
        <v>164.3</v>
      </c>
      <c r="C26" s="63">
        <v>9.1</v>
      </c>
      <c r="D26" s="63">
        <v>0.23</v>
      </c>
      <c r="E26" s="53">
        <v>0</v>
      </c>
      <c r="F26" s="53">
        <v>0</v>
      </c>
      <c r="G26" s="53">
        <v>0</v>
      </c>
      <c r="H26" s="55">
        <v>0</v>
      </c>
      <c r="I26" s="63">
        <v>0</v>
      </c>
      <c r="J26" s="97">
        <v>8</v>
      </c>
      <c r="K26" s="110">
        <f>'1 HE'!K26</f>
        <v>0</v>
      </c>
      <c r="L26" s="108">
        <f>INPUT!C12</f>
        <v>0</v>
      </c>
      <c r="M26" s="112" t="str">
        <f t="shared" si="2"/>
        <v>L/A</v>
      </c>
    </row>
    <row r="27" spans="1:15" ht="15">
      <c r="A27" s="18">
        <v>2500</v>
      </c>
      <c r="B27" s="23">
        <v>171.9</v>
      </c>
      <c r="C27" s="23">
        <v>9.5</v>
      </c>
      <c r="D27" s="23">
        <v>0.22</v>
      </c>
      <c r="E27" s="29">
        <v>0</v>
      </c>
      <c r="F27" s="29">
        <v>0</v>
      </c>
      <c r="G27" s="29">
        <v>0</v>
      </c>
      <c r="H27" s="71">
        <v>0</v>
      </c>
      <c r="I27" s="23">
        <v>0</v>
      </c>
      <c r="J27" s="97">
        <v>9</v>
      </c>
      <c r="K27" s="110">
        <f>'1 HE'!K27</f>
        <v>0</v>
      </c>
      <c r="L27" s="108">
        <f>INPUT!C13</f>
        <v>0</v>
      </c>
      <c r="M27" s="112" t="str">
        <f t="shared" si="2"/>
        <v>L/A</v>
      </c>
    </row>
    <row r="28" spans="1:15" ht="15.75" thickBot="1">
      <c r="A28" s="17">
        <v>2600</v>
      </c>
      <c r="B28" s="28">
        <v>179.7</v>
      </c>
      <c r="C28" s="28">
        <v>9.9</v>
      </c>
      <c r="D28" s="63">
        <v>0.21</v>
      </c>
      <c r="E28" s="53">
        <v>0</v>
      </c>
      <c r="F28" s="53">
        <v>0</v>
      </c>
      <c r="G28" s="53">
        <v>0</v>
      </c>
      <c r="H28" s="55">
        <v>0</v>
      </c>
      <c r="I28" s="63">
        <v>0</v>
      </c>
      <c r="J28" s="98">
        <v>10</v>
      </c>
      <c r="K28" s="110">
        <f>'1 HE'!K28</f>
        <v>0</v>
      </c>
      <c r="L28" s="108">
        <f>INPUT!C14</f>
        <v>0</v>
      </c>
      <c r="M28" s="113" t="str">
        <f t="shared" si="2"/>
        <v>L/A</v>
      </c>
    </row>
    <row r="29" spans="1:15" ht="15">
      <c r="A29" s="17">
        <v>2700</v>
      </c>
      <c r="B29" s="63">
        <v>187.5</v>
      </c>
      <c r="C29" s="63">
        <v>10.4</v>
      </c>
      <c r="D29" s="63">
        <v>0.2</v>
      </c>
      <c r="E29" s="53">
        <v>0</v>
      </c>
      <c r="F29" s="53">
        <v>0</v>
      </c>
      <c r="G29" s="53">
        <v>0</v>
      </c>
      <c r="H29" s="55">
        <v>0</v>
      </c>
      <c r="I29" s="63">
        <v>0</v>
      </c>
    </row>
    <row r="30" spans="1:15" ht="15">
      <c r="A30" s="17">
        <v>2800</v>
      </c>
      <c r="B30" s="63">
        <v>195.5</v>
      </c>
      <c r="C30" s="63">
        <v>10.8</v>
      </c>
      <c r="D30" s="63">
        <v>0.19</v>
      </c>
      <c r="E30" s="53">
        <v>0</v>
      </c>
      <c r="F30" s="53">
        <v>0</v>
      </c>
      <c r="G30" s="53">
        <v>0</v>
      </c>
      <c r="H30" s="55">
        <v>0</v>
      </c>
      <c r="I30" s="63">
        <v>0</v>
      </c>
    </row>
    <row r="31" spans="1:15" ht="15">
      <c r="A31" s="17">
        <v>2900</v>
      </c>
      <c r="B31" s="63">
        <v>203.5</v>
      </c>
      <c r="C31" s="63">
        <v>11.2</v>
      </c>
      <c r="D31" s="63">
        <v>0.19</v>
      </c>
      <c r="E31" s="53">
        <v>0</v>
      </c>
      <c r="F31" s="53">
        <v>0</v>
      </c>
      <c r="G31" s="53">
        <v>0</v>
      </c>
      <c r="H31" s="55">
        <v>0</v>
      </c>
      <c r="I31" s="63">
        <v>0</v>
      </c>
      <c r="J31" s="42" t="s">
        <v>72</v>
      </c>
      <c r="K31" s="42" t="s">
        <v>73</v>
      </c>
      <c r="L31" s="42" t="s">
        <v>74</v>
      </c>
      <c r="M31" s="42" t="s">
        <v>88</v>
      </c>
      <c r="N31" s="138" t="s">
        <v>89</v>
      </c>
      <c r="O31" s="138" t="s">
        <v>90</v>
      </c>
    </row>
    <row r="32" spans="1:15" ht="15">
      <c r="A32" s="18">
        <v>3000</v>
      </c>
      <c r="B32" s="23">
        <v>211.6</v>
      </c>
      <c r="C32" s="23">
        <v>11.6</v>
      </c>
      <c r="D32" s="29">
        <v>0.18</v>
      </c>
      <c r="E32" s="29">
        <v>0</v>
      </c>
      <c r="F32" s="29">
        <v>0</v>
      </c>
      <c r="G32" s="29">
        <v>0</v>
      </c>
      <c r="H32" s="71">
        <v>0</v>
      </c>
      <c r="I32" s="23">
        <v>0</v>
      </c>
      <c r="J32" t="e">
        <f t="shared" ref="J32:J41" si="3">VLOOKUP(J45,$A$3:$I$66,IF(M19="L/A",4,9),FALSE)</f>
        <v>#N/A</v>
      </c>
      <c r="K32">
        <f t="shared" ref="K32:K41" si="4">VLOOKUP(K45,$A$3:$I$66,IF(M19="L/A",4,9),FALSE)</f>
        <v>1.1399999999999999</v>
      </c>
      <c r="L32" t="e">
        <f t="shared" ref="L32:L41" si="5">IF(K19=6400,J32,((K32-J32)*L45)+J32)</f>
        <v>#N/A</v>
      </c>
      <c r="M32" s="139" t="e">
        <f t="shared" ref="M32:M41" si="6">VLOOKUP(J45,$A$3:$I$66,IF(L19&gt;=0,7,6),FALSE)</f>
        <v>#N/A</v>
      </c>
      <c r="N32" s="140">
        <f t="shared" ref="N32:N41" si="7">VLOOKUP(K45,$A$3:$I$66,IF(L19&gt;=0,7,6),FALSE)</f>
        <v>0</v>
      </c>
      <c r="O32" s="139" t="e">
        <f t="shared" ref="O32:O41" si="8">IF(K19=6400,M32,(((N32-M32)*L45)+M32))</f>
        <v>#N/A</v>
      </c>
    </row>
    <row r="33" spans="1:18" ht="15">
      <c r="A33" s="19">
        <v>3100</v>
      </c>
      <c r="B33" s="63">
        <v>219.9</v>
      </c>
      <c r="C33" s="63">
        <v>12.1</v>
      </c>
      <c r="D33" s="53">
        <v>0.17</v>
      </c>
      <c r="E33" s="53">
        <v>1315</v>
      </c>
      <c r="F33" s="122">
        <f>($E$37/E33)*$F$37</f>
        <v>1.0399523954372625</v>
      </c>
      <c r="G33" s="122">
        <f>($E$37/E33)*$G$37</f>
        <v>-1.04582783269962</v>
      </c>
      <c r="H33" s="55">
        <v>52.5</v>
      </c>
      <c r="I33" s="63">
        <v>0.04</v>
      </c>
      <c r="J33" t="e">
        <f t="shared" si="3"/>
        <v>#N/A</v>
      </c>
      <c r="K33">
        <f t="shared" si="4"/>
        <v>1.1399999999999999</v>
      </c>
      <c r="L33" t="e">
        <f t="shared" si="5"/>
        <v>#N/A</v>
      </c>
      <c r="M33" s="139" t="e">
        <f t="shared" si="6"/>
        <v>#N/A</v>
      </c>
      <c r="N33" s="140">
        <f t="shared" si="7"/>
        <v>0</v>
      </c>
      <c r="O33" s="139" t="e">
        <f t="shared" si="8"/>
        <v>#N/A</v>
      </c>
    </row>
    <row r="34" spans="1:18" ht="15">
      <c r="A34" s="19">
        <v>3200</v>
      </c>
      <c r="B34" s="63">
        <v>228.3</v>
      </c>
      <c r="C34" s="63">
        <v>12.5</v>
      </c>
      <c r="D34" s="63">
        <v>0.17</v>
      </c>
      <c r="E34" s="53">
        <v>1309.9000000000001</v>
      </c>
      <c r="F34" s="122">
        <f>($E$37/E34)*$F$37</f>
        <v>1.0440013741506986</v>
      </c>
      <c r="G34" s="122">
        <f>($E$37/E34)*$G$37</f>
        <v>-1.0498996869990076</v>
      </c>
      <c r="H34" s="55">
        <v>52.2</v>
      </c>
      <c r="I34" s="63">
        <v>0.04</v>
      </c>
      <c r="J34" t="e">
        <f t="shared" si="3"/>
        <v>#N/A</v>
      </c>
      <c r="K34">
        <f t="shared" si="4"/>
        <v>1.1399999999999999</v>
      </c>
      <c r="L34" t="e">
        <f t="shared" si="5"/>
        <v>#N/A</v>
      </c>
      <c r="M34" s="139" t="e">
        <f t="shared" si="6"/>
        <v>#N/A</v>
      </c>
      <c r="N34" s="140">
        <f t="shared" si="7"/>
        <v>0</v>
      </c>
      <c r="O34" s="139" t="e">
        <f t="shared" si="8"/>
        <v>#N/A</v>
      </c>
    </row>
    <row r="35" spans="1:18" ht="15">
      <c r="A35" s="19">
        <v>3300</v>
      </c>
      <c r="B35" s="63">
        <v>236.8</v>
      </c>
      <c r="C35" s="63">
        <v>13</v>
      </c>
      <c r="D35" s="63">
        <v>0.16</v>
      </c>
      <c r="E35" s="53">
        <v>1302.9000000000001</v>
      </c>
      <c r="F35" s="122">
        <f>($E$37/E35)*$F$37</f>
        <v>1.0496104075523831</v>
      </c>
      <c r="G35" s="122">
        <f>($E$37/E35)*$G$37</f>
        <v>-1.055540409854939</v>
      </c>
      <c r="H35" s="55">
        <v>51.9</v>
      </c>
      <c r="I35" s="63">
        <v>0.04</v>
      </c>
      <c r="J35" t="e">
        <f t="shared" si="3"/>
        <v>#N/A</v>
      </c>
      <c r="K35">
        <f t="shared" si="4"/>
        <v>1.1399999999999999</v>
      </c>
      <c r="L35" t="e">
        <f t="shared" si="5"/>
        <v>#N/A</v>
      </c>
      <c r="M35" s="139" t="e">
        <f t="shared" si="6"/>
        <v>#N/A</v>
      </c>
      <c r="N35" s="140">
        <f t="shared" si="7"/>
        <v>0</v>
      </c>
      <c r="O35" s="139" t="e">
        <f t="shared" si="8"/>
        <v>#N/A</v>
      </c>
    </row>
    <row r="36" spans="1:18" ht="15">
      <c r="A36" s="19">
        <v>3400</v>
      </c>
      <c r="B36" s="63">
        <v>245.4</v>
      </c>
      <c r="C36" s="63">
        <v>13.4</v>
      </c>
      <c r="D36" s="63">
        <v>0.16</v>
      </c>
      <c r="E36" s="53">
        <v>1295.4000000000001</v>
      </c>
      <c r="F36" s="122">
        <f>($E$37/E36)*$F$37</f>
        <v>1.0556873552570636</v>
      </c>
      <c r="G36" s="122">
        <f>($E$37/E36)*$G$37</f>
        <v>-1.0616516905974989</v>
      </c>
      <c r="H36" s="55">
        <v>51.7</v>
      </c>
      <c r="I36" s="63">
        <v>0.04</v>
      </c>
      <c r="J36" t="e">
        <f t="shared" si="3"/>
        <v>#N/A</v>
      </c>
      <c r="K36">
        <f t="shared" si="4"/>
        <v>1.1399999999999999</v>
      </c>
      <c r="L36" t="e">
        <f t="shared" si="5"/>
        <v>#N/A</v>
      </c>
      <c r="M36" s="139" t="e">
        <f t="shared" si="6"/>
        <v>#N/A</v>
      </c>
      <c r="N36" s="140">
        <f t="shared" si="7"/>
        <v>0</v>
      </c>
      <c r="O36" s="139" t="e">
        <f t="shared" si="8"/>
        <v>#N/A</v>
      </c>
    </row>
    <row r="37" spans="1:18" ht="15">
      <c r="A37" s="18">
        <v>3500</v>
      </c>
      <c r="B37" s="23">
        <v>254.1</v>
      </c>
      <c r="C37" s="23">
        <v>13.9</v>
      </c>
      <c r="D37" s="23">
        <v>0.15</v>
      </c>
      <c r="E37" s="29">
        <v>1287.7</v>
      </c>
      <c r="F37" s="123">
        <v>1.0620000000000001</v>
      </c>
      <c r="G37" s="123">
        <v>-1.0680000000000001</v>
      </c>
      <c r="H37" s="71">
        <v>51.6</v>
      </c>
      <c r="I37" s="23">
        <v>0.04</v>
      </c>
      <c r="J37" t="e">
        <f t="shared" si="3"/>
        <v>#N/A</v>
      </c>
      <c r="K37">
        <f t="shared" si="4"/>
        <v>1.1399999999999999</v>
      </c>
      <c r="L37" t="e">
        <f t="shared" si="5"/>
        <v>#N/A</v>
      </c>
      <c r="M37" s="139" t="e">
        <f t="shared" si="6"/>
        <v>#N/A</v>
      </c>
      <c r="N37" s="140">
        <f t="shared" si="7"/>
        <v>0</v>
      </c>
      <c r="O37" s="139" t="e">
        <f t="shared" si="8"/>
        <v>#N/A</v>
      </c>
    </row>
    <row r="38" spans="1:18" ht="15">
      <c r="A38" s="19">
        <v>3600</v>
      </c>
      <c r="B38" s="53">
        <v>263</v>
      </c>
      <c r="C38" s="53">
        <v>14.3</v>
      </c>
      <c r="D38" s="63">
        <v>0.15</v>
      </c>
      <c r="E38" s="53">
        <v>1279.5999999999999</v>
      </c>
      <c r="F38" s="122">
        <v>1.0698000000000001</v>
      </c>
      <c r="G38" s="122">
        <v>-1.0766</v>
      </c>
      <c r="H38" s="55">
        <v>51.4</v>
      </c>
      <c r="I38" s="63">
        <v>0.04</v>
      </c>
      <c r="J38" t="e">
        <f t="shared" si="3"/>
        <v>#N/A</v>
      </c>
      <c r="K38">
        <f t="shared" si="4"/>
        <v>1.1399999999999999</v>
      </c>
      <c r="L38" t="e">
        <f t="shared" si="5"/>
        <v>#N/A</v>
      </c>
      <c r="M38" s="139" t="e">
        <f t="shared" si="6"/>
        <v>#N/A</v>
      </c>
      <c r="N38" s="140">
        <f t="shared" si="7"/>
        <v>0</v>
      </c>
      <c r="O38" s="139" t="e">
        <f t="shared" si="8"/>
        <v>#N/A</v>
      </c>
    </row>
    <row r="39" spans="1:18" ht="15">
      <c r="A39" s="19">
        <v>3700</v>
      </c>
      <c r="B39" s="63">
        <v>272.10000000000002</v>
      </c>
      <c r="C39" s="63">
        <v>14.8</v>
      </c>
      <c r="D39" s="63">
        <v>0.14000000000000001</v>
      </c>
      <c r="E39" s="53">
        <v>1271.3</v>
      </c>
      <c r="F39" s="122">
        <v>1.0775999999999999</v>
      </c>
      <c r="G39" s="122">
        <v>-1.0851999999999999</v>
      </c>
      <c r="H39" s="55">
        <v>51.2</v>
      </c>
      <c r="I39" s="63">
        <v>0.04</v>
      </c>
      <c r="J39" t="e">
        <f t="shared" si="3"/>
        <v>#N/A</v>
      </c>
      <c r="K39">
        <f t="shared" si="4"/>
        <v>1.1399999999999999</v>
      </c>
      <c r="L39" t="e">
        <f t="shared" si="5"/>
        <v>#N/A</v>
      </c>
      <c r="M39" s="139" t="e">
        <f t="shared" si="6"/>
        <v>#N/A</v>
      </c>
      <c r="N39" s="140">
        <f t="shared" si="7"/>
        <v>0</v>
      </c>
      <c r="O39" s="139" t="e">
        <f t="shared" si="8"/>
        <v>#N/A</v>
      </c>
    </row>
    <row r="40" spans="1:18" ht="15">
      <c r="A40" s="19">
        <v>3800</v>
      </c>
      <c r="B40" s="63">
        <v>281.3</v>
      </c>
      <c r="C40" s="63">
        <v>15.3</v>
      </c>
      <c r="D40" s="63">
        <v>0.14000000000000001</v>
      </c>
      <c r="E40" s="53">
        <v>1262.5999999999999</v>
      </c>
      <c r="F40" s="122">
        <v>1.0853999999999999</v>
      </c>
      <c r="G40" s="122">
        <v>-1.0938000000000001</v>
      </c>
      <c r="H40" s="55">
        <v>51</v>
      </c>
      <c r="I40" s="63">
        <v>0.04</v>
      </c>
      <c r="J40" t="e">
        <f t="shared" si="3"/>
        <v>#N/A</v>
      </c>
      <c r="K40">
        <f t="shared" si="4"/>
        <v>1.1399999999999999</v>
      </c>
      <c r="L40" t="e">
        <f t="shared" si="5"/>
        <v>#N/A</v>
      </c>
      <c r="M40" s="139" t="e">
        <f t="shared" si="6"/>
        <v>#N/A</v>
      </c>
      <c r="N40" s="140">
        <f t="shared" si="7"/>
        <v>0</v>
      </c>
      <c r="O40" s="139" t="e">
        <f t="shared" si="8"/>
        <v>#N/A</v>
      </c>
    </row>
    <row r="41" spans="1:18" ht="15">
      <c r="A41" s="19">
        <v>3900</v>
      </c>
      <c r="B41" s="63">
        <v>290.60000000000002</v>
      </c>
      <c r="C41" s="63">
        <v>15.8</v>
      </c>
      <c r="D41" s="63">
        <v>0.13</v>
      </c>
      <c r="E41" s="53">
        <v>1253.7</v>
      </c>
      <c r="F41" s="122">
        <v>1.0931999999999999</v>
      </c>
      <c r="G41" s="122">
        <v>-1.1024</v>
      </c>
      <c r="H41" s="55">
        <v>50.8</v>
      </c>
      <c r="I41" s="63">
        <v>0.04</v>
      </c>
      <c r="J41" t="e">
        <f t="shared" si="3"/>
        <v>#N/A</v>
      </c>
      <c r="K41">
        <f t="shared" si="4"/>
        <v>1.1399999999999999</v>
      </c>
      <c r="L41" t="e">
        <f t="shared" si="5"/>
        <v>#N/A</v>
      </c>
      <c r="M41" s="139" t="e">
        <f t="shared" si="6"/>
        <v>#N/A</v>
      </c>
      <c r="N41" s="140">
        <f t="shared" si="7"/>
        <v>0</v>
      </c>
      <c r="O41" s="139" t="e">
        <f t="shared" si="8"/>
        <v>#N/A</v>
      </c>
    </row>
    <row r="42" spans="1:18" ht="15">
      <c r="A42" s="18">
        <v>4000</v>
      </c>
      <c r="B42" s="23">
        <v>300.2</v>
      </c>
      <c r="C42" s="23">
        <v>16.2</v>
      </c>
      <c r="D42" s="23">
        <v>0.13</v>
      </c>
      <c r="E42" s="29">
        <v>1244.5</v>
      </c>
      <c r="F42" s="123">
        <v>1.101</v>
      </c>
      <c r="G42" s="123">
        <v>-1.111</v>
      </c>
      <c r="H42" s="71">
        <v>50.6</v>
      </c>
      <c r="I42" s="23">
        <v>0.04</v>
      </c>
    </row>
    <row r="43" spans="1:18" ht="15">
      <c r="A43" s="62">
        <v>4100</v>
      </c>
      <c r="B43" s="63">
        <v>309.89999999999998</v>
      </c>
      <c r="C43" s="63">
        <v>16.7</v>
      </c>
      <c r="D43" s="63">
        <v>0.13</v>
      </c>
      <c r="E43" s="53">
        <v>1235.0999999999999</v>
      </c>
      <c r="F43" s="53">
        <v>1.1113999999999999</v>
      </c>
      <c r="G43" s="53">
        <v>-1.123</v>
      </c>
      <c r="H43" s="55">
        <v>50.5</v>
      </c>
      <c r="I43" s="63">
        <v>0.04</v>
      </c>
      <c r="J43" s="314" t="s">
        <v>87</v>
      </c>
      <c r="K43" s="315"/>
      <c r="L43" s="315"/>
      <c r="M43" s="315"/>
      <c r="N43" s="315"/>
      <c r="O43" s="315"/>
      <c r="P43" s="315"/>
      <c r="Q43" s="315"/>
      <c r="R43" s="315"/>
    </row>
    <row r="44" spans="1:18" ht="15">
      <c r="A44" s="19">
        <v>4200</v>
      </c>
      <c r="B44" s="63">
        <v>219.9</v>
      </c>
      <c r="C44" s="63">
        <v>17.2</v>
      </c>
      <c r="D44" s="63">
        <v>0.12</v>
      </c>
      <c r="E44" s="53">
        <v>1225.3</v>
      </c>
      <c r="F44" s="122">
        <v>1.1217999999999999</v>
      </c>
      <c r="G44" s="122">
        <v>-1.135</v>
      </c>
      <c r="H44" s="55">
        <v>50.3</v>
      </c>
      <c r="I44" s="63">
        <v>0.04</v>
      </c>
      <c r="J44" s="44" t="s">
        <v>17</v>
      </c>
      <c r="K44" s="44" t="s">
        <v>18</v>
      </c>
      <c r="L44" s="44" t="s">
        <v>16</v>
      </c>
      <c r="M44" s="44" t="s">
        <v>26</v>
      </c>
      <c r="N44" s="44" t="s">
        <v>27</v>
      </c>
      <c r="O44" s="77" t="s">
        <v>31</v>
      </c>
      <c r="P44" s="44" t="s">
        <v>19</v>
      </c>
      <c r="Q44" s="44" t="s">
        <v>20</v>
      </c>
      <c r="R44" s="11" t="s">
        <v>25</v>
      </c>
    </row>
    <row r="45" spans="1:18" ht="15">
      <c r="A45" s="19">
        <v>4300</v>
      </c>
      <c r="B45" s="63">
        <v>330</v>
      </c>
      <c r="C45" s="63">
        <v>17.8</v>
      </c>
      <c r="D45" s="63">
        <v>0.12</v>
      </c>
      <c r="E45" s="53">
        <v>1215.3</v>
      </c>
      <c r="F45" s="53">
        <v>1.1322000000000001</v>
      </c>
      <c r="G45" s="53">
        <v>-1.147</v>
      </c>
      <c r="H45" s="55">
        <v>50.1</v>
      </c>
      <c r="I45" s="63">
        <v>0.04</v>
      </c>
      <c r="J45" s="45">
        <f t="shared" ref="J45:J54" si="9">_xlfn.FLOOR.MATH(K19,100)</f>
        <v>0</v>
      </c>
      <c r="K45" s="46">
        <f t="shared" ref="K45:K54" si="10">J45+100</f>
        <v>100</v>
      </c>
      <c r="L45" s="45">
        <f t="shared" ref="L45:L54" si="11">(K19-J45)/100</f>
        <v>0</v>
      </c>
      <c r="M45" s="45" t="e">
        <f t="shared" ref="M45:M54" si="12">VLOOKUP(J45,$A$2:$I$66,IF(M19="l/a",3,8),FALSE)</f>
        <v>#N/A</v>
      </c>
      <c r="N45" s="45">
        <f t="shared" ref="N45:N54" si="13">VLOOKUP(K45,$A$2:$I$66,IF(M19="l/a",3,8),FALSE)</f>
        <v>0.4</v>
      </c>
      <c r="O45" s="78" t="e">
        <f>M45+((N45-M45)*L45)</f>
        <v>#N/A</v>
      </c>
      <c r="P45" s="45" t="e">
        <f t="shared" ref="P45:P54" si="14">VLOOKUP(J45,$A$2:$I$66,(IF(M19="L/A",2,5)),FALSE)</f>
        <v>#N/A</v>
      </c>
      <c r="Q45" s="45">
        <f>VLOOKUP(K45,$A$3:$I$66,IF(M19="L/A",2,5),FALSE)</f>
        <v>6.3</v>
      </c>
      <c r="R45" s="12" t="e">
        <f t="shared" ref="R45:R54" si="15">((Q45-P45)*L45)+P45</f>
        <v>#N/A</v>
      </c>
    </row>
    <row r="46" spans="1:18" ht="15">
      <c r="A46" s="19">
        <v>4400</v>
      </c>
      <c r="B46" s="63">
        <v>340.4</v>
      </c>
      <c r="C46" s="63">
        <v>18.3</v>
      </c>
      <c r="D46" s="63">
        <v>0.12</v>
      </c>
      <c r="E46" s="53">
        <v>1205.0999999999999</v>
      </c>
      <c r="F46" s="122">
        <v>1.1426000000000001</v>
      </c>
      <c r="G46" s="122">
        <v>-1.159</v>
      </c>
      <c r="H46" s="55">
        <v>49.8</v>
      </c>
      <c r="I46" s="63">
        <v>0.04</v>
      </c>
      <c r="J46" s="45">
        <f t="shared" si="9"/>
        <v>0</v>
      </c>
      <c r="K46" s="46">
        <f t="shared" si="10"/>
        <v>100</v>
      </c>
      <c r="L46" s="45">
        <f t="shared" si="11"/>
        <v>0</v>
      </c>
      <c r="M46" s="45" t="e">
        <f t="shared" si="12"/>
        <v>#N/A</v>
      </c>
      <c r="N46" s="45">
        <f t="shared" si="13"/>
        <v>0.4</v>
      </c>
      <c r="O46" s="78" t="e">
        <f t="shared" ref="O46:O54" si="16">M46+((N46-M46)*L46)</f>
        <v>#N/A</v>
      </c>
      <c r="P46" s="45" t="e">
        <f t="shared" si="14"/>
        <v>#N/A</v>
      </c>
      <c r="Q46" s="45">
        <f t="shared" ref="Q46:Q54" si="17">VLOOKUP(K46,$A$3:$I$66,IF(M20="L/A",2,5),FALSE)</f>
        <v>6.3</v>
      </c>
      <c r="R46" s="12" t="e">
        <f t="shared" si="15"/>
        <v>#N/A</v>
      </c>
    </row>
    <row r="47" spans="1:18" ht="15">
      <c r="A47" s="18">
        <v>4500</v>
      </c>
      <c r="B47" s="23">
        <v>351</v>
      </c>
      <c r="C47" s="23">
        <v>18.8</v>
      </c>
      <c r="D47" s="23">
        <v>0.11</v>
      </c>
      <c r="E47" s="29">
        <v>1194.5</v>
      </c>
      <c r="F47" s="124">
        <v>1.153</v>
      </c>
      <c r="G47" s="124">
        <v>-1.171</v>
      </c>
      <c r="H47" s="71">
        <v>49.6</v>
      </c>
      <c r="I47" s="23">
        <v>0.04</v>
      </c>
      <c r="J47" s="45">
        <f t="shared" si="9"/>
        <v>0</v>
      </c>
      <c r="K47" s="46">
        <f t="shared" si="10"/>
        <v>100</v>
      </c>
      <c r="L47" s="45">
        <f t="shared" si="11"/>
        <v>0</v>
      </c>
      <c r="M47" s="45" t="e">
        <f t="shared" si="12"/>
        <v>#N/A</v>
      </c>
      <c r="N47" s="45">
        <f t="shared" si="13"/>
        <v>0.4</v>
      </c>
      <c r="O47" s="78" t="e">
        <f t="shared" si="16"/>
        <v>#N/A</v>
      </c>
      <c r="P47" s="45" t="e">
        <f t="shared" si="14"/>
        <v>#N/A</v>
      </c>
      <c r="Q47" s="45">
        <f t="shared" si="17"/>
        <v>6.3</v>
      </c>
      <c r="R47" s="12" t="e">
        <f t="shared" si="15"/>
        <v>#N/A</v>
      </c>
    </row>
    <row r="48" spans="1:18" ht="15">
      <c r="A48" s="19">
        <v>4600</v>
      </c>
      <c r="B48" s="63">
        <v>361.9</v>
      </c>
      <c r="C48" s="63">
        <v>19.3</v>
      </c>
      <c r="D48" s="63">
        <v>0.11</v>
      </c>
      <c r="E48" s="53">
        <v>1183.5999999999999</v>
      </c>
      <c r="F48" s="125">
        <v>1.1681999999999999</v>
      </c>
      <c r="G48" s="125">
        <v>-1.1898</v>
      </c>
      <c r="H48" s="55">
        <v>49.4</v>
      </c>
      <c r="I48" s="63">
        <v>0.04</v>
      </c>
      <c r="J48" s="45">
        <f t="shared" si="9"/>
        <v>0</v>
      </c>
      <c r="K48" s="46">
        <f t="shared" si="10"/>
        <v>100</v>
      </c>
      <c r="L48" s="45">
        <f t="shared" si="11"/>
        <v>0</v>
      </c>
      <c r="M48" s="45" t="e">
        <f t="shared" si="12"/>
        <v>#N/A</v>
      </c>
      <c r="N48" s="45">
        <f t="shared" si="13"/>
        <v>0.4</v>
      </c>
      <c r="O48" s="78" t="e">
        <f t="shared" si="16"/>
        <v>#N/A</v>
      </c>
      <c r="P48" s="45" t="e">
        <f t="shared" si="14"/>
        <v>#N/A</v>
      </c>
      <c r="Q48" s="45">
        <f t="shared" si="17"/>
        <v>6.3</v>
      </c>
      <c r="R48" s="12" t="e">
        <f t="shared" si="15"/>
        <v>#N/A</v>
      </c>
    </row>
    <row r="49" spans="1:18" ht="15">
      <c r="A49" s="19">
        <v>4700</v>
      </c>
      <c r="B49" s="63">
        <v>373</v>
      </c>
      <c r="C49" s="63">
        <v>19.899999999999999</v>
      </c>
      <c r="D49" s="63">
        <v>0.11</v>
      </c>
      <c r="E49" s="53">
        <v>1172.4000000000001</v>
      </c>
      <c r="F49" s="125">
        <v>1.1834</v>
      </c>
      <c r="G49" s="125">
        <v>-1.2085999999999999</v>
      </c>
      <c r="H49" s="55">
        <v>49.1</v>
      </c>
      <c r="I49" s="63">
        <v>0.05</v>
      </c>
      <c r="J49" s="45">
        <f t="shared" si="9"/>
        <v>0</v>
      </c>
      <c r="K49" s="46">
        <f t="shared" si="10"/>
        <v>100</v>
      </c>
      <c r="L49" s="45">
        <f t="shared" si="11"/>
        <v>0</v>
      </c>
      <c r="M49" s="45" t="e">
        <f t="shared" si="12"/>
        <v>#N/A</v>
      </c>
      <c r="N49" s="45">
        <f t="shared" si="13"/>
        <v>0.4</v>
      </c>
      <c r="O49" s="78" t="e">
        <f t="shared" si="16"/>
        <v>#N/A</v>
      </c>
      <c r="P49" s="45" t="e">
        <f t="shared" si="14"/>
        <v>#N/A</v>
      </c>
      <c r="Q49" s="45">
        <f t="shared" si="17"/>
        <v>6.3</v>
      </c>
      <c r="R49" s="12" t="e">
        <f t="shared" si="15"/>
        <v>#N/A</v>
      </c>
    </row>
    <row r="50" spans="1:18" ht="15">
      <c r="A50" s="19">
        <v>4800</v>
      </c>
      <c r="B50" s="63">
        <v>384.5</v>
      </c>
      <c r="C50" s="63">
        <v>20.5</v>
      </c>
      <c r="D50" s="63">
        <v>0.1</v>
      </c>
      <c r="E50" s="53">
        <v>1160.9000000000001</v>
      </c>
      <c r="F50" s="125">
        <v>1.1986000000000001</v>
      </c>
      <c r="G50" s="125">
        <v>-1.2274</v>
      </c>
      <c r="H50" s="55">
        <v>48.9</v>
      </c>
      <c r="I50" s="63">
        <v>0.05</v>
      </c>
      <c r="J50" s="45">
        <f t="shared" si="9"/>
        <v>0</v>
      </c>
      <c r="K50" s="46">
        <f t="shared" si="10"/>
        <v>100</v>
      </c>
      <c r="L50" s="45">
        <f t="shared" si="11"/>
        <v>0</v>
      </c>
      <c r="M50" s="45" t="e">
        <f t="shared" si="12"/>
        <v>#N/A</v>
      </c>
      <c r="N50" s="45">
        <f t="shared" si="13"/>
        <v>0.4</v>
      </c>
      <c r="O50" s="78" t="e">
        <f t="shared" si="16"/>
        <v>#N/A</v>
      </c>
      <c r="P50" s="45" t="e">
        <f t="shared" si="14"/>
        <v>#N/A</v>
      </c>
      <c r="Q50" s="45">
        <f t="shared" si="17"/>
        <v>6.3</v>
      </c>
      <c r="R50" s="12" t="e">
        <f>((Q50-P50)*L50)+P50</f>
        <v>#N/A</v>
      </c>
    </row>
    <row r="51" spans="1:18" ht="15">
      <c r="A51" s="19">
        <v>4900</v>
      </c>
      <c r="B51" s="63">
        <v>396.4</v>
      </c>
      <c r="C51" s="63">
        <v>21</v>
      </c>
      <c r="D51" s="63">
        <v>0.1</v>
      </c>
      <c r="E51" s="53">
        <v>1149</v>
      </c>
      <c r="F51" s="125">
        <v>1.2138</v>
      </c>
      <c r="G51" s="125">
        <v>-1.2462</v>
      </c>
      <c r="H51" s="55">
        <v>48.6</v>
      </c>
      <c r="I51" s="63">
        <v>0.05</v>
      </c>
      <c r="J51" s="45">
        <f t="shared" si="9"/>
        <v>0</v>
      </c>
      <c r="K51" s="46">
        <f t="shared" si="10"/>
        <v>100</v>
      </c>
      <c r="L51" s="45">
        <f t="shared" si="11"/>
        <v>0</v>
      </c>
      <c r="M51" s="45" t="e">
        <f t="shared" si="12"/>
        <v>#N/A</v>
      </c>
      <c r="N51" s="45">
        <f t="shared" si="13"/>
        <v>0.4</v>
      </c>
      <c r="O51" s="78" t="e">
        <f t="shared" si="16"/>
        <v>#N/A</v>
      </c>
      <c r="P51" s="45" t="e">
        <f t="shared" si="14"/>
        <v>#N/A</v>
      </c>
      <c r="Q51" s="45">
        <f t="shared" si="17"/>
        <v>6.3</v>
      </c>
      <c r="R51" s="12" t="e">
        <f t="shared" si="15"/>
        <v>#N/A</v>
      </c>
    </row>
    <row r="52" spans="1:18" ht="15">
      <c r="A52" s="18">
        <v>5000</v>
      </c>
      <c r="B52" s="23">
        <v>408.6</v>
      </c>
      <c r="C52" s="23">
        <v>21.6</v>
      </c>
      <c r="D52" s="23">
        <v>0.1</v>
      </c>
      <c r="E52" s="29">
        <v>1136.8</v>
      </c>
      <c r="F52" s="124">
        <v>1.2290000000000001</v>
      </c>
      <c r="G52" s="124">
        <v>-1.2649999999999999</v>
      </c>
      <c r="H52" s="71">
        <v>48.3</v>
      </c>
      <c r="I52" s="23">
        <v>0.05</v>
      </c>
      <c r="J52" s="45">
        <f t="shared" si="9"/>
        <v>0</v>
      </c>
      <c r="K52" s="46">
        <f t="shared" si="10"/>
        <v>100</v>
      </c>
      <c r="L52" s="45">
        <f t="shared" si="11"/>
        <v>0</v>
      </c>
      <c r="M52" s="45" t="e">
        <f t="shared" si="12"/>
        <v>#N/A</v>
      </c>
      <c r="N52" s="45">
        <f t="shared" si="13"/>
        <v>0.4</v>
      </c>
      <c r="O52" s="78" t="e">
        <f t="shared" si="16"/>
        <v>#N/A</v>
      </c>
      <c r="P52" s="45" t="e">
        <f t="shared" si="14"/>
        <v>#N/A</v>
      </c>
      <c r="Q52" s="45">
        <f t="shared" si="17"/>
        <v>6.3</v>
      </c>
      <c r="R52" s="12" t="e">
        <f t="shared" si="15"/>
        <v>#N/A</v>
      </c>
    </row>
    <row r="53" spans="1:18" ht="15">
      <c r="A53" s="62">
        <v>5100</v>
      </c>
      <c r="B53" s="63">
        <v>421.2</v>
      </c>
      <c r="C53" s="63">
        <v>22.2</v>
      </c>
      <c r="D53" s="63">
        <v>0.1</v>
      </c>
      <c r="E53" s="53">
        <v>1124</v>
      </c>
      <c r="F53" s="122">
        <v>1.2542</v>
      </c>
      <c r="G53" s="122">
        <v>-1.3</v>
      </c>
      <c r="H53" s="55">
        <v>48</v>
      </c>
      <c r="I53" s="63">
        <v>0.05</v>
      </c>
      <c r="J53" s="45">
        <f t="shared" si="9"/>
        <v>0</v>
      </c>
      <c r="K53" s="46">
        <f t="shared" si="10"/>
        <v>100</v>
      </c>
      <c r="L53" s="45">
        <f t="shared" si="11"/>
        <v>0</v>
      </c>
      <c r="M53" s="45" t="e">
        <f t="shared" si="12"/>
        <v>#N/A</v>
      </c>
      <c r="N53" s="45">
        <f t="shared" si="13"/>
        <v>0.4</v>
      </c>
      <c r="O53" s="78" t="e">
        <f t="shared" si="16"/>
        <v>#N/A</v>
      </c>
      <c r="P53" s="45" t="e">
        <f t="shared" si="14"/>
        <v>#N/A</v>
      </c>
      <c r="Q53" s="45">
        <f t="shared" si="17"/>
        <v>6.3</v>
      </c>
      <c r="R53" s="12" t="e">
        <f t="shared" si="15"/>
        <v>#N/A</v>
      </c>
    </row>
    <row r="54" spans="1:18" ht="15">
      <c r="A54" s="19">
        <v>5200</v>
      </c>
      <c r="B54" s="144">
        <v>434.2</v>
      </c>
      <c r="C54" s="63">
        <v>22.9</v>
      </c>
      <c r="D54" s="63">
        <v>0.9</v>
      </c>
      <c r="E54" s="53">
        <v>1110.9000000000001</v>
      </c>
      <c r="F54" s="125">
        <v>1.2794000000000001</v>
      </c>
      <c r="G54" s="125">
        <v>-1.335</v>
      </c>
      <c r="H54" s="55">
        <v>47.7</v>
      </c>
      <c r="I54" s="63">
        <v>0.05</v>
      </c>
      <c r="J54" s="45">
        <f t="shared" si="9"/>
        <v>0</v>
      </c>
      <c r="K54" s="10">
        <f t="shared" si="10"/>
        <v>100</v>
      </c>
      <c r="L54" s="45">
        <f t="shared" si="11"/>
        <v>0</v>
      </c>
      <c r="M54" s="45" t="e">
        <f t="shared" si="12"/>
        <v>#N/A</v>
      </c>
      <c r="N54" s="45">
        <f t="shared" si="13"/>
        <v>0.4</v>
      </c>
      <c r="O54" s="79" t="e">
        <f t="shared" si="16"/>
        <v>#N/A</v>
      </c>
      <c r="P54" s="45" t="e">
        <f t="shared" si="14"/>
        <v>#N/A</v>
      </c>
      <c r="Q54" s="45">
        <f t="shared" si="17"/>
        <v>6.3</v>
      </c>
      <c r="R54" s="47" t="e">
        <f t="shared" si="15"/>
        <v>#N/A</v>
      </c>
    </row>
    <row r="55" spans="1:18" ht="15">
      <c r="A55" s="19">
        <v>5300</v>
      </c>
      <c r="B55" s="28">
        <v>447.8</v>
      </c>
      <c r="C55" s="28">
        <v>23.5</v>
      </c>
      <c r="D55" s="28">
        <v>0.9</v>
      </c>
      <c r="E55" s="28">
        <v>1097.2</v>
      </c>
      <c r="F55" s="122">
        <v>1.3046</v>
      </c>
      <c r="G55" s="122">
        <v>-1.37</v>
      </c>
      <c r="H55" s="146">
        <v>47.4</v>
      </c>
      <c r="I55" s="22">
        <v>0.05</v>
      </c>
    </row>
    <row r="56" spans="1:18" ht="15">
      <c r="A56" s="19">
        <v>5400</v>
      </c>
      <c r="B56" s="28">
        <v>462</v>
      </c>
      <c r="C56" s="28">
        <v>24.2</v>
      </c>
      <c r="D56" s="28">
        <v>0.9</v>
      </c>
      <c r="E56" s="28">
        <v>1082.9000000000001</v>
      </c>
      <c r="F56" s="125">
        <v>1.3298000000000001</v>
      </c>
      <c r="G56" s="125">
        <v>-1.405</v>
      </c>
      <c r="H56" s="146">
        <v>47</v>
      </c>
      <c r="I56" s="22">
        <v>0.05</v>
      </c>
    </row>
    <row r="57" spans="1:18" ht="15">
      <c r="A57" s="18">
        <v>5500</v>
      </c>
      <c r="B57" s="29">
        <v>476.8</v>
      </c>
      <c r="C57" s="29">
        <v>24.9</v>
      </c>
      <c r="D57" s="29">
        <v>0.9</v>
      </c>
      <c r="E57" s="29">
        <v>1067.9000000000001</v>
      </c>
      <c r="F57" s="29">
        <v>1.355</v>
      </c>
      <c r="G57" s="29">
        <v>-1.44</v>
      </c>
      <c r="H57" s="71">
        <v>46.6</v>
      </c>
      <c r="I57" s="23">
        <v>0.05</v>
      </c>
    </row>
    <row r="58" spans="1:18" ht="15">
      <c r="A58" s="19">
        <v>5600</v>
      </c>
      <c r="B58" s="28">
        <v>492.4</v>
      </c>
      <c r="C58" s="32">
        <v>25.6</v>
      </c>
      <c r="D58" s="28">
        <v>0.8</v>
      </c>
      <c r="E58" s="28">
        <v>1052.0999999999999</v>
      </c>
      <c r="F58" s="122">
        <v>1.4088000000000001</v>
      </c>
      <c r="G58" s="53">
        <v>-1.5438000000000001</v>
      </c>
      <c r="H58" s="146">
        <v>46.2</v>
      </c>
      <c r="I58" s="22">
        <v>0.05</v>
      </c>
    </row>
    <row r="59" spans="1:18" ht="15">
      <c r="A59" s="19">
        <v>5700</v>
      </c>
      <c r="B59" s="28">
        <v>509</v>
      </c>
      <c r="C59" s="32">
        <v>26.3</v>
      </c>
      <c r="D59" s="28">
        <v>0.8</v>
      </c>
      <c r="E59" s="28">
        <v>1035.5</v>
      </c>
      <c r="F59" s="122">
        <v>1.4625999999999999</v>
      </c>
      <c r="G59" s="53">
        <v>-1.6476</v>
      </c>
      <c r="H59" s="146">
        <v>45.8</v>
      </c>
      <c r="I59" s="22">
        <v>0.05</v>
      </c>
    </row>
    <row r="60" spans="1:18" ht="15">
      <c r="A60" s="19">
        <v>5800</v>
      </c>
      <c r="B60" s="28">
        <v>526.6</v>
      </c>
      <c r="C60" s="32">
        <v>27.1</v>
      </c>
      <c r="D60" s="28">
        <v>0.8</v>
      </c>
      <c r="E60" s="28">
        <v>1017.7</v>
      </c>
      <c r="F60" s="122">
        <v>1.5164</v>
      </c>
      <c r="G60" s="53">
        <v>-1.7514000000000001</v>
      </c>
      <c r="H60" s="146">
        <v>45.3</v>
      </c>
      <c r="I60" s="22">
        <v>0.05</v>
      </c>
    </row>
    <row r="61" spans="1:18" ht="15">
      <c r="A61" s="19">
        <v>5900</v>
      </c>
      <c r="B61" s="28">
        <v>545.6</v>
      </c>
      <c r="C61" s="32">
        <v>28</v>
      </c>
      <c r="D61" s="28">
        <v>0.8</v>
      </c>
      <c r="E61" s="28">
        <v>998.6</v>
      </c>
      <c r="F61" s="122">
        <v>1.5702</v>
      </c>
      <c r="G61" s="53">
        <v>-1.8552</v>
      </c>
      <c r="H61" s="146">
        <v>44.7</v>
      </c>
      <c r="I61" s="22">
        <v>0.05</v>
      </c>
    </row>
    <row r="62" spans="1:18" ht="15">
      <c r="A62" s="18">
        <v>6000</v>
      </c>
      <c r="B62" s="29">
        <v>566.29999999999995</v>
      </c>
      <c r="C62" s="33">
        <v>28.9</v>
      </c>
      <c r="D62" s="29">
        <v>0.7</v>
      </c>
      <c r="E62" s="29">
        <v>977.8</v>
      </c>
      <c r="F62" s="29">
        <v>1.6240000000000001</v>
      </c>
      <c r="G62" s="29">
        <v>-1.9590000000000001</v>
      </c>
      <c r="H62" s="71">
        <v>44.1</v>
      </c>
      <c r="I62" s="23">
        <v>0.05</v>
      </c>
    </row>
    <row r="63" spans="1:18" ht="15">
      <c r="A63" s="62">
        <v>6100</v>
      </c>
      <c r="B63" s="28">
        <v>589.29999999999995</v>
      </c>
      <c r="C63" s="32">
        <v>29.9</v>
      </c>
      <c r="D63" s="28">
        <v>0.7</v>
      </c>
      <c r="E63" s="28">
        <v>954.6</v>
      </c>
      <c r="F63" s="149">
        <f>($E$62/E63)*$F$62</f>
        <v>1.6634686779803058</v>
      </c>
      <c r="G63" s="149">
        <f>($E$62/E63)*$G$62</f>
        <v>-2.0066103079824011</v>
      </c>
      <c r="H63" s="146">
        <v>43.4</v>
      </c>
      <c r="I63" s="63">
        <v>0.05</v>
      </c>
    </row>
    <row r="64" spans="1:18" ht="15">
      <c r="A64" s="19">
        <v>6200</v>
      </c>
      <c r="B64" s="28">
        <v>615.70000000000005</v>
      </c>
      <c r="C64" s="32">
        <v>31</v>
      </c>
      <c r="D64" s="28">
        <v>0.7</v>
      </c>
      <c r="E64" s="28">
        <v>928.1</v>
      </c>
      <c r="F64" s="149">
        <f>($E$62/E64)*$F$62</f>
        <v>1.7109656287038033</v>
      </c>
      <c r="G64" s="149">
        <f>($E$62/E64)*$G$62</f>
        <v>-2.0639049671371619</v>
      </c>
      <c r="H64" s="146">
        <v>42.6</v>
      </c>
      <c r="I64" s="63">
        <v>0.05</v>
      </c>
    </row>
    <row r="65" spans="1:9" ht="15">
      <c r="A65" s="19">
        <v>6300</v>
      </c>
      <c r="B65" s="28">
        <v>647.5</v>
      </c>
      <c r="C65" s="32">
        <v>32.4</v>
      </c>
      <c r="D65" s="28">
        <v>0.7</v>
      </c>
      <c r="E65" s="28">
        <v>896.2</v>
      </c>
      <c r="F65" s="149">
        <f>($E$62/E65)*$F$62</f>
        <v>1.7718669939745593</v>
      </c>
      <c r="G65" s="149">
        <f>($E$62/E65)*$G$62</f>
        <v>-2.1373691140370452</v>
      </c>
      <c r="H65" s="146">
        <v>41.6</v>
      </c>
      <c r="I65" s="63">
        <v>0.05</v>
      </c>
    </row>
    <row r="66" spans="1:9" ht="15">
      <c r="A66" s="51">
        <v>6400</v>
      </c>
      <c r="B66" s="30">
        <v>691</v>
      </c>
      <c r="C66" s="41">
        <v>34.1</v>
      </c>
      <c r="D66" s="30">
        <v>0.6</v>
      </c>
      <c r="E66" s="30">
        <v>852.6</v>
      </c>
      <c r="F66" s="151">
        <f>($E$62/E66)*$F$62</f>
        <v>1.8624761904761906</v>
      </c>
      <c r="G66" s="151">
        <f>($E$62/E66)*$G$62</f>
        <v>-2.2466692470091485</v>
      </c>
      <c r="H66" s="147">
        <v>40.1</v>
      </c>
      <c r="I66" s="65">
        <v>0.05</v>
      </c>
    </row>
  </sheetData>
  <sheetProtection selectLockedCells="1" selectUnlockedCells="1"/>
  <mergeCells count="4">
    <mergeCell ref="A1:I1"/>
    <mergeCell ref="J2:K2"/>
    <mergeCell ref="J16:M17"/>
    <mergeCell ref="J43:R4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M19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sqref="A1:I1"/>
    </sheetView>
  </sheetViews>
  <sheetFormatPr defaultRowHeight="14.25"/>
  <cols>
    <col min="2" max="2" width="14.75" bestFit="1" customWidth="1"/>
    <col min="4" max="4" width="17.875" bestFit="1" customWidth="1"/>
    <col min="5" max="5" width="15" bestFit="1" customWidth="1"/>
    <col min="6" max="6" width="13.25" style="166" bestFit="1" customWidth="1"/>
    <col min="7" max="7" width="13.75" bestFit="1" customWidth="1"/>
    <col min="9" max="9" width="17.875" bestFit="1" customWidth="1"/>
    <col min="11" max="11" width="10.875" bestFit="1" customWidth="1"/>
    <col min="12" max="12" width="11.25" bestFit="1" customWidth="1"/>
    <col min="13" max="13" width="10.5" bestFit="1" customWidth="1"/>
  </cols>
  <sheetData>
    <row r="1" spans="1:13" ht="26.25">
      <c r="A1" s="312" t="s">
        <v>46</v>
      </c>
      <c r="B1" s="312"/>
      <c r="C1" s="312"/>
      <c r="D1" s="312"/>
      <c r="E1" s="312"/>
      <c r="F1" s="312"/>
      <c r="G1" s="312"/>
      <c r="H1" s="312"/>
      <c r="I1" s="312"/>
    </row>
    <row r="2" spans="1:13" ht="15">
      <c r="A2" s="15" t="s">
        <v>0</v>
      </c>
      <c r="B2" s="15" t="s">
        <v>6</v>
      </c>
      <c r="C2" s="15" t="s">
        <v>1</v>
      </c>
      <c r="D2" s="15" t="s">
        <v>5</v>
      </c>
      <c r="E2" s="15" t="s">
        <v>7</v>
      </c>
      <c r="F2" s="145" t="s">
        <v>2</v>
      </c>
      <c r="G2" s="15" t="s">
        <v>3</v>
      </c>
      <c r="H2" s="145" t="s">
        <v>1</v>
      </c>
      <c r="I2" s="150" t="s">
        <v>5</v>
      </c>
      <c r="J2" s="307" t="s">
        <v>21</v>
      </c>
      <c r="K2" s="307"/>
    </row>
    <row r="3" spans="1:13" ht="15">
      <c r="A3" s="16">
        <v>100</v>
      </c>
      <c r="B3" s="21">
        <v>4.8</v>
      </c>
      <c r="C3" s="21">
        <v>0.3</v>
      </c>
      <c r="D3" s="21">
        <v>0</v>
      </c>
      <c r="E3" s="53">
        <v>0</v>
      </c>
      <c r="F3" s="75">
        <v>0</v>
      </c>
      <c r="G3" s="75">
        <v>0</v>
      </c>
      <c r="H3" s="75">
        <v>0</v>
      </c>
      <c r="I3" s="75">
        <v>0</v>
      </c>
      <c r="J3" s="159" t="s">
        <v>23</v>
      </c>
      <c r="K3" s="159" t="s">
        <v>24</v>
      </c>
    </row>
    <row r="4" spans="1:13" ht="15">
      <c r="A4" s="17">
        <v>200</v>
      </c>
      <c r="B4" s="22">
        <v>9.5</v>
      </c>
      <c r="C4" s="22">
        <v>0.6</v>
      </c>
      <c r="D4" s="22">
        <v>0</v>
      </c>
      <c r="E4" s="53">
        <v>0</v>
      </c>
      <c r="F4" s="75">
        <v>0</v>
      </c>
      <c r="G4" s="75">
        <v>0</v>
      </c>
      <c r="H4" s="75">
        <v>0</v>
      </c>
      <c r="I4" s="75">
        <v>0</v>
      </c>
      <c r="J4" s="7" t="str">
        <f>IF(K19&lt;100,"Yes",IF(K19&gt;8000,"Yes","No"))</f>
        <v>Yes</v>
      </c>
      <c r="K4" s="45" t="str">
        <f>IF(K19&lt;3795,"Yes",IF(K19&gt;8000,"Yes","No"))</f>
        <v>Yes</v>
      </c>
    </row>
    <row r="5" spans="1:13" ht="15">
      <c r="A5" s="17">
        <v>300</v>
      </c>
      <c r="B5" s="22">
        <v>14.4</v>
      </c>
      <c r="C5" s="22">
        <v>0.9</v>
      </c>
      <c r="D5" s="22">
        <v>0</v>
      </c>
      <c r="E5" s="53">
        <v>0</v>
      </c>
      <c r="F5" s="75">
        <v>0</v>
      </c>
      <c r="G5" s="75">
        <v>0</v>
      </c>
      <c r="H5" s="75">
        <v>0</v>
      </c>
      <c r="I5" s="75">
        <v>0</v>
      </c>
      <c r="J5" s="7" t="str">
        <f t="shared" ref="J5:J13" si="0">IF(K20&lt;100,"Yes",IF(K20&gt;8000,"Yes","No"))</f>
        <v>Yes</v>
      </c>
      <c r="K5" s="45" t="str">
        <f t="shared" ref="K5:K13" si="1">IF(K20&lt;3795,"Yes",IF(K20&gt;8000,"Yes","No"))</f>
        <v>Yes</v>
      </c>
    </row>
    <row r="6" spans="1:13" ht="15">
      <c r="A6" s="17">
        <v>400</v>
      </c>
      <c r="B6" s="22">
        <v>19.2</v>
      </c>
      <c r="C6" s="22">
        <v>1.2</v>
      </c>
      <c r="D6" s="22">
        <v>0</v>
      </c>
      <c r="E6" s="53">
        <v>0</v>
      </c>
      <c r="F6" s="75">
        <v>0</v>
      </c>
      <c r="G6" s="75">
        <v>0</v>
      </c>
      <c r="H6" s="75">
        <v>0</v>
      </c>
      <c r="I6" s="75">
        <v>0</v>
      </c>
      <c r="J6" s="7" t="str">
        <f t="shared" si="0"/>
        <v>Yes</v>
      </c>
      <c r="K6" s="45" t="str">
        <f t="shared" si="1"/>
        <v>Yes</v>
      </c>
    </row>
    <row r="7" spans="1:13" ht="15">
      <c r="A7" s="18">
        <v>500</v>
      </c>
      <c r="B7" s="118">
        <v>24.1</v>
      </c>
      <c r="C7" s="23">
        <v>1.6</v>
      </c>
      <c r="D7" s="23">
        <v>0</v>
      </c>
      <c r="E7" s="29">
        <v>0</v>
      </c>
      <c r="F7" s="74">
        <v>0</v>
      </c>
      <c r="G7" s="74">
        <v>0</v>
      </c>
      <c r="H7" s="74">
        <v>0</v>
      </c>
      <c r="I7" s="74">
        <v>0</v>
      </c>
      <c r="J7" s="7" t="str">
        <f t="shared" si="0"/>
        <v>Yes</v>
      </c>
      <c r="K7" s="45" t="str">
        <f t="shared" si="1"/>
        <v>Yes</v>
      </c>
    </row>
    <row r="8" spans="1:13" ht="15">
      <c r="A8" s="17">
        <v>600</v>
      </c>
      <c r="B8" s="119">
        <v>29</v>
      </c>
      <c r="C8" s="22">
        <v>1.9</v>
      </c>
      <c r="D8" s="22">
        <v>1.0900000000000001</v>
      </c>
      <c r="E8" s="53">
        <v>0</v>
      </c>
      <c r="F8" s="75">
        <v>0</v>
      </c>
      <c r="G8" s="75">
        <v>0</v>
      </c>
      <c r="H8" s="75">
        <v>0</v>
      </c>
      <c r="I8" s="75">
        <v>0</v>
      </c>
      <c r="J8" s="7" t="str">
        <f t="shared" si="0"/>
        <v>Yes</v>
      </c>
      <c r="K8" s="45" t="str">
        <f t="shared" si="1"/>
        <v>Yes</v>
      </c>
    </row>
    <row r="9" spans="1:13" ht="15">
      <c r="A9" s="17">
        <v>700</v>
      </c>
      <c r="B9" s="119">
        <v>34</v>
      </c>
      <c r="C9" s="22">
        <v>2.2000000000000002</v>
      </c>
      <c r="D9" s="22">
        <v>0.93</v>
      </c>
      <c r="E9" s="53">
        <v>0</v>
      </c>
      <c r="F9" s="75">
        <v>0</v>
      </c>
      <c r="G9" s="75">
        <v>0</v>
      </c>
      <c r="H9" s="75">
        <v>0</v>
      </c>
      <c r="I9" s="75">
        <v>0</v>
      </c>
      <c r="J9" s="7" t="str">
        <f t="shared" si="0"/>
        <v>Yes</v>
      </c>
      <c r="K9" s="45" t="str">
        <f t="shared" si="1"/>
        <v>Yes</v>
      </c>
    </row>
    <row r="10" spans="1:13" ht="15">
      <c r="A10" s="17">
        <v>800</v>
      </c>
      <c r="B10" s="119">
        <v>39</v>
      </c>
      <c r="C10" s="22">
        <v>2.5</v>
      </c>
      <c r="D10" s="22">
        <v>0.82</v>
      </c>
      <c r="E10" s="53">
        <v>0</v>
      </c>
      <c r="F10" s="75">
        <v>0</v>
      </c>
      <c r="G10" s="75">
        <v>0</v>
      </c>
      <c r="H10" s="75">
        <v>0</v>
      </c>
      <c r="I10" s="75">
        <v>0</v>
      </c>
      <c r="J10" s="7" t="str">
        <f t="shared" si="0"/>
        <v>Yes</v>
      </c>
      <c r="K10" s="45" t="str">
        <f t="shared" si="1"/>
        <v>Yes</v>
      </c>
    </row>
    <row r="11" spans="1:13" ht="15">
      <c r="A11" s="17">
        <v>900</v>
      </c>
      <c r="B11" s="119">
        <v>44.1</v>
      </c>
      <c r="C11" s="22">
        <v>2.8</v>
      </c>
      <c r="D11" s="22">
        <v>0.72</v>
      </c>
      <c r="E11" s="53">
        <v>0</v>
      </c>
      <c r="F11" s="75">
        <v>0</v>
      </c>
      <c r="G11" s="75">
        <v>0</v>
      </c>
      <c r="H11" s="75">
        <v>0</v>
      </c>
      <c r="I11" s="75">
        <v>0</v>
      </c>
      <c r="J11" s="7" t="str">
        <f t="shared" si="0"/>
        <v>Yes</v>
      </c>
      <c r="K11" s="45" t="str">
        <f t="shared" si="1"/>
        <v>Yes</v>
      </c>
    </row>
    <row r="12" spans="1:13" ht="15">
      <c r="A12" s="18">
        <v>1000</v>
      </c>
      <c r="B12" s="120">
        <v>49.2</v>
      </c>
      <c r="C12" s="23">
        <v>3.2</v>
      </c>
      <c r="D12" s="23">
        <v>0.65</v>
      </c>
      <c r="E12" s="29">
        <v>0</v>
      </c>
      <c r="F12" s="74">
        <v>0</v>
      </c>
      <c r="G12" s="74">
        <v>0</v>
      </c>
      <c r="H12" s="74">
        <v>0</v>
      </c>
      <c r="I12" s="74">
        <v>0</v>
      </c>
      <c r="J12" s="7" t="str">
        <f t="shared" si="0"/>
        <v>Yes</v>
      </c>
      <c r="K12" s="45" t="str">
        <f t="shared" si="1"/>
        <v>Yes</v>
      </c>
    </row>
    <row r="13" spans="1:13" ht="15">
      <c r="A13" s="17">
        <v>1100</v>
      </c>
      <c r="B13" s="119">
        <v>54.3</v>
      </c>
      <c r="C13" s="22">
        <v>3.5</v>
      </c>
      <c r="D13" s="22">
        <v>0.59</v>
      </c>
      <c r="E13" s="53">
        <v>0</v>
      </c>
      <c r="F13" s="75">
        <v>0</v>
      </c>
      <c r="G13" s="75">
        <v>0</v>
      </c>
      <c r="H13" s="75">
        <v>0</v>
      </c>
      <c r="I13" s="75">
        <v>0</v>
      </c>
      <c r="J13" s="7" t="str">
        <f t="shared" si="0"/>
        <v>Yes</v>
      </c>
      <c r="K13" s="45" t="str">
        <f t="shared" si="1"/>
        <v>Yes</v>
      </c>
    </row>
    <row r="14" spans="1:13" ht="15">
      <c r="A14" s="17">
        <v>1200</v>
      </c>
      <c r="B14" s="119">
        <v>59.5</v>
      </c>
      <c r="C14" s="22">
        <v>3.8</v>
      </c>
      <c r="D14" s="22">
        <v>0.54</v>
      </c>
      <c r="E14" s="53">
        <v>0</v>
      </c>
      <c r="F14" s="75">
        <v>0</v>
      </c>
      <c r="G14" s="75">
        <v>0</v>
      </c>
      <c r="H14" s="75">
        <v>0</v>
      </c>
      <c r="I14" s="75">
        <v>0</v>
      </c>
    </row>
    <row r="15" spans="1:13" ht="15.75" thickBot="1">
      <c r="A15" s="17">
        <v>1300</v>
      </c>
      <c r="B15" s="119">
        <v>64.7</v>
      </c>
      <c r="C15" s="22">
        <v>4.2</v>
      </c>
      <c r="D15" s="22">
        <v>0.5</v>
      </c>
      <c r="E15" s="53">
        <v>0</v>
      </c>
      <c r="F15" s="75">
        <v>0</v>
      </c>
      <c r="G15" s="75">
        <v>0</v>
      </c>
      <c r="H15" s="75">
        <v>0</v>
      </c>
      <c r="I15" s="75">
        <v>0</v>
      </c>
    </row>
    <row r="16" spans="1:13" ht="15">
      <c r="A16" s="17">
        <v>1400</v>
      </c>
      <c r="B16" s="119">
        <v>70</v>
      </c>
      <c r="C16" s="22">
        <v>4.5</v>
      </c>
      <c r="D16" s="22">
        <v>0.46</v>
      </c>
      <c r="E16" s="53">
        <v>0</v>
      </c>
      <c r="F16" s="75">
        <v>0</v>
      </c>
      <c r="G16" s="75">
        <v>0</v>
      </c>
      <c r="H16" s="75">
        <v>0</v>
      </c>
      <c r="I16" s="75">
        <v>0</v>
      </c>
      <c r="J16" s="308" t="s">
        <v>15</v>
      </c>
      <c r="K16" s="309"/>
      <c r="L16" s="309"/>
      <c r="M16" s="310"/>
    </row>
    <row r="17" spans="1:16" ht="15.75" thickBot="1">
      <c r="A17" s="18">
        <v>1500</v>
      </c>
      <c r="B17" s="120">
        <v>75.3</v>
      </c>
      <c r="C17" s="120">
        <v>4.8</v>
      </c>
      <c r="D17" s="120">
        <v>0.43</v>
      </c>
      <c r="E17" s="29">
        <v>0</v>
      </c>
      <c r="F17" s="74">
        <v>0</v>
      </c>
      <c r="G17" s="74">
        <v>0</v>
      </c>
      <c r="H17" s="74">
        <v>0</v>
      </c>
      <c r="I17" s="74">
        <v>0</v>
      </c>
      <c r="J17" s="311"/>
      <c r="K17" s="286"/>
      <c r="L17" s="286"/>
      <c r="M17" s="287"/>
    </row>
    <row r="18" spans="1:16" ht="15">
      <c r="A18" s="17">
        <v>1600</v>
      </c>
      <c r="B18" s="119">
        <v>80.599999999999994</v>
      </c>
      <c r="C18" s="119">
        <v>5.2</v>
      </c>
      <c r="D18" s="63">
        <v>0.4</v>
      </c>
      <c r="E18" s="53">
        <v>0</v>
      </c>
      <c r="F18" s="75">
        <v>0</v>
      </c>
      <c r="G18" s="75">
        <v>0</v>
      </c>
      <c r="H18" s="75">
        <v>0</v>
      </c>
      <c r="I18" s="75">
        <v>0</v>
      </c>
      <c r="J18" s="96" t="s">
        <v>12</v>
      </c>
      <c r="K18" s="94" t="s">
        <v>38</v>
      </c>
      <c r="L18" s="96" t="s">
        <v>39</v>
      </c>
      <c r="M18" s="95" t="s">
        <v>22</v>
      </c>
    </row>
    <row r="19" spans="1:16" ht="15">
      <c r="A19" s="17">
        <v>1700</v>
      </c>
      <c r="B19" s="22">
        <v>86</v>
      </c>
      <c r="C19" s="22">
        <v>5.5</v>
      </c>
      <c r="D19" s="22">
        <v>0.38</v>
      </c>
      <c r="E19" s="53">
        <v>0</v>
      </c>
      <c r="F19" s="75">
        <v>0</v>
      </c>
      <c r="G19" s="75">
        <v>0</v>
      </c>
      <c r="H19" s="75">
        <v>0</v>
      </c>
      <c r="I19" s="75">
        <v>0</v>
      </c>
      <c r="J19" s="97">
        <v>1</v>
      </c>
      <c r="K19" s="110">
        <f>'1 HE'!K19</f>
        <v>0</v>
      </c>
      <c r="L19" s="108">
        <f>INPUT!C5</f>
        <v>0</v>
      </c>
      <c r="M19" s="111" t="str">
        <f>INPUT!D5</f>
        <v>L/A</v>
      </c>
    </row>
    <row r="20" spans="1:16" ht="15">
      <c r="A20" s="17">
        <v>1800</v>
      </c>
      <c r="B20" s="63">
        <v>91.4</v>
      </c>
      <c r="C20" s="63">
        <v>5.9</v>
      </c>
      <c r="D20" s="22">
        <v>0.35</v>
      </c>
      <c r="E20" s="53">
        <v>0</v>
      </c>
      <c r="F20" s="75">
        <v>0</v>
      </c>
      <c r="G20" s="75">
        <v>0</v>
      </c>
      <c r="H20" s="75">
        <v>0</v>
      </c>
      <c r="I20" s="75">
        <v>0</v>
      </c>
      <c r="J20" s="97">
        <v>2</v>
      </c>
      <c r="K20" s="110">
        <f>'1 HE'!K20</f>
        <v>0</v>
      </c>
      <c r="L20" s="108">
        <f>INPUT!C6</f>
        <v>0</v>
      </c>
      <c r="M20" s="112" t="str">
        <f t="shared" ref="M20:M28" si="2">M19</f>
        <v>L/A</v>
      </c>
    </row>
    <row r="21" spans="1:16" ht="15">
      <c r="A21" s="17">
        <v>1900</v>
      </c>
      <c r="B21" s="22">
        <v>96.9</v>
      </c>
      <c r="C21" s="22">
        <v>6.2</v>
      </c>
      <c r="D21" s="22">
        <v>0.33</v>
      </c>
      <c r="E21" s="53">
        <v>0</v>
      </c>
      <c r="F21" s="75">
        <v>0</v>
      </c>
      <c r="G21" s="75">
        <v>0</v>
      </c>
      <c r="H21" s="75">
        <v>0</v>
      </c>
      <c r="I21" s="75">
        <v>0</v>
      </c>
      <c r="J21" s="97">
        <v>3</v>
      </c>
      <c r="K21" s="110">
        <f>'1 HE'!K21</f>
        <v>0</v>
      </c>
      <c r="L21" s="108">
        <f>INPUT!C7</f>
        <v>0</v>
      </c>
      <c r="M21" s="112" t="str">
        <f t="shared" si="2"/>
        <v>L/A</v>
      </c>
    </row>
    <row r="22" spans="1:16" ht="15">
      <c r="A22" s="18">
        <v>2000</v>
      </c>
      <c r="B22" s="23">
        <v>102.5</v>
      </c>
      <c r="C22" s="23">
        <v>6.5</v>
      </c>
      <c r="D22" s="23">
        <v>0.32</v>
      </c>
      <c r="E22" s="29">
        <v>0</v>
      </c>
      <c r="F22" s="74">
        <v>0</v>
      </c>
      <c r="G22" s="74">
        <v>0</v>
      </c>
      <c r="H22" s="74">
        <v>0</v>
      </c>
      <c r="I22" s="74">
        <v>0</v>
      </c>
      <c r="J22" s="97">
        <v>4</v>
      </c>
      <c r="K22" s="110">
        <f>'1 HE'!K22</f>
        <v>0</v>
      </c>
      <c r="L22" s="108">
        <f>INPUT!C8</f>
        <v>0</v>
      </c>
      <c r="M22" s="112" t="str">
        <f t="shared" si="2"/>
        <v>L/A</v>
      </c>
    </row>
    <row r="23" spans="1:16" ht="15">
      <c r="A23" s="17">
        <v>2100</v>
      </c>
      <c r="B23" s="63">
        <v>108</v>
      </c>
      <c r="C23" s="63">
        <v>6.9</v>
      </c>
      <c r="D23" s="63">
        <v>0.3</v>
      </c>
      <c r="E23" s="53">
        <v>0</v>
      </c>
      <c r="F23" s="75">
        <v>0</v>
      </c>
      <c r="G23" s="75">
        <v>0</v>
      </c>
      <c r="H23" s="75">
        <v>0</v>
      </c>
      <c r="I23" s="75">
        <v>0</v>
      </c>
      <c r="J23" s="97">
        <v>5</v>
      </c>
      <c r="K23" s="110">
        <f>'1 HE'!K23</f>
        <v>0</v>
      </c>
      <c r="L23" s="108">
        <f>INPUT!C9</f>
        <v>0</v>
      </c>
      <c r="M23" s="112" t="str">
        <f t="shared" si="2"/>
        <v>L/A</v>
      </c>
    </row>
    <row r="24" spans="1:16" ht="15">
      <c r="A24" s="17">
        <v>2200</v>
      </c>
      <c r="B24" s="63">
        <v>113.6</v>
      </c>
      <c r="C24" s="63">
        <v>7.2</v>
      </c>
      <c r="D24" s="63">
        <v>0.28999999999999998</v>
      </c>
      <c r="E24" s="53">
        <v>0</v>
      </c>
      <c r="F24" s="75">
        <v>0</v>
      </c>
      <c r="G24" s="75">
        <v>0</v>
      </c>
      <c r="H24" s="75">
        <v>0</v>
      </c>
      <c r="I24" s="75">
        <v>0</v>
      </c>
      <c r="J24" s="97">
        <v>6</v>
      </c>
      <c r="K24" s="110">
        <f>'1 HE'!K24</f>
        <v>0</v>
      </c>
      <c r="L24" s="108">
        <f>INPUT!C10</f>
        <v>0</v>
      </c>
      <c r="M24" s="112" t="str">
        <f t="shared" si="2"/>
        <v>L/A</v>
      </c>
    </row>
    <row r="25" spans="1:16" ht="15">
      <c r="A25" s="17">
        <v>2300</v>
      </c>
      <c r="B25" s="63">
        <v>119.3</v>
      </c>
      <c r="C25" s="63">
        <v>7.6</v>
      </c>
      <c r="D25" s="63">
        <v>0.27</v>
      </c>
      <c r="E25" s="53">
        <v>0</v>
      </c>
      <c r="F25" s="75">
        <v>0</v>
      </c>
      <c r="G25" s="75">
        <v>0</v>
      </c>
      <c r="H25" s="75">
        <v>0</v>
      </c>
      <c r="I25" s="75">
        <v>0</v>
      </c>
      <c r="J25" s="97">
        <v>7</v>
      </c>
      <c r="K25" s="110">
        <f>'1 HE'!K25</f>
        <v>0</v>
      </c>
      <c r="L25" s="108">
        <f>INPUT!C11</f>
        <v>0</v>
      </c>
      <c r="M25" s="112" t="str">
        <f t="shared" si="2"/>
        <v>L/A</v>
      </c>
    </row>
    <row r="26" spans="1:16" ht="15">
      <c r="A26" s="17">
        <v>2400</v>
      </c>
      <c r="B26" s="63">
        <v>125</v>
      </c>
      <c r="C26" s="63">
        <v>7.9</v>
      </c>
      <c r="D26" s="63">
        <v>0.26</v>
      </c>
      <c r="E26" s="53">
        <v>0</v>
      </c>
      <c r="F26" s="75">
        <v>0</v>
      </c>
      <c r="G26" s="75">
        <v>0</v>
      </c>
      <c r="H26" s="75">
        <v>0</v>
      </c>
      <c r="I26" s="75">
        <v>0</v>
      </c>
      <c r="J26" s="97">
        <v>8</v>
      </c>
      <c r="K26" s="110">
        <f>'1 HE'!K26</f>
        <v>0</v>
      </c>
      <c r="L26" s="108">
        <f>INPUT!C12</f>
        <v>0</v>
      </c>
      <c r="M26" s="112" t="str">
        <f t="shared" si="2"/>
        <v>L/A</v>
      </c>
    </row>
    <row r="27" spans="1:16" ht="15">
      <c r="A27" s="18">
        <v>2500</v>
      </c>
      <c r="B27" s="23">
        <v>130.80000000000001</v>
      </c>
      <c r="C27" s="23">
        <v>8.3000000000000007</v>
      </c>
      <c r="D27" s="23">
        <v>0.25</v>
      </c>
      <c r="E27" s="29">
        <v>0</v>
      </c>
      <c r="F27" s="74">
        <v>0</v>
      </c>
      <c r="G27" s="74">
        <v>0</v>
      </c>
      <c r="H27" s="74">
        <v>0</v>
      </c>
      <c r="I27" s="74">
        <v>0</v>
      </c>
      <c r="J27" s="97">
        <v>9</v>
      </c>
      <c r="K27" s="110">
        <f>'1 HE'!K27</f>
        <v>0</v>
      </c>
      <c r="L27" s="108">
        <f>INPUT!C13</f>
        <v>0</v>
      </c>
      <c r="M27" s="112" t="str">
        <f t="shared" si="2"/>
        <v>L/A</v>
      </c>
    </row>
    <row r="28" spans="1:16" ht="15.75" thickBot="1">
      <c r="A28" s="17">
        <v>2600</v>
      </c>
      <c r="B28" s="28">
        <v>136.6</v>
      </c>
      <c r="C28" s="28">
        <v>8.6999999999999993</v>
      </c>
      <c r="D28" s="63">
        <v>0.24</v>
      </c>
      <c r="E28" s="53">
        <v>0</v>
      </c>
      <c r="F28" s="75">
        <v>0</v>
      </c>
      <c r="G28" s="75">
        <v>0</v>
      </c>
      <c r="H28" s="75">
        <v>0</v>
      </c>
      <c r="I28" s="75">
        <v>0</v>
      </c>
      <c r="J28" s="98">
        <v>10</v>
      </c>
      <c r="K28" s="110">
        <f>'1 HE'!K28</f>
        <v>0</v>
      </c>
      <c r="L28" s="108">
        <f>INPUT!C14</f>
        <v>0</v>
      </c>
      <c r="M28" s="113" t="str">
        <f t="shared" si="2"/>
        <v>L/A</v>
      </c>
    </row>
    <row r="29" spans="1:16" ht="15">
      <c r="A29" s="17">
        <v>2700</v>
      </c>
      <c r="B29" s="63">
        <v>142.5</v>
      </c>
      <c r="C29" s="63">
        <v>9</v>
      </c>
      <c r="D29" s="63">
        <v>0.23</v>
      </c>
      <c r="E29" s="53">
        <v>0</v>
      </c>
      <c r="F29" s="75">
        <v>0</v>
      </c>
      <c r="G29" s="75">
        <v>0</v>
      </c>
      <c r="H29" s="75">
        <v>0</v>
      </c>
      <c r="I29" s="75">
        <v>0</v>
      </c>
    </row>
    <row r="30" spans="1:16" ht="15">
      <c r="A30" s="17">
        <v>2800</v>
      </c>
      <c r="B30" s="63">
        <v>148.4</v>
      </c>
      <c r="C30" s="63">
        <v>9.4</v>
      </c>
      <c r="D30" s="63">
        <v>0.22</v>
      </c>
      <c r="E30" s="53">
        <v>0</v>
      </c>
      <c r="F30" s="75">
        <v>0</v>
      </c>
      <c r="G30" s="75">
        <v>0</v>
      </c>
      <c r="H30" s="75">
        <v>0</v>
      </c>
      <c r="I30" s="75">
        <v>0</v>
      </c>
    </row>
    <row r="31" spans="1:16" ht="15">
      <c r="A31" s="17">
        <v>2900</v>
      </c>
      <c r="B31" s="63">
        <v>154.4</v>
      </c>
      <c r="C31" s="63">
        <v>9.6999999999999993</v>
      </c>
      <c r="D31" s="63">
        <v>0.21</v>
      </c>
      <c r="E31" s="53">
        <v>0</v>
      </c>
      <c r="F31" s="75">
        <v>0</v>
      </c>
      <c r="G31" s="75">
        <v>0</v>
      </c>
      <c r="H31" s="75">
        <v>0</v>
      </c>
      <c r="I31" s="75">
        <v>0</v>
      </c>
      <c r="J31" s="42" t="s">
        <v>72</v>
      </c>
      <c r="K31" s="42" t="s">
        <v>73</v>
      </c>
      <c r="L31" s="42" t="s">
        <v>74</v>
      </c>
      <c r="M31" s="42" t="s">
        <v>88</v>
      </c>
      <c r="N31" s="138" t="s">
        <v>89</v>
      </c>
      <c r="O31" s="138" t="s">
        <v>90</v>
      </c>
    </row>
    <row r="32" spans="1:16" ht="15">
      <c r="A32" s="18">
        <v>3000</v>
      </c>
      <c r="B32" s="23">
        <v>160.4</v>
      </c>
      <c r="C32" s="23">
        <v>10.1</v>
      </c>
      <c r="D32" s="29">
        <v>0.21</v>
      </c>
      <c r="E32" s="29">
        <v>0</v>
      </c>
      <c r="F32" s="74">
        <v>0</v>
      </c>
      <c r="G32" s="74">
        <v>0</v>
      </c>
      <c r="H32" s="74">
        <v>0</v>
      </c>
      <c r="I32" s="74">
        <v>0</v>
      </c>
      <c r="J32" s="139" t="e">
        <f t="shared" ref="J32:J41" si="3">VLOOKUP(J45,$A$3:$I$83,IF(M19="L/A",4,9),FALSE)</f>
        <v>#N/A</v>
      </c>
      <c r="K32">
        <f t="shared" ref="K32:K41" si="4">VLOOKUP(K45,$A$3:$I$83,IF(M19="L/A",4,9),FALSE)</f>
        <v>0</v>
      </c>
      <c r="L32" t="e">
        <f t="shared" ref="L32:L41" si="5">IF(K19=8000,J32,((K32-J32)*L45)+J32)</f>
        <v>#N/A</v>
      </c>
      <c r="M32" s="167" t="e">
        <f>VLOOKUP((_xlfn.FLOOR.MATH(K19,500)),$A$3:$I$83,IF(L19&gt;=0,7,6),FALSE)</f>
        <v>#N/A</v>
      </c>
      <c r="N32" s="168">
        <f>VLOOKUP((_xlfn.FLOOR.MATH((K19+500),500)),$A$3:$I$83,IF(L19&gt;=0,7,6),FALSE)</f>
        <v>0</v>
      </c>
      <c r="O32" s="167" t="e">
        <f t="shared" ref="O32:O41" si="6">IF(K19=8000,M32,(((N32-M32)*((K19-(_xlfn.FLOOR.MATH(K19,500)))/500))+M32))</f>
        <v>#N/A</v>
      </c>
      <c r="P32" s="136">
        <v>1</v>
      </c>
    </row>
    <row r="33" spans="1:18" ht="15">
      <c r="A33" s="19">
        <v>3100</v>
      </c>
      <c r="B33" s="63">
        <v>166.5</v>
      </c>
      <c r="C33" s="63">
        <v>10.5</v>
      </c>
      <c r="D33" s="53">
        <v>0.2</v>
      </c>
      <c r="E33" s="53">
        <v>0</v>
      </c>
      <c r="F33" s="75">
        <v>0</v>
      </c>
      <c r="G33" s="75">
        <v>0</v>
      </c>
      <c r="H33" s="75">
        <v>0</v>
      </c>
      <c r="I33" s="75">
        <v>0</v>
      </c>
      <c r="J33" t="e">
        <f t="shared" si="3"/>
        <v>#N/A</v>
      </c>
      <c r="K33">
        <f t="shared" si="4"/>
        <v>0</v>
      </c>
      <c r="L33" t="e">
        <f t="shared" si="5"/>
        <v>#N/A</v>
      </c>
      <c r="M33" s="167" t="e">
        <f t="shared" ref="M33:M41" si="7">VLOOKUP((_xlfn.FLOOR.MATH(K20,500)),$A$3:$I$83,IF(L20&gt;=0,7,6),FALSE)</f>
        <v>#N/A</v>
      </c>
      <c r="N33" s="168">
        <f t="shared" ref="N33:N41" si="8">VLOOKUP((_xlfn.FLOOR.MATH((K20+500),500)),$A$3:$I$83,IF(L20&gt;=0,7,6),FALSE)</f>
        <v>0</v>
      </c>
      <c r="O33" s="167" t="e">
        <f>IF(K20=8000,M33,(((N33-M33)*((K20-(_xlfn.FLOOR.MATH(K20,500)))/500))+M33))</f>
        <v>#N/A</v>
      </c>
      <c r="P33" s="136">
        <v>2</v>
      </c>
    </row>
    <row r="34" spans="1:18" ht="15">
      <c r="A34" s="19">
        <v>3200</v>
      </c>
      <c r="B34" s="63">
        <v>172.7</v>
      </c>
      <c r="C34" s="63">
        <v>10.9</v>
      </c>
      <c r="D34" s="63">
        <v>0.19</v>
      </c>
      <c r="E34" s="53">
        <v>0</v>
      </c>
      <c r="F34" s="75">
        <v>0</v>
      </c>
      <c r="G34" s="75">
        <v>0</v>
      </c>
      <c r="H34" s="75">
        <v>0</v>
      </c>
      <c r="I34" s="75">
        <v>0</v>
      </c>
      <c r="J34" t="e">
        <f t="shared" si="3"/>
        <v>#N/A</v>
      </c>
      <c r="K34">
        <f t="shared" si="4"/>
        <v>0</v>
      </c>
      <c r="L34" t="e">
        <f t="shared" si="5"/>
        <v>#N/A</v>
      </c>
      <c r="M34" s="167" t="e">
        <f t="shared" si="7"/>
        <v>#N/A</v>
      </c>
      <c r="N34" s="168">
        <f t="shared" si="8"/>
        <v>0</v>
      </c>
      <c r="O34" s="167" t="e">
        <f t="shared" si="6"/>
        <v>#N/A</v>
      </c>
      <c r="P34" s="136">
        <v>3</v>
      </c>
    </row>
    <row r="35" spans="1:18" ht="15">
      <c r="A35" s="19">
        <v>3300</v>
      </c>
      <c r="B35" s="63">
        <v>178.9</v>
      </c>
      <c r="C35" s="63">
        <v>11.2</v>
      </c>
      <c r="D35" s="63">
        <v>0.19</v>
      </c>
      <c r="E35" s="53">
        <v>0</v>
      </c>
      <c r="F35" s="75">
        <v>0</v>
      </c>
      <c r="G35" s="75">
        <v>0</v>
      </c>
      <c r="H35" s="75">
        <v>0</v>
      </c>
      <c r="I35" s="75">
        <v>0</v>
      </c>
      <c r="J35" t="e">
        <f t="shared" si="3"/>
        <v>#N/A</v>
      </c>
      <c r="K35">
        <f t="shared" si="4"/>
        <v>0</v>
      </c>
      <c r="L35" t="e">
        <f t="shared" si="5"/>
        <v>#N/A</v>
      </c>
      <c r="M35" s="167" t="e">
        <f t="shared" si="7"/>
        <v>#N/A</v>
      </c>
      <c r="N35" s="168">
        <f t="shared" si="8"/>
        <v>0</v>
      </c>
      <c r="O35" s="167" t="e">
        <f t="shared" si="6"/>
        <v>#N/A</v>
      </c>
      <c r="P35" s="136">
        <v>4</v>
      </c>
    </row>
    <row r="36" spans="1:18" ht="15">
      <c r="A36" s="19">
        <v>3400</v>
      </c>
      <c r="B36" s="63">
        <v>185.1</v>
      </c>
      <c r="C36" s="63">
        <v>1.8333333333333333</v>
      </c>
      <c r="D36" s="63">
        <v>0.18</v>
      </c>
      <c r="E36" s="53">
        <v>0</v>
      </c>
      <c r="F36" s="75">
        <v>0</v>
      </c>
      <c r="G36" s="75">
        <v>0</v>
      </c>
      <c r="H36" s="75">
        <v>0</v>
      </c>
      <c r="I36" s="75">
        <v>0</v>
      </c>
      <c r="J36" t="e">
        <f t="shared" si="3"/>
        <v>#N/A</v>
      </c>
      <c r="K36">
        <f t="shared" si="4"/>
        <v>0</v>
      </c>
      <c r="L36" t="e">
        <f t="shared" si="5"/>
        <v>#N/A</v>
      </c>
      <c r="M36" s="167" t="e">
        <f t="shared" si="7"/>
        <v>#N/A</v>
      </c>
      <c r="N36" s="168">
        <f t="shared" si="8"/>
        <v>0</v>
      </c>
      <c r="O36" s="167" t="e">
        <f t="shared" si="6"/>
        <v>#N/A</v>
      </c>
      <c r="P36" s="136">
        <v>5</v>
      </c>
    </row>
    <row r="37" spans="1:18" ht="15">
      <c r="A37" s="18">
        <v>3500</v>
      </c>
      <c r="B37" s="23">
        <v>191.5</v>
      </c>
      <c r="C37" s="23">
        <v>12</v>
      </c>
      <c r="D37" s="23">
        <v>0.17</v>
      </c>
      <c r="E37" s="29">
        <v>0</v>
      </c>
      <c r="F37" s="74">
        <v>0</v>
      </c>
      <c r="G37" s="74">
        <v>0</v>
      </c>
      <c r="H37" s="74">
        <v>0</v>
      </c>
      <c r="I37" s="74">
        <v>0</v>
      </c>
      <c r="J37" t="e">
        <f t="shared" si="3"/>
        <v>#N/A</v>
      </c>
      <c r="K37">
        <f t="shared" si="4"/>
        <v>0</v>
      </c>
      <c r="L37" t="e">
        <f t="shared" si="5"/>
        <v>#N/A</v>
      </c>
      <c r="M37" s="167" t="e">
        <f t="shared" si="7"/>
        <v>#N/A</v>
      </c>
      <c r="N37" s="168">
        <f t="shared" si="8"/>
        <v>0</v>
      </c>
      <c r="O37" s="167" t="e">
        <f t="shared" si="6"/>
        <v>#N/A</v>
      </c>
      <c r="P37" s="136">
        <v>6</v>
      </c>
    </row>
    <row r="38" spans="1:18" ht="15">
      <c r="A38" s="19">
        <v>3600</v>
      </c>
      <c r="B38" s="53">
        <v>197.9</v>
      </c>
      <c r="C38" s="53">
        <v>12.4</v>
      </c>
      <c r="D38" s="63">
        <v>0.17</v>
      </c>
      <c r="E38" s="53">
        <v>0</v>
      </c>
      <c r="F38" s="75">
        <v>0</v>
      </c>
      <c r="G38" s="75">
        <v>0</v>
      </c>
      <c r="H38" s="75">
        <v>0</v>
      </c>
      <c r="I38" s="75">
        <v>0</v>
      </c>
      <c r="J38" t="e">
        <f t="shared" si="3"/>
        <v>#N/A</v>
      </c>
      <c r="K38">
        <f t="shared" si="4"/>
        <v>0</v>
      </c>
      <c r="L38" t="e">
        <f t="shared" si="5"/>
        <v>#N/A</v>
      </c>
      <c r="M38" s="167" t="e">
        <f t="shared" si="7"/>
        <v>#N/A</v>
      </c>
      <c r="N38" s="168">
        <f t="shared" si="8"/>
        <v>0</v>
      </c>
      <c r="O38" s="167" t="e">
        <f t="shared" si="6"/>
        <v>#N/A</v>
      </c>
      <c r="P38" s="136">
        <v>7</v>
      </c>
    </row>
    <row r="39" spans="1:18" ht="15">
      <c r="A39" s="19">
        <v>3700</v>
      </c>
      <c r="B39" s="63">
        <v>204.4</v>
      </c>
      <c r="C39" s="63">
        <v>12.8</v>
      </c>
      <c r="D39" s="63">
        <v>0.16</v>
      </c>
      <c r="E39" s="165">
        <v>1325</v>
      </c>
      <c r="F39" s="55"/>
      <c r="G39" s="122"/>
      <c r="H39" s="63">
        <v>59.2</v>
      </c>
      <c r="I39" s="63">
        <v>0.04</v>
      </c>
      <c r="J39" t="e">
        <f t="shared" si="3"/>
        <v>#N/A</v>
      </c>
      <c r="K39">
        <f t="shared" si="4"/>
        <v>0</v>
      </c>
      <c r="L39" t="e">
        <f t="shared" si="5"/>
        <v>#N/A</v>
      </c>
      <c r="M39" s="167" t="e">
        <f t="shared" si="7"/>
        <v>#N/A</v>
      </c>
      <c r="N39" s="168">
        <f t="shared" si="8"/>
        <v>0</v>
      </c>
      <c r="O39" s="167" t="e">
        <f t="shared" si="6"/>
        <v>#N/A</v>
      </c>
      <c r="P39" s="136">
        <v>8</v>
      </c>
    </row>
    <row r="40" spans="1:18" ht="15">
      <c r="A40" s="19">
        <v>3800</v>
      </c>
      <c r="B40" s="63">
        <v>210.9</v>
      </c>
      <c r="C40" s="63">
        <v>13.2</v>
      </c>
      <c r="D40" s="63">
        <v>0.16</v>
      </c>
      <c r="E40" s="53">
        <v>1324.8</v>
      </c>
      <c r="F40" s="55"/>
      <c r="G40" s="122"/>
      <c r="H40" s="63">
        <v>59.2</v>
      </c>
      <c r="I40" s="63">
        <v>0.04</v>
      </c>
      <c r="J40" t="e">
        <f t="shared" si="3"/>
        <v>#N/A</v>
      </c>
      <c r="K40">
        <f t="shared" si="4"/>
        <v>0</v>
      </c>
      <c r="L40" t="e">
        <f t="shared" si="5"/>
        <v>#N/A</v>
      </c>
      <c r="M40" s="167" t="e">
        <f t="shared" si="7"/>
        <v>#N/A</v>
      </c>
      <c r="N40" s="168">
        <f t="shared" si="8"/>
        <v>0</v>
      </c>
      <c r="O40" s="167" t="e">
        <f t="shared" si="6"/>
        <v>#N/A</v>
      </c>
      <c r="P40" s="136">
        <v>9</v>
      </c>
    </row>
    <row r="41" spans="1:18" ht="15">
      <c r="A41" s="19">
        <v>3900</v>
      </c>
      <c r="B41" s="63">
        <v>217.5</v>
      </c>
      <c r="C41" s="63">
        <v>13.6</v>
      </c>
      <c r="D41" s="63">
        <v>0.15</v>
      </c>
      <c r="E41" s="53">
        <v>1319.5</v>
      </c>
      <c r="F41" s="55"/>
      <c r="G41" s="122"/>
      <c r="H41" s="63">
        <v>59</v>
      </c>
      <c r="I41" s="63">
        <v>0.04</v>
      </c>
      <c r="J41" t="e">
        <f t="shared" si="3"/>
        <v>#N/A</v>
      </c>
      <c r="K41">
        <f t="shared" si="4"/>
        <v>0</v>
      </c>
      <c r="L41" t="e">
        <f t="shared" si="5"/>
        <v>#N/A</v>
      </c>
      <c r="M41" s="167" t="e">
        <f t="shared" si="7"/>
        <v>#N/A</v>
      </c>
      <c r="N41" s="168">
        <f t="shared" si="8"/>
        <v>0</v>
      </c>
      <c r="O41" s="167" t="e">
        <f t="shared" si="6"/>
        <v>#N/A</v>
      </c>
      <c r="P41" s="136">
        <v>10</v>
      </c>
    </row>
    <row r="42" spans="1:18" ht="15">
      <c r="A42" s="18">
        <v>4000</v>
      </c>
      <c r="B42" s="23">
        <v>224.2</v>
      </c>
      <c r="C42" s="23">
        <v>14</v>
      </c>
      <c r="D42" s="23">
        <v>0.15</v>
      </c>
      <c r="E42" s="29">
        <v>1313.9</v>
      </c>
      <c r="F42" s="123">
        <v>1.0444</v>
      </c>
      <c r="G42" s="123">
        <v>-1.0469999999999999</v>
      </c>
      <c r="H42" s="23">
        <v>58.8</v>
      </c>
      <c r="I42" s="23">
        <v>0.04</v>
      </c>
    </row>
    <row r="43" spans="1:18" ht="15">
      <c r="A43" s="62">
        <v>4100</v>
      </c>
      <c r="B43" s="63">
        <v>231</v>
      </c>
      <c r="C43" s="63">
        <v>14.4</v>
      </c>
      <c r="D43" s="63">
        <v>0.15</v>
      </c>
      <c r="E43" s="53">
        <v>1308.2</v>
      </c>
      <c r="F43" s="55"/>
      <c r="G43" s="53"/>
      <c r="H43" s="63">
        <v>58.6</v>
      </c>
      <c r="I43" s="63">
        <v>0.04</v>
      </c>
      <c r="J43" s="314" t="s">
        <v>100</v>
      </c>
      <c r="K43" s="315"/>
      <c r="L43" s="315"/>
      <c r="M43" s="315"/>
      <c r="N43" s="315"/>
      <c r="O43" s="315"/>
      <c r="P43" s="315"/>
      <c r="Q43" s="315"/>
      <c r="R43" s="315"/>
    </row>
    <row r="44" spans="1:18" ht="15">
      <c r="A44" s="19">
        <v>4200</v>
      </c>
      <c r="B44" s="63">
        <v>237.8</v>
      </c>
      <c r="C44" s="63">
        <v>14.8</v>
      </c>
      <c r="D44" s="63">
        <v>0.14000000000000001</v>
      </c>
      <c r="E44" s="53">
        <v>1302.2</v>
      </c>
      <c r="F44" s="55"/>
      <c r="G44" s="122"/>
      <c r="H44" s="63">
        <v>58.4</v>
      </c>
      <c r="I44" s="63">
        <v>0.04</v>
      </c>
      <c r="J44" s="44" t="s">
        <v>17</v>
      </c>
      <c r="K44" s="44" t="s">
        <v>18</v>
      </c>
      <c r="L44" s="44" t="s">
        <v>16</v>
      </c>
      <c r="M44" s="44" t="s">
        <v>26</v>
      </c>
      <c r="N44" s="44" t="s">
        <v>27</v>
      </c>
      <c r="O44" s="77" t="s">
        <v>31</v>
      </c>
      <c r="P44" s="44" t="s">
        <v>19</v>
      </c>
      <c r="Q44" s="44" t="s">
        <v>20</v>
      </c>
      <c r="R44" s="11" t="s">
        <v>25</v>
      </c>
    </row>
    <row r="45" spans="1:18" ht="15">
      <c r="A45" s="19">
        <v>4300</v>
      </c>
      <c r="B45" s="63">
        <v>244.8</v>
      </c>
      <c r="C45" s="63">
        <v>15.2</v>
      </c>
      <c r="D45" s="63">
        <v>0.14000000000000001</v>
      </c>
      <c r="E45" s="53">
        <v>1296</v>
      </c>
      <c r="F45" s="122"/>
      <c r="G45" s="53"/>
      <c r="H45" s="63">
        <v>58.3</v>
      </c>
      <c r="I45" s="63">
        <v>0.04</v>
      </c>
      <c r="J45" s="45">
        <f t="shared" ref="J45:J54" si="9">_xlfn.FLOOR.MATH(K19,100)</f>
        <v>0</v>
      </c>
      <c r="K45" s="46">
        <f t="shared" ref="K45:K54" si="10">J45+100</f>
        <v>100</v>
      </c>
      <c r="L45" s="45">
        <f t="shared" ref="L45:L54" si="11">(K19-J45)/100</f>
        <v>0</v>
      </c>
      <c r="M45" s="45" t="e">
        <f t="shared" ref="M45:M54" si="12">VLOOKUP(J45,$A$2:$I$83,IF(M19="l/a",3,8),FALSE)</f>
        <v>#N/A</v>
      </c>
      <c r="N45" s="45">
        <f t="shared" ref="N45:N54" si="13">VLOOKUP(K45,$A$2:$I$83,IF(M19="l/a",3,8),FALSE)</f>
        <v>0.3</v>
      </c>
      <c r="O45" s="78" t="e">
        <f>IF(J45=8000,M45,(M45+((N45-M45)*L45)))</f>
        <v>#N/A</v>
      </c>
      <c r="P45" s="45" t="e">
        <f t="shared" ref="P45:P54" si="14">IF(M19="H/A",IF(K19=3795,E36,VLOOKUP(J45,$A$2:$I$83,(IF(M19="L/A",2,5)),FALSE)),VLOOKUP(J45,$A$2:$I$83,(IF(M19="L/A",2,5)),FALSE))</f>
        <v>#N/A</v>
      </c>
      <c r="Q45" s="45">
        <f t="shared" ref="Q45:Q54" si="15">VLOOKUP(K45,$A$2:$I$83,(IF(M19="L/A",2,5)),FALSE)</f>
        <v>4.8</v>
      </c>
      <c r="R45" s="12" t="e">
        <f>IF(J45=8000,P45,((Q45-P45)*L45)+P45)</f>
        <v>#N/A</v>
      </c>
    </row>
    <row r="46" spans="1:18" ht="15">
      <c r="A46" s="19">
        <v>4400</v>
      </c>
      <c r="B46" s="63">
        <v>251.8</v>
      </c>
      <c r="C46" s="63">
        <v>15.6</v>
      </c>
      <c r="D46" s="63">
        <v>0.14000000000000001</v>
      </c>
      <c r="E46" s="53">
        <v>1289.5999999999999</v>
      </c>
      <c r="F46" s="122"/>
      <c r="G46" s="122"/>
      <c r="H46" s="63">
        <v>58.1</v>
      </c>
      <c r="I46" s="63">
        <v>0.04</v>
      </c>
      <c r="J46" s="45">
        <f t="shared" si="9"/>
        <v>0</v>
      </c>
      <c r="K46" s="46">
        <f t="shared" si="10"/>
        <v>100</v>
      </c>
      <c r="L46" s="45">
        <f t="shared" si="11"/>
        <v>0</v>
      </c>
      <c r="M46" s="45" t="e">
        <f t="shared" si="12"/>
        <v>#N/A</v>
      </c>
      <c r="N46" s="45">
        <f t="shared" si="13"/>
        <v>0.3</v>
      </c>
      <c r="O46" s="78" t="e">
        <f t="shared" ref="O46:O54" si="16">IF(J46=8000,M46,(M46+((N46-M46)*L46)))</f>
        <v>#N/A</v>
      </c>
      <c r="P46" s="45" t="e">
        <f t="shared" si="14"/>
        <v>#N/A</v>
      </c>
      <c r="Q46" s="45">
        <f t="shared" si="15"/>
        <v>4.8</v>
      </c>
      <c r="R46" s="12" t="e">
        <f t="shared" ref="R46:R54" si="17">IF(J46=8000,P46,((Q46-P46)*L46)+P46)</f>
        <v>#N/A</v>
      </c>
    </row>
    <row r="47" spans="1:18" ht="15">
      <c r="A47" s="18">
        <v>4500</v>
      </c>
      <c r="B47" s="23">
        <v>259</v>
      </c>
      <c r="C47" s="23">
        <v>16</v>
      </c>
      <c r="D47" s="23">
        <v>0.13</v>
      </c>
      <c r="E47" s="29">
        <v>1283</v>
      </c>
      <c r="F47" s="123">
        <v>1.069</v>
      </c>
      <c r="G47" s="124">
        <v>-1.0740000000000001</v>
      </c>
      <c r="H47" s="23">
        <v>58</v>
      </c>
      <c r="I47" s="23">
        <v>0.04</v>
      </c>
      <c r="J47" s="45">
        <f t="shared" si="9"/>
        <v>0</v>
      </c>
      <c r="K47" s="46">
        <f t="shared" si="10"/>
        <v>100</v>
      </c>
      <c r="L47" s="45">
        <f t="shared" si="11"/>
        <v>0</v>
      </c>
      <c r="M47" s="45" t="e">
        <f t="shared" si="12"/>
        <v>#N/A</v>
      </c>
      <c r="N47" s="45">
        <f t="shared" si="13"/>
        <v>0.3</v>
      </c>
      <c r="O47" s="78" t="e">
        <f t="shared" si="16"/>
        <v>#N/A</v>
      </c>
      <c r="P47" s="45" t="e">
        <f t="shared" si="14"/>
        <v>#N/A</v>
      </c>
      <c r="Q47" s="45">
        <f t="shared" si="15"/>
        <v>4.8</v>
      </c>
      <c r="R47" s="12" t="e">
        <f t="shared" si="17"/>
        <v>#N/A</v>
      </c>
    </row>
    <row r="48" spans="1:18" ht="15">
      <c r="A48" s="19">
        <v>4600</v>
      </c>
      <c r="B48" s="63">
        <v>266.2</v>
      </c>
      <c r="C48" s="63">
        <v>16.399999999999999</v>
      </c>
      <c r="D48" s="63">
        <v>0.13</v>
      </c>
      <c r="E48" s="53">
        <v>1275.3</v>
      </c>
      <c r="F48" s="122"/>
      <c r="G48" s="125"/>
      <c r="H48" s="63">
        <v>57.8</v>
      </c>
      <c r="I48" s="63">
        <v>0.04</v>
      </c>
      <c r="J48" s="45">
        <f t="shared" si="9"/>
        <v>0</v>
      </c>
      <c r="K48" s="46">
        <f t="shared" si="10"/>
        <v>100</v>
      </c>
      <c r="L48" s="45">
        <f t="shared" si="11"/>
        <v>0</v>
      </c>
      <c r="M48" s="45" t="e">
        <f t="shared" si="12"/>
        <v>#N/A</v>
      </c>
      <c r="N48" s="45">
        <f t="shared" si="13"/>
        <v>0.3</v>
      </c>
      <c r="O48" s="78" t="e">
        <f t="shared" si="16"/>
        <v>#N/A</v>
      </c>
      <c r="P48" s="45" t="e">
        <f t="shared" si="14"/>
        <v>#N/A</v>
      </c>
      <c r="Q48" s="45">
        <f t="shared" si="15"/>
        <v>4.8</v>
      </c>
      <c r="R48" s="12" t="e">
        <f t="shared" si="17"/>
        <v>#N/A</v>
      </c>
    </row>
    <row r="49" spans="1:18" ht="15">
      <c r="A49" s="19">
        <v>4700</v>
      </c>
      <c r="B49" s="63">
        <v>273.5</v>
      </c>
      <c r="C49" s="63">
        <v>16.8</v>
      </c>
      <c r="D49" s="63">
        <v>0.13</v>
      </c>
      <c r="E49" s="53">
        <v>1269.4000000000001</v>
      </c>
      <c r="F49" s="122"/>
      <c r="G49" s="125"/>
      <c r="H49" s="63">
        <v>57.6</v>
      </c>
      <c r="I49" s="63">
        <v>0.04</v>
      </c>
      <c r="J49" s="45">
        <f t="shared" si="9"/>
        <v>0</v>
      </c>
      <c r="K49" s="46">
        <f t="shared" si="10"/>
        <v>100</v>
      </c>
      <c r="L49" s="45">
        <f t="shared" si="11"/>
        <v>0</v>
      </c>
      <c r="M49" s="45" t="e">
        <f t="shared" si="12"/>
        <v>#N/A</v>
      </c>
      <c r="N49" s="45">
        <f t="shared" si="13"/>
        <v>0.3</v>
      </c>
      <c r="O49" s="78" t="e">
        <f t="shared" si="16"/>
        <v>#N/A</v>
      </c>
      <c r="P49" s="45" t="e">
        <f t="shared" si="14"/>
        <v>#N/A</v>
      </c>
      <c r="Q49" s="45">
        <f t="shared" si="15"/>
        <v>4.8</v>
      </c>
      <c r="R49" s="12" t="e">
        <f t="shared" si="17"/>
        <v>#N/A</v>
      </c>
    </row>
    <row r="50" spans="1:18" ht="15">
      <c r="A50" s="19">
        <v>4800</v>
      </c>
      <c r="B50" s="63">
        <v>280.89999999999998</v>
      </c>
      <c r="C50" s="63">
        <v>17.3</v>
      </c>
      <c r="D50" s="63">
        <v>0.12</v>
      </c>
      <c r="E50" s="53">
        <v>1262.3</v>
      </c>
      <c r="F50" s="122"/>
      <c r="G50" s="125"/>
      <c r="H50" s="63">
        <v>57.5</v>
      </c>
      <c r="I50" s="63">
        <v>0.04</v>
      </c>
      <c r="J50" s="45">
        <f t="shared" si="9"/>
        <v>0</v>
      </c>
      <c r="K50" s="46">
        <f t="shared" si="10"/>
        <v>100</v>
      </c>
      <c r="L50" s="45">
        <f t="shared" si="11"/>
        <v>0</v>
      </c>
      <c r="M50" s="45" t="e">
        <f t="shared" si="12"/>
        <v>#N/A</v>
      </c>
      <c r="N50" s="45">
        <f t="shared" si="13"/>
        <v>0.3</v>
      </c>
      <c r="O50" s="78" t="e">
        <f t="shared" si="16"/>
        <v>#N/A</v>
      </c>
      <c r="P50" s="45" t="e">
        <f t="shared" si="14"/>
        <v>#N/A</v>
      </c>
      <c r="Q50" s="45">
        <f t="shared" si="15"/>
        <v>4.8</v>
      </c>
      <c r="R50" s="12" t="e">
        <f t="shared" si="17"/>
        <v>#N/A</v>
      </c>
    </row>
    <row r="51" spans="1:18" ht="15">
      <c r="A51" s="19">
        <v>4900</v>
      </c>
      <c r="B51" s="63">
        <v>288.5</v>
      </c>
      <c r="C51" s="63">
        <v>17.7</v>
      </c>
      <c r="D51" s="63">
        <v>0.12</v>
      </c>
      <c r="E51" s="53">
        <v>1255</v>
      </c>
      <c r="F51" s="122"/>
      <c r="G51" s="125"/>
      <c r="H51" s="63">
        <v>57.3</v>
      </c>
      <c r="I51" s="63">
        <v>0.04</v>
      </c>
      <c r="J51" s="45">
        <f t="shared" si="9"/>
        <v>0</v>
      </c>
      <c r="K51" s="46">
        <f t="shared" si="10"/>
        <v>100</v>
      </c>
      <c r="L51" s="45">
        <f t="shared" si="11"/>
        <v>0</v>
      </c>
      <c r="M51" s="45" t="e">
        <f t="shared" si="12"/>
        <v>#N/A</v>
      </c>
      <c r="N51" s="45">
        <f t="shared" si="13"/>
        <v>0.3</v>
      </c>
      <c r="O51" s="78" t="e">
        <f t="shared" si="16"/>
        <v>#N/A</v>
      </c>
      <c r="P51" s="45" t="e">
        <f t="shared" si="14"/>
        <v>#N/A</v>
      </c>
      <c r="Q51" s="45">
        <f t="shared" si="15"/>
        <v>4.8</v>
      </c>
      <c r="R51" s="12" t="e">
        <f t="shared" si="17"/>
        <v>#N/A</v>
      </c>
    </row>
    <row r="52" spans="1:18" ht="15">
      <c r="A52" s="18">
        <v>5000</v>
      </c>
      <c r="B52" s="23">
        <v>296.10000000000002</v>
      </c>
      <c r="C52" s="23">
        <v>18.2</v>
      </c>
      <c r="D52" s="23">
        <v>0.12</v>
      </c>
      <c r="E52" s="29">
        <v>1247.5999999999999</v>
      </c>
      <c r="F52" s="123">
        <v>1.099</v>
      </c>
      <c r="G52" s="124">
        <v>-1.1080000000000001</v>
      </c>
      <c r="H52" s="23">
        <v>57.2</v>
      </c>
      <c r="I52" s="23">
        <v>0.04</v>
      </c>
      <c r="J52" s="45">
        <f t="shared" si="9"/>
        <v>0</v>
      </c>
      <c r="K52" s="46">
        <f t="shared" si="10"/>
        <v>100</v>
      </c>
      <c r="L52" s="45">
        <f t="shared" si="11"/>
        <v>0</v>
      </c>
      <c r="M52" s="45" t="e">
        <f t="shared" si="12"/>
        <v>#N/A</v>
      </c>
      <c r="N52" s="45">
        <f t="shared" si="13"/>
        <v>0.3</v>
      </c>
      <c r="O52" s="78" t="e">
        <f t="shared" si="16"/>
        <v>#N/A</v>
      </c>
      <c r="P52" s="45" t="e">
        <f t="shared" si="14"/>
        <v>#N/A</v>
      </c>
      <c r="Q52" s="45">
        <f t="shared" si="15"/>
        <v>4.8</v>
      </c>
      <c r="R52" s="12" t="e">
        <f t="shared" si="17"/>
        <v>#N/A</v>
      </c>
    </row>
    <row r="53" spans="1:18" ht="15">
      <c r="A53" s="62">
        <v>5100</v>
      </c>
      <c r="B53" s="63">
        <v>303.89999999999998</v>
      </c>
      <c r="C53" s="63">
        <v>18.600000000000001</v>
      </c>
      <c r="D53" s="63">
        <v>0.11</v>
      </c>
      <c r="E53" s="53">
        <v>1240</v>
      </c>
      <c r="F53" s="122"/>
      <c r="G53" s="122"/>
      <c r="H53" s="63">
        <v>57</v>
      </c>
      <c r="I53" s="63">
        <v>0.04</v>
      </c>
      <c r="J53" s="45">
        <f t="shared" si="9"/>
        <v>0</v>
      </c>
      <c r="K53" s="46">
        <f t="shared" si="10"/>
        <v>100</v>
      </c>
      <c r="L53" s="45">
        <f t="shared" si="11"/>
        <v>0</v>
      </c>
      <c r="M53" s="45" t="e">
        <f t="shared" si="12"/>
        <v>#N/A</v>
      </c>
      <c r="N53" s="45">
        <f t="shared" si="13"/>
        <v>0.3</v>
      </c>
      <c r="O53" s="78" t="e">
        <f t="shared" si="16"/>
        <v>#N/A</v>
      </c>
      <c r="P53" s="45" t="e">
        <f t="shared" si="14"/>
        <v>#N/A</v>
      </c>
      <c r="Q53" s="45">
        <f t="shared" si="15"/>
        <v>4.8</v>
      </c>
      <c r="R53" s="12" t="e">
        <f t="shared" si="17"/>
        <v>#N/A</v>
      </c>
    </row>
    <row r="54" spans="1:18" ht="15">
      <c r="A54" s="19">
        <v>5200</v>
      </c>
      <c r="B54" s="144">
        <v>311.8</v>
      </c>
      <c r="C54" s="63">
        <v>19.100000000000001</v>
      </c>
      <c r="D54" s="63">
        <v>0.11</v>
      </c>
      <c r="E54" s="53">
        <v>1232.2</v>
      </c>
      <c r="F54" s="122"/>
      <c r="G54" s="125"/>
      <c r="H54" s="63">
        <v>56.8</v>
      </c>
      <c r="I54" s="63">
        <v>0.04</v>
      </c>
      <c r="J54" s="45">
        <f t="shared" si="9"/>
        <v>0</v>
      </c>
      <c r="K54" s="10">
        <f t="shared" si="10"/>
        <v>100</v>
      </c>
      <c r="L54" s="45">
        <f t="shared" si="11"/>
        <v>0</v>
      </c>
      <c r="M54" s="45" t="e">
        <f t="shared" si="12"/>
        <v>#N/A</v>
      </c>
      <c r="N54" s="45">
        <f t="shared" si="13"/>
        <v>0.3</v>
      </c>
      <c r="O54" s="78" t="e">
        <f t="shared" si="16"/>
        <v>#N/A</v>
      </c>
      <c r="P54" s="45" t="e">
        <f t="shared" si="14"/>
        <v>#N/A</v>
      </c>
      <c r="Q54" s="45">
        <f t="shared" si="15"/>
        <v>4.8</v>
      </c>
      <c r="R54" s="12" t="e">
        <f t="shared" si="17"/>
        <v>#N/A</v>
      </c>
    </row>
    <row r="55" spans="1:18" ht="15">
      <c r="A55" s="19">
        <v>5300</v>
      </c>
      <c r="B55" s="28">
        <v>319.89999999999998</v>
      </c>
      <c r="C55" s="28">
        <v>19.5</v>
      </c>
      <c r="D55" s="28">
        <v>0.11</v>
      </c>
      <c r="E55" s="28">
        <v>1224.3</v>
      </c>
      <c r="F55" s="122"/>
      <c r="G55" s="122"/>
      <c r="H55" s="63">
        <v>56.6</v>
      </c>
      <c r="I55" s="63">
        <v>0.04</v>
      </c>
    </row>
    <row r="56" spans="1:18" ht="15">
      <c r="A56" s="19">
        <v>5400</v>
      </c>
      <c r="B56" s="28">
        <v>328</v>
      </c>
      <c r="C56" s="28">
        <v>20</v>
      </c>
      <c r="D56" s="28">
        <v>0.11</v>
      </c>
      <c r="E56" s="28">
        <v>1216.2</v>
      </c>
      <c r="F56" s="122"/>
      <c r="G56" s="125"/>
      <c r="H56" s="63">
        <v>56.4</v>
      </c>
      <c r="I56" s="63">
        <v>0.04</v>
      </c>
    </row>
    <row r="57" spans="1:18" ht="15">
      <c r="A57" s="18">
        <v>5500</v>
      </c>
      <c r="B57" s="29">
        <v>336.4</v>
      </c>
      <c r="C57" s="29">
        <v>20.399999999999999</v>
      </c>
      <c r="D57" s="29">
        <v>0.1</v>
      </c>
      <c r="E57" s="29">
        <v>1207.9000000000001</v>
      </c>
      <c r="F57" s="123">
        <v>1.137</v>
      </c>
      <c r="G57" s="29">
        <v>-1.153</v>
      </c>
      <c r="H57" s="23">
        <v>56.2</v>
      </c>
      <c r="I57" s="23">
        <v>0.04</v>
      </c>
    </row>
    <row r="58" spans="1:18" ht="15">
      <c r="A58" s="19">
        <v>5600</v>
      </c>
      <c r="B58" s="28">
        <v>344.9</v>
      </c>
      <c r="C58" s="32">
        <v>20.9</v>
      </c>
      <c r="D58" s="28">
        <v>0.1</v>
      </c>
      <c r="E58" s="28">
        <v>1199.5</v>
      </c>
      <c r="F58" s="122"/>
      <c r="G58" s="53"/>
      <c r="H58" s="63">
        <v>56</v>
      </c>
      <c r="I58" s="63">
        <v>0.04</v>
      </c>
    </row>
    <row r="59" spans="1:18" ht="15">
      <c r="A59" s="19">
        <v>5700</v>
      </c>
      <c r="B59" s="28">
        <v>353.6</v>
      </c>
      <c r="C59" s="32">
        <v>21.4</v>
      </c>
      <c r="D59" s="28">
        <v>0.1</v>
      </c>
      <c r="E59" s="28">
        <v>1190.8</v>
      </c>
      <c r="F59" s="122"/>
      <c r="G59" s="53"/>
      <c r="H59" s="63">
        <v>55.8</v>
      </c>
      <c r="I59" s="63">
        <v>0.04</v>
      </c>
      <c r="K59" s="167"/>
    </row>
    <row r="60" spans="1:18" ht="15">
      <c r="A60" s="19">
        <v>5800</v>
      </c>
      <c r="B60" s="28">
        <v>362.4</v>
      </c>
      <c r="C60" s="32">
        <v>21.9</v>
      </c>
      <c r="D60" s="28">
        <v>0.1</v>
      </c>
      <c r="E60" s="28">
        <v>1182</v>
      </c>
      <c r="F60" s="122"/>
      <c r="G60" s="53"/>
      <c r="H60" s="63">
        <v>55.6</v>
      </c>
      <c r="I60" s="63">
        <v>0.04</v>
      </c>
    </row>
    <row r="61" spans="1:18" ht="15">
      <c r="A61" s="19">
        <v>5900</v>
      </c>
      <c r="B61" s="28">
        <v>371.5</v>
      </c>
      <c r="C61" s="32">
        <v>22.4</v>
      </c>
      <c r="D61" s="28">
        <v>0.1</v>
      </c>
      <c r="E61" s="28">
        <v>1172.9000000000001</v>
      </c>
      <c r="F61" s="122"/>
      <c r="G61" s="53"/>
      <c r="H61" s="63">
        <v>55.4</v>
      </c>
      <c r="I61" s="63">
        <v>0.04</v>
      </c>
    </row>
    <row r="62" spans="1:18" ht="15">
      <c r="A62" s="18">
        <v>6000</v>
      </c>
      <c r="B62" s="29">
        <v>380.7</v>
      </c>
      <c r="C62" s="33">
        <v>22.9</v>
      </c>
      <c r="D62" s="29">
        <v>0.09</v>
      </c>
      <c r="E62" s="29">
        <v>1163.7</v>
      </c>
      <c r="F62" s="123">
        <v>1.1890000000000001</v>
      </c>
      <c r="G62" s="29">
        <v>-1.2150000000000001</v>
      </c>
      <c r="H62" s="23">
        <v>55.2</v>
      </c>
      <c r="I62" s="23">
        <v>0.04</v>
      </c>
    </row>
    <row r="63" spans="1:18" ht="15">
      <c r="A63" s="62">
        <v>6100</v>
      </c>
      <c r="B63" s="28">
        <v>390.2</v>
      </c>
      <c r="C63" s="32">
        <v>23.4</v>
      </c>
      <c r="D63" s="28">
        <v>0.09</v>
      </c>
      <c r="E63" s="28">
        <v>1154.2</v>
      </c>
      <c r="F63" s="149"/>
      <c r="G63" s="149"/>
      <c r="H63" s="22">
        <v>54.9</v>
      </c>
      <c r="I63" s="22">
        <v>0.04</v>
      </c>
    </row>
    <row r="64" spans="1:18" ht="15">
      <c r="A64" s="19">
        <v>6200</v>
      </c>
      <c r="B64" s="28">
        <v>399.9</v>
      </c>
      <c r="C64" s="32">
        <v>24</v>
      </c>
      <c r="D64" s="28">
        <v>0.09</v>
      </c>
      <c r="E64" s="28">
        <v>1144.4000000000001</v>
      </c>
      <c r="F64" s="149"/>
      <c r="G64" s="149"/>
      <c r="H64" s="22">
        <v>54.7</v>
      </c>
      <c r="I64" s="22">
        <v>0.04</v>
      </c>
    </row>
    <row r="65" spans="1:9" ht="15">
      <c r="A65" s="19">
        <v>6300</v>
      </c>
      <c r="B65" s="28">
        <v>409.9</v>
      </c>
      <c r="C65" s="32">
        <v>24.5</v>
      </c>
      <c r="D65" s="28">
        <v>0.09</v>
      </c>
      <c r="E65" s="28">
        <v>1134.4000000000001</v>
      </c>
      <c r="F65" s="149"/>
      <c r="G65" s="149"/>
      <c r="H65" s="22">
        <v>54.4</v>
      </c>
      <c r="I65" s="22">
        <v>0.04</v>
      </c>
    </row>
    <row r="66" spans="1:9" ht="15">
      <c r="A66" s="51">
        <v>6400</v>
      </c>
      <c r="B66" s="30">
        <v>420.1</v>
      </c>
      <c r="C66" s="41">
        <v>25.1</v>
      </c>
      <c r="D66" s="30">
        <v>0.09</v>
      </c>
      <c r="E66" s="30">
        <v>1124.0999999999999</v>
      </c>
      <c r="F66" s="151"/>
      <c r="G66" s="151"/>
      <c r="H66" s="26">
        <v>54.1</v>
      </c>
      <c r="I66" s="26">
        <v>0.04</v>
      </c>
    </row>
    <row r="67" spans="1:9" ht="15">
      <c r="A67" s="18">
        <v>6500</v>
      </c>
      <c r="B67" s="29">
        <v>430.7</v>
      </c>
      <c r="C67" s="33">
        <v>25.6</v>
      </c>
      <c r="D67" s="29">
        <v>0.08</v>
      </c>
      <c r="E67" s="29">
        <v>1113.5999999999999</v>
      </c>
      <c r="F67" s="123">
        <v>1.262</v>
      </c>
      <c r="G67" s="29">
        <v>-1.3089999999999999</v>
      </c>
      <c r="H67" s="23">
        <v>53.9</v>
      </c>
      <c r="I67" s="23">
        <v>0.04</v>
      </c>
    </row>
    <row r="68" spans="1:9" ht="15">
      <c r="A68" s="62">
        <v>6600</v>
      </c>
      <c r="B68" s="28">
        <v>441.6</v>
      </c>
      <c r="C68" s="32">
        <v>26.2</v>
      </c>
      <c r="D68" s="28">
        <v>0.08</v>
      </c>
      <c r="E68" s="28">
        <v>1102.5999999999999</v>
      </c>
      <c r="F68" s="149"/>
      <c r="G68" s="149"/>
      <c r="H68" s="22">
        <v>53.6</v>
      </c>
      <c r="I68" s="22">
        <v>0.04</v>
      </c>
    </row>
    <row r="69" spans="1:9" ht="15">
      <c r="A69" s="19">
        <v>6700</v>
      </c>
      <c r="B69" s="28">
        <v>452.8</v>
      </c>
      <c r="C69" s="32">
        <v>26.8</v>
      </c>
      <c r="D69" s="28">
        <v>0.08</v>
      </c>
      <c r="E69" s="28">
        <v>10913</v>
      </c>
      <c r="F69" s="149"/>
      <c r="G69" s="149"/>
      <c r="H69" s="22">
        <v>53.2</v>
      </c>
      <c r="I69" s="22">
        <v>0.04</v>
      </c>
    </row>
    <row r="70" spans="1:9" ht="15">
      <c r="A70" s="19">
        <v>6800</v>
      </c>
      <c r="B70" s="28">
        <v>454.5</v>
      </c>
      <c r="C70" s="32">
        <v>27.4</v>
      </c>
      <c r="D70" s="28">
        <v>0.08</v>
      </c>
      <c r="E70" s="28">
        <v>1079.5999999999999</v>
      </c>
      <c r="F70" s="149"/>
      <c r="G70" s="149"/>
      <c r="H70" s="22">
        <v>52.9</v>
      </c>
      <c r="I70" s="22">
        <v>0.04</v>
      </c>
    </row>
    <row r="71" spans="1:9" ht="15">
      <c r="A71" s="51">
        <v>6900</v>
      </c>
      <c r="B71" s="30">
        <v>476.6</v>
      </c>
      <c r="C71" s="41">
        <v>28.1</v>
      </c>
      <c r="D71" s="30">
        <v>0.08</v>
      </c>
      <c r="E71" s="30">
        <v>1067.5</v>
      </c>
      <c r="F71" s="151"/>
      <c r="G71" s="151"/>
      <c r="H71" s="26">
        <v>52.5</v>
      </c>
      <c r="I71" s="26">
        <v>0.04</v>
      </c>
    </row>
    <row r="72" spans="1:9" ht="15">
      <c r="A72" s="18">
        <v>7000</v>
      </c>
      <c r="B72" s="29">
        <v>489.3</v>
      </c>
      <c r="C72" s="33">
        <v>28.7</v>
      </c>
      <c r="D72" s="29">
        <v>7.0000000000000007E-2</v>
      </c>
      <c r="E72" s="29">
        <v>1054.8</v>
      </c>
      <c r="F72" s="123">
        <v>1.379</v>
      </c>
      <c r="G72" s="29">
        <v>-1.478</v>
      </c>
      <c r="H72" s="23">
        <v>52.2</v>
      </c>
      <c r="I72" s="23">
        <v>0.04</v>
      </c>
    </row>
    <row r="73" spans="1:9" ht="15">
      <c r="A73" s="62">
        <v>7100</v>
      </c>
      <c r="B73" s="28">
        <v>502.5</v>
      </c>
      <c r="C73" s="32">
        <v>29.4</v>
      </c>
      <c r="D73" s="28">
        <v>7.0000000000000007E-2</v>
      </c>
      <c r="E73" s="28">
        <v>1041.5</v>
      </c>
      <c r="F73" s="149"/>
      <c r="G73" s="149"/>
      <c r="H73" s="22">
        <v>51.8</v>
      </c>
      <c r="I73" s="22">
        <v>0.04</v>
      </c>
    </row>
    <row r="74" spans="1:9" ht="15">
      <c r="A74" s="19">
        <v>7200</v>
      </c>
      <c r="B74" s="28">
        <v>516.4</v>
      </c>
      <c r="C74" s="32">
        <v>30.1</v>
      </c>
      <c r="D74" s="28">
        <v>7.0000000000000007E-2</v>
      </c>
      <c r="E74" s="28">
        <v>1027.5999999999999</v>
      </c>
      <c r="F74" s="149"/>
      <c r="G74" s="149"/>
      <c r="H74" s="22">
        <v>51.3</v>
      </c>
      <c r="I74" s="22">
        <v>0.04</v>
      </c>
    </row>
    <row r="75" spans="1:9" ht="15">
      <c r="A75" s="19">
        <v>7300</v>
      </c>
      <c r="B75" s="28">
        <v>531.1</v>
      </c>
      <c r="C75" s="32">
        <v>30.8</v>
      </c>
      <c r="D75" s="28">
        <v>7.0000000000000007E-2</v>
      </c>
      <c r="E75" s="28">
        <v>1012.9</v>
      </c>
      <c r="F75" s="149"/>
      <c r="G75" s="149"/>
      <c r="H75" s="22">
        <v>50.9</v>
      </c>
      <c r="I75" s="22">
        <v>0.04</v>
      </c>
    </row>
    <row r="76" spans="1:9" ht="15">
      <c r="A76" s="51">
        <v>7400</v>
      </c>
      <c r="B76" s="30">
        <v>546.70000000000005</v>
      </c>
      <c r="C76" s="41">
        <v>31.6</v>
      </c>
      <c r="D76" s="30">
        <v>7.0000000000000007E-2</v>
      </c>
      <c r="E76" s="30">
        <v>997.2</v>
      </c>
      <c r="F76" s="151"/>
      <c r="G76" s="151"/>
      <c r="H76" s="26">
        <v>50.4</v>
      </c>
      <c r="I76" s="26">
        <v>0.04</v>
      </c>
    </row>
    <row r="77" spans="1:9" ht="15">
      <c r="A77" s="18">
        <v>7500</v>
      </c>
      <c r="B77" s="29">
        <v>563.5</v>
      </c>
      <c r="C77" s="33">
        <v>32.5</v>
      </c>
      <c r="D77" s="29">
        <v>7.0000000000000007E-2</v>
      </c>
      <c r="E77" s="29">
        <v>980.4</v>
      </c>
      <c r="F77" s="123">
        <v>1.605</v>
      </c>
      <c r="G77" s="29">
        <v>-1.478</v>
      </c>
      <c r="H77" s="23">
        <v>49.8</v>
      </c>
      <c r="I77" s="23">
        <v>0.04</v>
      </c>
    </row>
    <row r="78" spans="1:9" ht="15">
      <c r="A78" s="62">
        <v>7600</v>
      </c>
      <c r="B78" s="28">
        <v>581.79999999999995</v>
      </c>
      <c r="C78" s="32">
        <v>33.4</v>
      </c>
      <c r="D78" s="28">
        <v>0.06</v>
      </c>
      <c r="E78" s="28">
        <v>962.1</v>
      </c>
      <c r="F78" s="146"/>
      <c r="G78" s="149">
        <v>0</v>
      </c>
      <c r="H78" s="22">
        <v>49.2</v>
      </c>
      <c r="I78" s="63">
        <v>0.05</v>
      </c>
    </row>
    <row r="79" spans="1:9" ht="15">
      <c r="A79" s="19">
        <v>7700</v>
      </c>
      <c r="B79" s="28">
        <v>602</v>
      </c>
      <c r="C79" s="32">
        <v>34.299999999999997</v>
      </c>
      <c r="D79" s="28">
        <v>0.06</v>
      </c>
      <c r="E79" s="28">
        <v>941.8</v>
      </c>
      <c r="F79" s="146"/>
      <c r="G79" s="149">
        <v>0</v>
      </c>
      <c r="H79" s="22">
        <v>48.5</v>
      </c>
      <c r="I79" s="63">
        <v>0.05</v>
      </c>
    </row>
    <row r="80" spans="1:9" ht="15">
      <c r="A80" s="19">
        <v>7800</v>
      </c>
      <c r="B80" s="28">
        <v>624.9</v>
      </c>
      <c r="C80" s="32">
        <v>35.4</v>
      </c>
      <c r="D80" s="28">
        <v>0.06</v>
      </c>
      <c r="E80" s="28">
        <v>918.8</v>
      </c>
      <c r="F80" s="146"/>
      <c r="G80" s="149">
        <v>0</v>
      </c>
      <c r="H80" s="22">
        <v>47.7</v>
      </c>
      <c r="I80" s="63">
        <v>0.05</v>
      </c>
    </row>
    <row r="81" spans="1:9" ht="15">
      <c r="A81" s="51">
        <v>7900</v>
      </c>
      <c r="B81" s="30">
        <v>652.29999999999995</v>
      </c>
      <c r="C81" s="41">
        <v>36.4</v>
      </c>
      <c r="D81" s="30">
        <v>0.06</v>
      </c>
      <c r="E81" s="30">
        <v>891.5</v>
      </c>
      <c r="F81" s="147"/>
      <c r="G81" s="151">
        <v>0</v>
      </c>
      <c r="H81" s="26">
        <v>46.7</v>
      </c>
      <c r="I81" s="65">
        <v>0.05</v>
      </c>
    </row>
    <row r="82" spans="1:9" ht="15">
      <c r="A82" s="114">
        <v>8000</v>
      </c>
      <c r="B82" s="116">
        <v>688</v>
      </c>
      <c r="C82" s="117">
        <v>38.299999999999997</v>
      </c>
      <c r="D82" s="116">
        <v>0.06</v>
      </c>
      <c r="E82" s="116">
        <v>855.8</v>
      </c>
      <c r="F82" s="160">
        <v>2.4220000000000002</v>
      </c>
      <c r="G82" s="116">
        <v>0</v>
      </c>
      <c r="H82" s="160">
        <v>45.3</v>
      </c>
      <c r="I82" s="115">
        <v>0.05</v>
      </c>
    </row>
    <row r="83" spans="1:9" ht="15">
      <c r="A83" s="19">
        <v>8100</v>
      </c>
      <c r="B83" s="158">
        <v>0</v>
      </c>
      <c r="C83" s="158">
        <v>0</v>
      </c>
      <c r="D83" s="158">
        <v>0</v>
      </c>
      <c r="E83" s="158">
        <v>0</v>
      </c>
      <c r="F83" s="148">
        <v>0</v>
      </c>
      <c r="G83" s="158">
        <v>0</v>
      </c>
      <c r="H83" s="158">
        <v>0</v>
      </c>
      <c r="I83" s="158">
        <v>0</v>
      </c>
    </row>
  </sheetData>
  <sheetProtection selectLockedCells="1" selectUnlockedCells="1"/>
  <mergeCells count="4">
    <mergeCell ref="A1:I1"/>
    <mergeCell ref="J2:K2"/>
    <mergeCell ref="J16:M17"/>
    <mergeCell ref="J43:R43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 HE'!$M$3:$M$4</xm:f>
          </x14:formula1>
          <xm:sqref>M19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INTRO</vt:lpstr>
      <vt:lpstr>SAFETY FAN DATA</vt:lpstr>
      <vt:lpstr>Sheet1</vt:lpstr>
      <vt:lpstr>STAPD INPUT</vt:lpstr>
      <vt:lpstr>1 HE</vt:lpstr>
      <vt:lpstr>2 HE</vt:lpstr>
      <vt:lpstr>3 HE</vt:lpstr>
      <vt:lpstr>4 HE</vt:lpstr>
      <vt:lpstr>5 HE</vt:lpstr>
      <vt:lpstr>6 HE</vt:lpstr>
      <vt:lpstr>7 HE</vt:lpstr>
      <vt:lpstr>1 IM</vt:lpstr>
      <vt:lpstr>2 IM</vt:lpstr>
      <vt:lpstr>3 IM</vt:lpstr>
      <vt:lpstr>4 IM</vt:lpstr>
      <vt:lpstr>5 IM</vt:lpstr>
      <vt:lpstr>6 IM</vt:lpstr>
      <vt:lpstr>7 IM</vt:lpstr>
      <vt:lpstr>STAMET</vt:lpstr>
      <vt:lpstr>GR CALC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Bertram</dc:creator>
  <cp:lastModifiedBy>Y1068579</cp:lastModifiedBy>
  <cp:lastPrinted>2025-07-18T00:58:28Z</cp:lastPrinted>
  <dcterms:created xsi:type="dcterms:W3CDTF">2025-07-13T02:00:20Z</dcterms:created>
  <dcterms:modified xsi:type="dcterms:W3CDTF">2025-08-07T21:44:10Z</dcterms:modified>
</cp:coreProperties>
</file>