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https://dnz-my.sharepoint.com/personal/ben_marmont_dairynz_co_nz/Documents/Documents/Thesis/Economic Modelling/"/>
    </mc:Choice>
  </mc:AlternateContent>
  <xr:revisionPtr revIDLastSave="4212" documentId="8_{F0DCD7A2-AC69-4F97-85AC-5004E407EC14}" xr6:coauthVersionLast="47" xr6:coauthVersionMax="47" xr10:uidLastSave="{019A4C17-0F70-497A-BF2E-549CA25380B1}"/>
  <bookViews>
    <workbookView xWindow="-120" yWindow="-120" windowWidth="29040" windowHeight="15840" activeTab="1" xr2:uid="{00000000-000D-0000-FFFF-FFFF00000000}"/>
  </bookViews>
  <sheets>
    <sheet name="Assumptions" sheetId="10" r:id="rId1"/>
    <sheet name="Instructions" sheetId="11" r:id="rId2"/>
    <sheet name="Inputs" sheetId="13" r:id="rId3"/>
    <sheet name="Output" sheetId="12" r:id="rId4"/>
    <sheet name="Fine Tuning" sheetId="2" r:id="rId5"/>
    <sheet name="Financials" sheetId="5" r:id="rId6"/>
    <sheet name="sub-models" sheetId="7" r:id="rId7"/>
    <sheet name="financial input" sheetId="4" r:id="rId8"/>
    <sheet name="grouped input data" sheetId="3" r:id="rId9"/>
    <sheet name="raw input data" sheetId="1"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1" i="12" l="1"/>
  <c r="AN26" i="7"/>
  <c r="AN25" i="7"/>
  <c r="AO14" i="7"/>
  <c r="AO15" i="7"/>
  <c r="AN15" i="7"/>
  <c r="B12" i="2"/>
  <c r="H26" i="7" s="1"/>
  <c r="I26" i="7" s="1"/>
  <c r="C43" i="12"/>
  <c r="B15" i="2"/>
  <c r="B28" i="2"/>
  <c r="B36" i="2"/>
  <c r="B34" i="2"/>
  <c r="B31" i="2"/>
  <c r="B30" i="2"/>
  <c r="B27" i="2"/>
  <c r="I28" i="7" s="1"/>
  <c r="B26" i="2"/>
  <c r="I27" i="7" s="1"/>
  <c r="I45" i="7" s="1"/>
  <c r="B17" i="2"/>
  <c r="B14" i="2"/>
  <c r="B13" i="2"/>
  <c r="B11" i="2"/>
  <c r="H25" i="7" s="1"/>
  <c r="H33" i="7" s="1"/>
  <c r="B10" i="2"/>
  <c r="B9" i="2"/>
  <c r="B8" i="2"/>
  <c r="B5" i="2"/>
  <c r="B3" i="2"/>
  <c r="B2" i="2"/>
  <c r="O8" i="2"/>
  <c r="B49" i="12"/>
  <c r="C49" i="12"/>
  <c r="D49" i="12"/>
  <c r="B50" i="12"/>
  <c r="B51" i="12"/>
  <c r="B52" i="12"/>
  <c r="B53" i="12"/>
  <c r="B54" i="12"/>
  <c r="B56" i="12"/>
  <c r="C56" i="12"/>
  <c r="D56" i="12"/>
  <c r="B57" i="12"/>
  <c r="B58" i="12"/>
  <c r="B59" i="12"/>
  <c r="B60" i="12"/>
  <c r="C60" i="12"/>
  <c r="H34" i="7"/>
  <c r="H28" i="7"/>
  <c r="H27" i="7"/>
  <c r="H40" i="7"/>
  <c r="I34" i="7" l="1"/>
  <c r="I38" i="7" s="1"/>
  <c r="H44" i="7"/>
  <c r="H46" i="7" s="1"/>
  <c r="H37" i="7"/>
  <c r="H39" i="7" s="1"/>
  <c r="H35" i="7"/>
  <c r="I30" i="7"/>
  <c r="I25" i="7"/>
  <c r="I29" i="7" s="1"/>
  <c r="I33" i="7" l="1"/>
  <c r="I37" i="7" s="1"/>
  <c r="I44" i="7"/>
  <c r="J25" i="7"/>
  <c r="B5" i="12"/>
  <c r="C5" i="12"/>
  <c r="D5" i="12"/>
  <c r="B6" i="12"/>
  <c r="B7" i="12"/>
  <c r="B8" i="12"/>
  <c r="B9" i="12"/>
  <c r="B10" i="12"/>
  <c r="B11" i="12"/>
  <c r="B12" i="12"/>
  <c r="B13" i="12"/>
  <c r="B15" i="12"/>
  <c r="B16" i="12"/>
  <c r="B17" i="12"/>
  <c r="B18" i="12"/>
  <c r="B19" i="12"/>
  <c r="B21" i="12"/>
  <c r="B22" i="12"/>
  <c r="B23" i="12"/>
  <c r="B24" i="12"/>
  <c r="B25" i="12"/>
  <c r="B26" i="12"/>
  <c r="B27" i="12"/>
  <c r="B28" i="12"/>
  <c r="B30" i="12"/>
  <c r="B31" i="12"/>
  <c r="B33" i="12"/>
  <c r="B34" i="12"/>
  <c r="B36" i="12"/>
  <c r="B37" i="12"/>
  <c r="B38" i="12"/>
  <c r="B39" i="12"/>
  <c r="B40" i="12"/>
  <c r="B42" i="12"/>
  <c r="B43" i="12"/>
  <c r="B44" i="12"/>
  <c r="C44" i="12"/>
  <c r="B45" i="12"/>
  <c r="C45" i="12"/>
  <c r="B46" i="12"/>
  <c r="C46" i="12"/>
  <c r="B47" i="12"/>
  <c r="C47" i="12"/>
  <c r="I49" i="7"/>
  <c r="C37" i="2"/>
  <c r="P5" i="2"/>
  <c r="AH20" i="7"/>
  <c r="AH27" i="7"/>
  <c r="AG10" i="7"/>
  <c r="C40" i="2"/>
  <c r="AF9" i="7" s="1"/>
  <c r="C41" i="2"/>
  <c r="AG9" i="7" s="1"/>
  <c r="C42" i="2"/>
  <c r="AE9" i="7" s="1"/>
  <c r="C43" i="2"/>
  <c r="AE10" i="7" s="1"/>
  <c r="C44" i="2"/>
  <c r="AH10" i="7" s="1"/>
  <c r="C45" i="2"/>
  <c r="AI10" i="7" s="1"/>
  <c r="C46" i="2"/>
  <c r="AF10" i="7" s="1"/>
  <c r="C47" i="2"/>
  <c r="C36" i="2"/>
  <c r="O7" i="2" s="1"/>
  <c r="B7" i="2"/>
  <c r="B6" i="2"/>
  <c r="C17" i="2"/>
  <c r="O6" i="2" l="1"/>
  <c r="C15" i="2" s="1"/>
  <c r="P6" i="2"/>
  <c r="I35" i="7"/>
  <c r="AI11" i="7"/>
  <c r="C14" i="2"/>
  <c r="P7" i="2" l="1"/>
  <c r="AN16" i="7"/>
  <c r="AN18" i="7" s="1"/>
  <c r="AN20" i="7" s="1"/>
  <c r="AH11" i="7"/>
  <c r="C48" i="2" s="1"/>
  <c r="H47" i="7" s="1"/>
  <c r="C10" i="2"/>
  <c r="C35" i="2"/>
  <c r="C23" i="2"/>
  <c r="C24" i="2"/>
  <c r="C25" i="2"/>
  <c r="C26" i="2"/>
  <c r="C27" i="2"/>
  <c r="C28" i="2"/>
  <c r="C29" i="2"/>
  <c r="C30" i="2"/>
  <c r="C31" i="2"/>
  <c r="C33" i="2"/>
  <c r="C22" i="2"/>
  <c r="C34" i="7"/>
  <c r="W26" i="7" s="1"/>
  <c r="W29" i="7" s="1"/>
  <c r="X23" i="7"/>
  <c r="C34" i="2"/>
  <c r="AN22" i="7" l="1"/>
  <c r="AN23" i="7"/>
  <c r="AN28" i="7" s="1"/>
  <c r="AN29" i="7" s="1"/>
  <c r="D61" i="12" s="1"/>
  <c r="AE12" i="7"/>
  <c r="AE13" i="7" s="1"/>
  <c r="AF12" i="7"/>
  <c r="AF13" i="7" s="1"/>
  <c r="AG12" i="7"/>
  <c r="AG13" i="7" s="1"/>
  <c r="AI12" i="7"/>
  <c r="AH12" i="7"/>
  <c r="AA10" i="7"/>
  <c r="R12" i="7"/>
  <c r="S13" i="7" s="1"/>
  <c r="T13" i="7" s="1"/>
  <c r="R11" i="7"/>
  <c r="M12" i="7"/>
  <c r="N12" i="7" s="1"/>
  <c r="M11" i="7"/>
  <c r="N11" i="7" s="1"/>
  <c r="C30" i="7"/>
  <c r="C31" i="7"/>
  <c r="C18" i="7"/>
  <c r="D18" i="7" s="1"/>
  <c r="C16" i="7"/>
  <c r="D16" i="7" s="1"/>
  <c r="AA11" i="7"/>
  <c r="D17" i="7"/>
  <c r="C35" i="7"/>
  <c r="C36" i="7" s="1"/>
  <c r="C13" i="2"/>
  <c r="C16" i="2" s="1"/>
  <c r="L7" i="2"/>
  <c r="L6" i="2"/>
  <c r="C12" i="2"/>
  <c r="C11" i="2"/>
  <c r="E12" i="4"/>
  <c r="E15" i="4" s="1"/>
  <c r="F12" i="4"/>
  <c r="F15" i="4" s="1"/>
  <c r="G12" i="4"/>
  <c r="G15" i="4" s="1"/>
  <c r="H12" i="4"/>
  <c r="H15" i="4" s="1"/>
  <c r="I12" i="4"/>
  <c r="I15" i="4" s="1"/>
  <c r="J12" i="4"/>
  <c r="J15" i="4" s="1"/>
  <c r="D12" i="4"/>
  <c r="D15" i="4" s="1"/>
  <c r="C12" i="4"/>
  <c r="C15" i="4"/>
  <c r="D23" i="4"/>
  <c r="E23" i="4"/>
  <c r="F23" i="4"/>
  <c r="G23" i="4"/>
  <c r="H23" i="4"/>
  <c r="I23" i="4"/>
  <c r="J23" i="4"/>
  <c r="C23" i="4"/>
  <c r="I71" i="3"/>
  <c r="C71" i="3"/>
  <c r="D71" i="3"/>
  <c r="E71" i="3"/>
  <c r="F71" i="3"/>
  <c r="G71" i="3"/>
  <c r="H71" i="3"/>
  <c r="B71" i="3"/>
  <c r="C3" i="2"/>
  <c r="C5" i="2"/>
  <c r="C7" i="5" s="1"/>
  <c r="G7" i="5" s="1"/>
  <c r="K7" i="5" s="1"/>
  <c r="O7" i="5" s="1"/>
  <c r="C8" i="2"/>
  <c r="C10" i="5" s="1"/>
  <c r="G10" i="5" s="1"/>
  <c r="C9" i="2"/>
  <c r="C3" i="5" s="1"/>
  <c r="C2" i="2"/>
  <c r="C4" i="5" s="1"/>
  <c r="G4" i="5" s="1"/>
  <c r="K4" i="5" s="1"/>
  <c r="O4" i="5" s="1"/>
  <c r="C7" i="2"/>
  <c r="C6" i="2"/>
  <c r="B4" i="2"/>
  <c r="E19" i="7" l="1"/>
  <c r="E20" i="7" s="1"/>
  <c r="H58" i="7"/>
  <c r="H48" i="7"/>
  <c r="O52" i="5" s="1"/>
  <c r="P4" i="5"/>
  <c r="D7" i="12" s="1"/>
  <c r="C7" i="12"/>
  <c r="P7" i="5"/>
  <c r="D10" i="12" s="1"/>
  <c r="C10" i="12"/>
  <c r="C5" i="5"/>
  <c r="G5" i="5" s="1"/>
  <c r="K5" i="5" s="1"/>
  <c r="O5" i="5" s="1"/>
  <c r="AH9" i="7"/>
  <c r="AI9" i="7" s="1"/>
  <c r="AI13" i="7" s="1"/>
  <c r="AE19" i="7"/>
  <c r="AE20" i="7" s="1"/>
  <c r="AE17" i="7"/>
  <c r="AE24" i="7" s="1"/>
  <c r="AG19" i="7"/>
  <c r="AG20" i="7" s="1"/>
  <c r="AG17" i="7"/>
  <c r="AG18" i="7" s="1"/>
  <c r="AF19" i="7"/>
  <c r="AF20" i="7" s="1"/>
  <c r="AF17" i="7"/>
  <c r="AF24" i="7" s="1"/>
  <c r="AF25" i="7" s="1"/>
  <c r="AG27" i="7"/>
  <c r="AF27" i="7"/>
  <c r="AA13" i="7"/>
  <c r="G3" i="5"/>
  <c r="K3" i="5" s="1"/>
  <c r="O3" i="5" s="1"/>
  <c r="C22" i="5"/>
  <c r="K10" i="5"/>
  <c r="O10" i="5" s="1"/>
  <c r="G12" i="5"/>
  <c r="K12" i="5" s="1"/>
  <c r="O12" i="5" s="1"/>
  <c r="C4" i="2"/>
  <c r="C6" i="5"/>
  <c r="G6" i="5" s="1"/>
  <c r="K6" i="5" s="1"/>
  <c r="O6" i="5" s="1"/>
  <c r="C12" i="5"/>
  <c r="X26" i="7"/>
  <c r="I47" i="7" s="1"/>
  <c r="C25" i="5"/>
  <c r="G25" i="5" s="1"/>
  <c r="K25" i="5" s="1"/>
  <c r="O25" i="5" s="1"/>
  <c r="C32" i="7"/>
  <c r="C37" i="7" s="1"/>
  <c r="S14" i="7"/>
  <c r="T14" i="7" s="1"/>
  <c r="T17" i="7" s="1"/>
  <c r="C13" i="5"/>
  <c r="C21" i="5"/>
  <c r="G21" i="5" s="1"/>
  <c r="K21" i="5" s="1"/>
  <c r="O21" i="5" s="1"/>
  <c r="C26" i="12" s="1"/>
  <c r="C14" i="5"/>
  <c r="G14" i="5" s="1"/>
  <c r="K14" i="5" s="1"/>
  <c r="O14" i="5" s="1"/>
  <c r="C20" i="5"/>
  <c r="G20" i="5" s="1"/>
  <c r="K20" i="5" s="1"/>
  <c r="O20" i="5" s="1"/>
  <c r="C25" i="12" s="1"/>
  <c r="C15" i="5"/>
  <c r="C17" i="5"/>
  <c r="C18" i="5"/>
  <c r="G18" i="5" s="1"/>
  <c r="K18" i="5" s="1"/>
  <c r="O18" i="5" s="1"/>
  <c r="C19" i="5"/>
  <c r="G19" i="5" s="1"/>
  <c r="K19" i="5" s="1"/>
  <c r="O19" i="5" s="1"/>
  <c r="C8" i="5"/>
  <c r="G8" i="5" s="1"/>
  <c r="K8" i="5" s="1"/>
  <c r="O8" i="5" s="1"/>
  <c r="C59" i="1"/>
  <c r="D59" i="1"/>
  <c r="E59" i="1"/>
  <c r="F59" i="1"/>
  <c r="G59" i="1"/>
  <c r="H59" i="1"/>
  <c r="I59" i="1"/>
  <c r="B59" i="1"/>
  <c r="C9" i="5" l="1"/>
  <c r="G9" i="5" s="1"/>
  <c r="K9" i="5" s="1"/>
  <c r="O9" i="5" s="1"/>
  <c r="P9" i="5" s="1"/>
  <c r="D12" i="12" s="1"/>
  <c r="AG24" i="7"/>
  <c r="AG25" i="7" s="1"/>
  <c r="C24" i="12"/>
  <c r="C23" i="12"/>
  <c r="O51" i="5"/>
  <c r="C58" i="12" s="1"/>
  <c r="O50" i="5"/>
  <c r="C57" i="12" s="1"/>
  <c r="C6" i="7"/>
  <c r="I46" i="7"/>
  <c r="I48" i="7" s="1"/>
  <c r="P10" i="5"/>
  <c r="D13" i="12" s="1"/>
  <c r="C13" i="12"/>
  <c r="P3" i="5"/>
  <c r="D6" i="12" s="1"/>
  <c r="C6" i="12"/>
  <c r="P25" i="5"/>
  <c r="D31" i="12" s="1"/>
  <c r="C31" i="12"/>
  <c r="P8" i="5"/>
  <c r="D11" i="12" s="1"/>
  <c r="C11" i="12"/>
  <c r="P14" i="5"/>
  <c r="D18" i="12" s="1"/>
  <c r="C18" i="12"/>
  <c r="P12" i="5"/>
  <c r="D16" i="12" s="1"/>
  <c r="C16" i="12"/>
  <c r="AI26" i="7"/>
  <c r="AI27" i="7" s="1"/>
  <c r="AI19" i="7"/>
  <c r="AI20" i="7" s="1"/>
  <c r="P5" i="5"/>
  <c r="C8" i="12"/>
  <c r="AI17" i="7"/>
  <c r="AI18" i="7" s="1"/>
  <c r="AI24" i="7"/>
  <c r="AI25" i="7" s="1"/>
  <c r="P6" i="5"/>
  <c r="D9" i="12" s="1"/>
  <c r="C9" i="12"/>
  <c r="AH13" i="7"/>
  <c r="C59" i="12"/>
  <c r="AE18" i="7"/>
  <c r="AF18" i="7"/>
  <c r="AE27" i="7"/>
  <c r="AE25" i="7"/>
  <c r="M13" i="7"/>
  <c r="N13" i="7" s="1"/>
  <c r="O11" i="7" s="1"/>
  <c r="O15" i="7" s="1"/>
  <c r="O16" i="7" s="1"/>
  <c r="S16" i="7"/>
  <c r="T15" i="7" s="1"/>
  <c r="G22" i="5"/>
  <c r="K22" i="5" s="1"/>
  <c r="O22" i="5" s="1"/>
  <c r="W28" i="7"/>
  <c r="G13" i="5"/>
  <c r="K13" i="5" s="1"/>
  <c r="G17" i="5"/>
  <c r="K17" i="5" s="1"/>
  <c r="O17" i="5" s="1"/>
  <c r="C23" i="5"/>
  <c r="C12" i="12" l="1"/>
  <c r="P19" i="5"/>
  <c r="D24" i="12" s="1"/>
  <c r="C22" i="12"/>
  <c r="D8" i="12"/>
  <c r="P50" i="5"/>
  <c r="D57" i="12" s="1"/>
  <c r="P21" i="5"/>
  <c r="D26" i="12" s="1"/>
  <c r="AF33" i="7"/>
  <c r="P37" i="5" s="1"/>
  <c r="AF34" i="7"/>
  <c r="P22" i="5"/>
  <c r="D27" i="12" s="1"/>
  <c r="C27" i="12"/>
  <c r="AE34" i="7"/>
  <c r="AE31" i="7"/>
  <c r="AH24" i="7"/>
  <c r="AE33" i="7"/>
  <c r="AH17" i="7"/>
  <c r="AH18" i="7" s="1"/>
  <c r="AE32" i="7"/>
  <c r="P52" i="5"/>
  <c r="O18" i="7"/>
  <c r="O19" i="7" s="1"/>
  <c r="P20" i="5" s="1"/>
  <c r="D25" i="12" s="1"/>
  <c r="B32" i="2"/>
  <c r="C32" i="2" s="1"/>
  <c r="G15" i="5"/>
  <c r="O13" i="5"/>
  <c r="C17" i="12" s="1"/>
  <c r="K15" i="5"/>
  <c r="K30" i="5" s="1"/>
  <c r="O23" i="5"/>
  <c r="G23" i="5"/>
  <c r="K23" i="5"/>
  <c r="K31" i="5" s="1"/>
  <c r="T20" i="7"/>
  <c r="T19" i="7"/>
  <c r="C28" i="12" l="1"/>
  <c r="O44" i="5"/>
  <c r="P36" i="5"/>
  <c r="D43" i="12" s="1"/>
  <c r="D59" i="12"/>
  <c r="P53" i="5"/>
  <c r="D60" i="12" s="1"/>
  <c r="P17" i="5"/>
  <c r="D22" i="12" s="1"/>
  <c r="AG34" i="7"/>
  <c r="AH25" i="7"/>
  <c r="AF32" i="7" s="1"/>
  <c r="AG32" i="7" s="1"/>
  <c r="AF31" i="7"/>
  <c r="AG31" i="7" s="1"/>
  <c r="AG33" i="7"/>
  <c r="W10" i="7"/>
  <c r="O31" i="5"/>
  <c r="C38" i="12" s="1"/>
  <c r="C51" i="12"/>
  <c r="P13" i="5"/>
  <c r="O15" i="5"/>
  <c r="K27" i="5"/>
  <c r="K32" i="5"/>
  <c r="K33" i="5" s="1"/>
  <c r="C19" i="12" l="1"/>
  <c r="O43" i="5"/>
  <c r="D44" i="12"/>
  <c r="P15" i="5"/>
  <c r="D19" i="12" s="1"/>
  <c r="D17" i="12"/>
  <c r="O30" i="5"/>
  <c r="C37" i="12" s="1"/>
  <c r="C50" i="12"/>
  <c r="O27" i="5"/>
  <c r="C34" i="12" s="1"/>
  <c r="P43" i="5" l="1"/>
  <c r="D50" i="12" s="1"/>
  <c r="P30" i="5"/>
  <c r="D37" i="12" s="1"/>
  <c r="O32" i="5"/>
  <c r="C39" i="12" s="1"/>
  <c r="O33" i="5" l="1"/>
  <c r="C40" i="12" s="1"/>
  <c r="I39" i="7" l="1"/>
  <c r="P51" i="5" s="1"/>
  <c r="D58" i="12" s="1"/>
  <c r="I40" i="7" l="1"/>
  <c r="P18" i="5" s="1"/>
  <c r="P23" i="5" l="1"/>
  <c r="D23" i="12"/>
  <c r="D28" i="12" l="1"/>
  <c r="P38" i="5"/>
  <c r="D45" i="12" s="1"/>
  <c r="D46" i="12" s="1"/>
  <c r="P44" i="5"/>
  <c r="D51" i="12" s="1"/>
  <c r="P31" i="5"/>
  <c r="P27" i="5"/>
  <c r="D34" i="12" s="1"/>
  <c r="D47" i="12" l="1"/>
  <c r="P39" i="5"/>
  <c r="P40" i="5" s="1"/>
  <c r="D38" i="12"/>
  <c r="P32" i="5"/>
  <c r="O45" i="5" l="1"/>
  <c r="C52" i="12" s="1"/>
  <c r="P45" i="5"/>
  <c r="D39" i="12"/>
  <c r="P33" i="5"/>
  <c r="D40" i="12" s="1"/>
  <c r="D52" i="12" l="1"/>
  <c r="P46" i="5"/>
  <c r="O46" i="5"/>
  <c r="D53" i="12" l="1"/>
  <c r="O47" i="5"/>
  <c r="C54" i="12" s="1"/>
  <c r="C53" i="12"/>
  <c r="P47" i="5"/>
  <c r="D54"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 Marmont</author>
  </authors>
  <commentList>
    <comment ref="B49" authorId="0" shapeId="0" xr:uid="{1FFBFAD4-53F7-4BAE-A1C5-E704DF781D97}">
      <text>
        <r>
          <rPr>
            <b/>
            <sz val="9"/>
            <color indexed="81"/>
            <rFont val="Tahoma"/>
            <charset val="1"/>
          </rPr>
          <t>Ben Marmont:</t>
        </r>
        <r>
          <rPr>
            <sz val="9"/>
            <color indexed="81"/>
            <rFont val="Tahoma"/>
            <charset val="1"/>
          </rPr>
          <t xml:space="preserve">
This section has been dropped, to save time instead of fundamentally changing the model it is ignored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Ben Marmont</author>
  </authors>
  <commentList>
    <comment ref="G33" authorId="0" shapeId="0" xr:uid="{5061B107-3B09-4D1D-93F5-874F9B0FBC3B}">
      <text>
        <r>
          <rPr>
            <b/>
            <sz val="9"/>
            <color indexed="81"/>
            <rFont val="Tahoma"/>
            <family val="2"/>
          </rPr>
          <t>Ben Marmont:</t>
        </r>
        <r>
          <rPr>
            <sz val="9"/>
            <color indexed="81"/>
            <rFont val="Tahoma"/>
            <family val="2"/>
          </rPr>
          <t xml:space="preserve">
This is scaled up for total supplement
</t>
        </r>
      </text>
    </comment>
    <comment ref="G48" authorId="0" shapeId="0" xr:uid="{E2FD5586-09AD-43DB-AE28-9E63A65013D1}">
      <text>
        <r>
          <rPr>
            <b/>
            <sz val="9"/>
            <color indexed="81"/>
            <rFont val="Tahoma"/>
            <family val="2"/>
          </rPr>
          <t>Ben Marmont:</t>
        </r>
        <r>
          <rPr>
            <sz val="9"/>
            <color indexed="81"/>
            <rFont val="Tahoma"/>
            <family val="2"/>
          </rPr>
          <t xml:space="preserve">
This could be linked to stock class and intake.
</t>
        </r>
      </text>
    </comment>
  </commentList>
</comments>
</file>

<file path=xl/sharedStrings.xml><?xml version="1.0" encoding="utf-8"?>
<sst xmlns="http://schemas.openxmlformats.org/spreadsheetml/2006/main" count="710" uniqueCount="401">
  <si>
    <t>Assumptions</t>
  </si>
  <si>
    <t>Assume that no methane in the first 60 days of a calves life as it it fed mild and therefore no ch4 produced</t>
  </si>
  <si>
    <t>Assume don't feed inhibitors or premium supplement to young stock? (more cost efficient targetting of ch4 as ch4 linked to DMI)</t>
  </si>
  <si>
    <t>Assume no drys during season</t>
  </si>
  <si>
    <t>Assumes there is supplement substitution in high input systems and thus some cost savings</t>
  </si>
  <si>
    <t>Assumes no economies of scale as number of machines increases</t>
  </si>
  <si>
    <t>Assume you can buy inhibitor already mixed with premium supplement for a set cost of inhibitor + supplement with no mixing or on farm infrastructure needed (basic tractor and vehicle to tow trailer)</t>
  </si>
  <si>
    <t>Assume that only cows are fed inhibitor, younger stock is included in methane calculations but not fed inhibitor. Emissions are linked to DMI, so should target animals with higher DMI for cost effective mitigation.</t>
  </si>
  <si>
    <t>Assume that methane inhibitor works at given reduction, rather than trying to calculate an inhibitory effect curve for which there is not sufficient data.</t>
  </si>
  <si>
    <t>Assume a premium supplement is needed to prevent any health risks occuring if dominant animals steal food. Also needs to be peleted to stop inhibitor stratifying in hopper.</t>
  </si>
  <si>
    <t>Instructions</t>
  </si>
  <si>
    <t>Use drop downs where appropriate</t>
  </si>
  <si>
    <t xml:space="preserve">Move to the "output" tab and view the scaled financials, note the boldened breakeven methane point </t>
  </si>
  <si>
    <t>which is the point at which costs are equal to benefits for adopting smart feeders as a method to delive methane inhibitors</t>
  </si>
  <si>
    <t>This point is implicit of both a tax/charge on emissions and any incentive to adopt the technology.</t>
  </si>
  <si>
    <t>Physical Characteristics</t>
  </si>
  <si>
    <t>Value</t>
  </si>
  <si>
    <t>Input value</t>
  </si>
  <si>
    <t>Notes</t>
  </si>
  <si>
    <t>This effects:</t>
  </si>
  <si>
    <t>Effective hectares</t>
  </si>
  <si>
    <t>Stocking rate</t>
  </si>
  <si>
    <t>Milking frequency lookup table</t>
  </si>
  <si>
    <t>Inhibitor Period lookup table</t>
  </si>
  <si>
    <t>Peak cows milked</t>
  </si>
  <si>
    <t>Everything</t>
  </si>
  <si>
    <t>Interval</t>
  </si>
  <si>
    <t>in-shed feedings</t>
  </si>
  <si>
    <t>Duration</t>
  </si>
  <si>
    <t>Ratio of Year</t>
  </si>
  <si>
    <t>Days</t>
  </si>
  <si>
    <t>Stocking rate (cows/ha)</t>
  </si>
  <si>
    <t>Calculated</t>
  </si>
  <si>
    <t>OAD</t>
  </si>
  <si>
    <t>All Year</t>
  </si>
  <si>
    <t>Kg milksolids sold</t>
  </si>
  <si>
    <t>Financials scaled by this</t>
  </si>
  <si>
    <t>TAD</t>
  </si>
  <si>
    <t>Half Year</t>
  </si>
  <si>
    <t>Milksolids sold per hectare</t>
  </si>
  <si>
    <t>3in2</t>
  </si>
  <si>
    <t>All Season</t>
  </si>
  <si>
    <t>Milksolids sold per cow</t>
  </si>
  <si>
    <t>7in10</t>
  </si>
  <si>
    <t>Half Season</t>
  </si>
  <si>
    <t>PAYOUT RECEIVED: $/kg MS sold</t>
  </si>
  <si>
    <t>Profitability</t>
  </si>
  <si>
    <t>Region</t>
  </si>
  <si>
    <t>Waikato</t>
  </si>
  <si>
    <t>Financials chosen by this</t>
  </si>
  <si>
    <t>In shed feeding</t>
  </si>
  <si>
    <t>Inhibitor delivery</t>
  </si>
  <si>
    <t>Peak lactation supplement (kg/day/cow)</t>
  </si>
  <si>
    <t>Supplement</t>
  </si>
  <si>
    <t>Cost of peak lactation supplement ($/t)</t>
  </si>
  <si>
    <t>Milking frequency</t>
  </si>
  <si>
    <t>Supplement and inhibitor</t>
  </si>
  <si>
    <t>How many in-paddock smart-feedings per day?</t>
  </si>
  <si>
    <t>How many days of the YEAR will inhibitors be fed **</t>
  </si>
  <si>
    <t>Implicit total inhibitor feedings (in-shed + in-paddock)</t>
  </si>
  <si>
    <t>What is the assumed methane mitigation (%) *</t>
  </si>
  <si>
    <t>Take ch4 reduction at this stated value, rather than trying to derive a temporal mitigation profile</t>
  </si>
  <si>
    <t>Methane mitigated</t>
  </si>
  <si>
    <t>Sub-model performance inputs</t>
  </si>
  <si>
    <t>Input Value</t>
  </si>
  <si>
    <t xml:space="preserve">Notes </t>
  </si>
  <si>
    <t>*</t>
  </si>
  <si>
    <t>Assumed methane mitigation because it is not possible to make accurate assumptions about reduction level given number of deliveries per day</t>
  </si>
  <si>
    <t>Euro:NZD</t>
  </si>
  <si>
    <t>See exchange rate</t>
  </si>
  <si>
    <t>3-NOP cost</t>
  </si>
  <si>
    <t xml:space="preserve">Hence, assume a given level with given feedings and explore. Sensitivity analysis will obviously prefer fewer feedings and maximum reduction. </t>
  </si>
  <si>
    <t>AUD:NZD</t>
  </si>
  <si>
    <t>Asparagopsis cost</t>
  </si>
  <si>
    <t>**</t>
  </si>
  <si>
    <t>Builds in the idea of targetting certain times of year for inhibitor delivery</t>
  </si>
  <si>
    <t>Price 3NOP (euro cents/litre milk)</t>
  </si>
  <si>
    <t>Check for press release</t>
  </si>
  <si>
    <t>*****</t>
  </si>
  <si>
    <t>Drop down i.e. all year, all season, half season (peak) and estimate percentage of total emissions for cost efficiency</t>
  </si>
  <si>
    <t>Price Asp. (AUD/kg)</t>
  </si>
  <si>
    <t>See beef and lamb CBA</t>
  </si>
  <si>
    <t>Daily allocation premium supplement (kg/cow/day)</t>
  </si>
  <si>
    <t>Cost of premium supplement ($/t)</t>
  </si>
  <si>
    <t>Monthly machine rental ($/month/machine)</t>
  </si>
  <si>
    <t>Smart feeder cost</t>
  </si>
  <si>
    <t>Monthly machine maintenance ($/month/machine)</t>
  </si>
  <si>
    <t xml:space="preserve">Labour cost (1 FTE) </t>
  </si>
  <si>
    <t xml:space="preserve">Weekly labour/machine </t>
  </si>
  <si>
    <t>Annual methane emissions/animal (kg)</t>
  </si>
  <si>
    <t>See methane submodel</t>
  </si>
  <si>
    <t>Methane emissions</t>
  </si>
  <si>
    <t>Maximum animals per machine</t>
  </si>
  <si>
    <t>Methane inhibitor</t>
  </si>
  <si>
    <t>inhibitor cost</t>
  </si>
  <si>
    <t>Animal Intake over the year ( DMI t/cow/year)</t>
  </si>
  <si>
    <t>4.72 is the norm, see DNZ Economics Group report</t>
  </si>
  <si>
    <t>..</t>
  </si>
  <si>
    <t>Average Lactation Length (Days i.e. Days in milk)</t>
  </si>
  <si>
    <t>Trying to make a profile of intake and therefore emissions. This can be used to target peak emissions by choosing the part of the year the machine is most efective</t>
  </si>
  <si>
    <t>Methane mitigated and cost duration</t>
  </si>
  <si>
    <t>Dry Matter Content of premium supplement</t>
  </si>
  <si>
    <t>Pasture Utilisation</t>
  </si>
  <si>
    <t>Potential additional inputs</t>
  </si>
  <si>
    <t xml:space="preserve">Methane </t>
  </si>
  <si>
    <t>Count of Rising One Year Olds (r1s)</t>
  </si>
  <si>
    <t>Count of Rising Two Year Olds (r2s)</t>
  </si>
  <si>
    <t>Count of Calves over 60days old (long term)</t>
  </si>
  <si>
    <t>DMI for calves (kg/day)</t>
  </si>
  <si>
    <t>DMI for Drys (kg/day)</t>
  </si>
  <si>
    <t>DMI for lactating (kg/day)</t>
  </si>
  <si>
    <t>DMI for R1s (kg/day)</t>
  </si>
  <si>
    <t>DMI for R2s (kg/day)</t>
  </si>
  <si>
    <t>Calculated average animal intake over the year</t>
  </si>
  <si>
    <t>4.72 average</t>
  </si>
  <si>
    <t>Methane emissions and pasture utilisation</t>
  </si>
  <si>
    <t>Cash and Non-Cash Effects of Methane Inhibitors in Pasture Based Dairy</t>
  </si>
  <si>
    <t>MILKSOLID Basis</t>
  </si>
  <si>
    <t>Dollar Representation For Given Characteristics</t>
  </si>
  <si>
    <t xml:space="preserve">Adding Profitability </t>
  </si>
  <si>
    <t>Introducing Mitigations + Emissions</t>
  </si>
  <si>
    <t>Baseline</t>
  </si>
  <si>
    <t>Adopter</t>
  </si>
  <si>
    <t>Dairy Cash Income $ MS Basis</t>
  </si>
  <si>
    <t>Dairy Cash Income ($)</t>
  </si>
  <si>
    <t>Milk sales (net of dairy levies) per kg MS</t>
  </si>
  <si>
    <t>Milk sales (net of dairy levies)</t>
  </si>
  <si>
    <t>Net livestock sales (sales - purchases) per kg MS</t>
  </si>
  <si>
    <t>Net livestock sales (sales - purchases)</t>
  </si>
  <si>
    <t>Other dairy cash income per kg MS</t>
  </si>
  <si>
    <t xml:space="preserve">Other dairy cash income </t>
  </si>
  <si>
    <t>Net dairy cash income per kg MS</t>
  </si>
  <si>
    <t>Net dairy cash income</t>
  </si>
  <si>
    <t>Cash Working Expenses MS Basis</t>
  </si>
  <si>
    <t>Cash Working Expenses ($)</t>
  </si>
  <si>
    <t>Wages per kg MS</t>
  </si>
  <si>
    <t>Wages</t>
  </si>
  <si>
    <t>Net feed made, purchased, cropped per kg MS</t>
  </si>
  <si>
    <t>Net feed made, purchased, cropped</t>
  </si>
  <si>
    <t>Vehicles &amp; fuel per kg MS</t>
  </si>
  <si>
    <t xml:space="preserve">Vehicles &amp; fuel </t>
  </si>
  <si>
    <t>Repairs &amp; maintenance per kg MS</t>
  </si>
  <si>
    <t>Repairs &amp; maintenance</t>
  </si>
  <si>
    <t>Methane Inhibitor per kg MS</t>
  </si>
  <si>
    <t>Methane Inhibitor</t>
  </si>
  <si>
    <t>Other Expenses per kg MS</t>
  </si>
  <si>
    <t>Other Expenses</t>
  </si>
  <si>
    <t>Farm Working Expense</t>
  </si>
  <si>
    <t>Adjustments MS Basis</t>
  </si>
  <si>
    <t>Adjustments ($)</t>
  </si>
  <si>
    <t>Net Adjustments per kg MS</t>
  </si>
  <si>
    <t>Net Adjustments</t>
  </si>
  <si>
    <t>Surplus</t>
  </si>
  <si>
    <t>Cash Operating Surplus</t>
  </si>
  <si>
    <t>Operating Cash and Non-cash</t>
  </si>
  <si>
    <t>Dairy Gross Farm Revenue</t>
  </si>
  <si>
    <t>Dairy Operating Expense</t>
  </si>
  <si>
    <t>Dairy Operating Profit</t>
  </si>
  <si>
    <t>Dairy Profit Margin</t>
  </si>
  <si>
    <t>Environmental Performance</t>
  </si>
  <si>
    <t>Intial Methane Emissions (kg ch4)</t>
  </si>
  <si>
    <t>Abated Methane Emission (kg ch4)</t>
  </si>
  <si>
    <t>Cost of Abatement ($)</t>
  </si>
  <si>
    <t>$/kg Cost of Abatement (breakeven price $/kg CH4)</t>
  </si>
  <si>
    <t>Cost of Abatement ($/t/co2e)</t>
  </si>
  <si>
    <t>Operating Cash and Non-cash (With Emission Pricing)</t>
  </si>
  <si>
    <t>Emission Charge</t>
  </si>
  <si>
    <t>Breakeven price is implicit, that is it includes a speculated tax and incentive (i.e $0.11/kg CH4 in addition to any adoption incentives</t>
  </si>
  <si>
    <t>Pasture Uitilisation Forgone</t>
  </si>
  <si>
    <t>* Denotes assumption</t>
  </si>
  <si>
    <t>Denotes input to be changed</t>
  </si>
  <si>
    <t>OLD</t>
  </si>
  <si>
    <t>Active</t>
  </si>
  <si>
    <t>Supplementary feed</t>
  </si>
  <si>
    <t>Smart feeder</t>
  </si>
  <si>
    <t>Labour</t>
  </si>
  <si>
    <t>CH4 Emissions</t>
  </si>
  <si>
    <t>Machine count calculator</t>
  </si>
  <si>
    <t>Emission Calculator with Reduction by Stock Class</t>
  </si>
  <si>
    <t>MODEL INPUT</t>
  </si>
  <si>
    <t>DDGs *</t>
  </si>
  <si>
    <t>Zeddy (assume rental)</t>
  </si>
  <si>
    <t>Moving</t>
  </si>
  <si>
    <t>Inhibitor cost/cost/cow/year</t>
  </si>
  <si>
    <t>Substitution between DDG and existing supplement in higher input systems</t>
  </si>
  <si>
    <t>Maintenance?</t>
  </si>
  <si>
    <t>Refilling</t>
  </si>
  <si>
    <t>Predicting enteric methane emission of dairy cows with milk Fourier-transform infrared spectra and gas chromatography–based milk fatty acid profiles - ScienceDirect (waikato.ac.nz)</t>
  </si>
  <si>
    <t>x</t>
  </si>
  <si>
    <t>db_op_adjustments_labour-supportblock-feed_2021-22.pdf (dairynz.co.nz)</t>
  </si>
  <si>
    <t>Dose-response effect of 3-nitrooxypropanol on enteric methane emissions in dairy cows - ScienceDirect (waikato.ac.nz)</t>
  </si>
  <si>
    <t>Stock Class Annual Emissions</t>
  </si>
  <si>
    <t>FTE Hours</t>
  </si>
  <si>
    <t>pa</t>
  </si>
  <si>
    <t>Climate change basics - DairyNZ</t>
  </si>
  <si>
    <t>Calve (long term)</t>
  </si>
  <si>
    <t>R1</t>
  </si>
  <si>
    <t>R2</t>
  </si>
  <si>
    <t>Dry</t>
  </si>
  <si>
    <t>Lactating</t>
  </si>
  <si>
    <t>be very careful that it is 150kg of ch4 rather than co2e</t>
  </si>
  <si>
    <t>Count</t>
  </si>
  <si>
    <t>Input:</t>
  </si>
  <si>
    <t>Raw input</t>
  </si>
  <si>
    <t>Transformed input</t>
  </si>
  <si>
    <t>Output</t>
  </si>
  <si>
    <t>150kg ch4/cow/year</t>
  </si>
  <si>
    <t>Maximum animals per machine*</t>
  </si>
  <si>
    <t>ASSUMPTION</t>
  </si>
  <si>
    <t>DMI</t>
  </si>
  <si>
    <t>Manufactured by DSM</t>
  </si>
  <si>
    <t>Rental (monthly)</t>
  </si>
  <si>
    <t>Labour cost (1 FTE salary)</t>
  </si>
  <si>
    <t>Taken from other page</t>
  </si>
  <si>
    <t>Days in class</t>
  </si>
  <si>
    <t>1 European cent per litre of milk</t>
  </si>
  <si>
    <t>refernce as pers comms, not a tweet lol</t>
  </si>
  <si>
    <t>Maintenance (monthly)</t>
  </si>
  <si>
    <t>Hours per week (per machine)</t>
  </si>
  <si>
    <t>DNZ stats 98kg/cow/year</t>
  </si>
  <si>
    <t>Emissions Factor</t>
  </si>
  <si>
    <t>11.5 kg MS makes 1 litre of milk</t>
  </si>
  <si>
    <t>Dairy by the numbers | Smart Business Centre</t>
  </si>
  <si>
    <t xml:space="preserve">Number of machines </t>
  </si>
  <si>
    <t>Hours annually (FTE per machine)</t>
  </si>
  <si>
    <t>Total (kg ch4)</t>
  </si>
  <si>
    <t>kg</t>
  </si>
  <si>
    <t>Cost annually (per machine)</t>
  </si>
  <si>
    <t>Check with Elena, she may have a preferred source regarding this</t>
  </si>
  <si>
    <t>Total monthly rental cost</t>
  </si>
  <si>
    <t>Cost annually (all machines)</t>
  </si>
  <si>
    <t>Stock Class Methane After Reduction</t>
  </si>
  <si>
    <t>Euro to NZD</t>
  </si>
  <si>
    <t>Total annual rental cost</t>
  </si>
  <si>
    <t>Numer of machines</t>
  </si>
  <si>
    <t>he_waka_eke_noa_recommendations_summary_jun22.pdf (dairynz.co.nz)</t>
  </si>
  <si>
    <t>Inhibitor Period</t>
  </si>
  <si>
    <t>kg MS : Litre milk</t>
  </si>
  <si>
    <t>Cost monthly (per machine)</t>
  </si>
  <si>
    <t>HWEN recommends initial price ceiling on methane of $0.11/kg CH4.</t>
  </si>
  <si>
    <t>Price of 3-NOP (european cents)</t>
  </si>
  <si>
    <t>Total monthly maintenance</t>
  </si>
  <si>
    <t>Price of 3-NOP (NZD per kg MS)</t>
  </si>
  <si>
    <t>Total annual maintenance</t>
  </si>
  <si>
    <t>Cost monthly (all machines)</t>
  </si>
  <si>
    <t xml:space="preserve">Value of incentives yet to be determined. </t>
  </si>
  <si>
    <t>Cost of 3-NOP/cow/year</t>
  </si>
  <si>
    <t>Annual labour cost (all machines)</t>
  </si>
  <si>
    <t>Breakeven is a combination of tax and incentive if HWEN</t>
  </si>
  <si>
    <t>Maintenance is part of contract</t>
  </si>
  <si>
    <t>is succesful, otherwise ETS co2e price.</t>
  </si>
  <si>
    <t>Can also source the conversion of ms:Litre</t>
  </si>
  <si>
    <t>Stock Class Methane Reduction</t>
  </si>
  <si>
    <t>for milk composition</t>
  </si>
  <si>
    <t>emissions factor</t>
  </si>
  <si>
    <t>21.6 g/kg DMI</t>
  </si>
  <si>
    <t>Detailed methodologies for agricultural greenhouse gas emission calculation (mpi.govt.nz)</t>
  </si>
  <si>
    <t>T</t>
  </si>
  <si>
    <t>B.CCH.6187 (2015 06 15) Final Report (mla.com.au)</t>
  </si>
  <si>
    <t>dmi</t>
  </si>
  <si>
    <t>FutureFeed - Wikipedia</t>
  </si>
  <si>
    <t>The wikipedia page has useful info about pricing</t>
  </si>
  <si>
    <t>Total ch4 (kg)</t>
  </si>
  <si>
    <t>Quantity purchased</t>
  </si>
  <si>
    <t>Total ch4 (t)</t>
  </si>
  <si>
    <t>Farm Emission Effect</t>
  </si>
  <si>
    <t>Price/kg (AUD)</t>
  </si>
  <si>
    <t>cotter et al</t>
  </si>
  <si>
    <t>Year Intake</t>
  </si>
  <si>
    <t>Baseline (kg ch4)</t>
  </si>
  <si>
    <t>Reduction (kg ch4)</t>
  </si>
  <si>
    <t>% Reduction</t>
  </si>
  <si>
    <t>Incumbent Supplement (kg)</t>
  </si>
  <si>
    <t>Substitution (Supp. For grass)</t>
  </si>
  <si>
    <t>Price/kg(NZD)</t>
  </si>
  <si>
    <t>Premium Supplement (kg)</t>
  </si>
  <si>
    <t>Asp. Diet percentage</t>
  </si>
  <si>
    <t>black et al</t>
  </si>
  <si>
    <t>Total Supplement (kg)</t>
  </si>
  <si>
    <t>Yearly cow intake (t DMI)</t>
  </si>
  <si>
    <t>DNZ economics group</t>
  </si>
  <si>
    <t>Yearly DMI (kg)</t>
  </si>
  <si>
    <t>Yearly cow intake (kg DMI)</t>
  </si>
  <si>
    <t>Assumed Pasture Utilisation</t>
  </si>
  <si>
    <t>Yearly asp./cow</t>
  </si>
  <si>
    <t>Premium Supplement DM %</t>
  </si>
  <si>
    <t>Cost of asp./cow</t>
  </si>
  <si>
    <t>https://www.dairynz.co.nz/feed/supplements/feed-values/</t>
  </si>
  <si>
    <t>Link to DM% in supplements</t>
  </si>
  <si>
    <t>Variable</t>
  </si>
  <si>
    <t>Northland</t>
  </si>
  <si>
    <t>Bay of Plenty</t>
  </si>
  <si>
    <t>Taranaki</t>
  </si>
  <si>
    <t>Lower North Island</t>
  </si>
  <si>
    <t>West Coast-Tasman</t>
  </si>
  <si>
    <t>Marlborough-Canterbury</t>
  </si>
  <si>
    <t>Otago-Southland</t>
  </si>
  <si>
    <t>Number of herds</t>
  </si>
  <si>
    <t>Operating profit margin</t>
  </si>
  <si>
    <t>Animal health per kg MS</t>
  </si>
  <si>
    <t>Breeding &amp; herd improvement per kg MS</t>
  </si>
  <si>
    <t>Farm dairy per kg MS</t>
  </si>
  <si>
    <t>Electricity per kg MS</t>
  </si>
  <si>
    <t>Stock grazing per kg MS</t>
  </si>
  <si>
    <t>Support block lease per kg MS</t>
  </si>
  <si>
    <t>Fertiliser (incl Nitrogen) per kg MS</t>
  </si>
  <si>
    <t>Irrigation per kg MS</t>
  </si>
  <si>
    <t>Regrassing per kg MS</t>
  </si>
  <si>
    <t>Weed &amp; pest per kg MS</t>
  </si>
  <si>
    <t>Freight &amp; general per kg MS</t>
  </si>
  <si>
    <t>Administration per kg MS</t>
  </si>
  <si>
    <t>Insurance per kg MS</t>
  </si>
  <si>
    <t>ACC per kg MS</t>
  </si>
  <si>
    <t>Rates per kg MS</t>
  </si>
  <si>
    <t>Value of change in dairy livestock per kg MS</t>
  </si>
  <si>
    <t>Labour adjustment per kg MS</t>
  </si>
  <si>
    <t>Feed inventory adjustment per kg MS</t>
  </si>
  <si>
    <t>Owned support block adjustment per kg MS</t>
  </si>
  <si>
    <t>Depreciation per kg MS</t>
  </si>
  <si>
    <t>Operating Cash and Non-Cash MS Basis</t>
  </si>
  <si>
    <t>Farm working expenses per kg MS</t>
  </si>
  <si>
    <t>Cash operating surplus per kg MS</t>
  </si>
  <si>
    <t>Dairy gross farm revenue per kg MS</t>
  </si>
  <si>
    <t>Dairy operating expenses per kg MS</t>
  </si>
  <si>
    <t>Dairy operating profit per kg MS</t>
  </si>
  <si>
    <t>Operating Cash and Non-Cash HA Basis</t>
  </si>
  <si>
    <t>Dairy gross farm revenue per ha</t>
  </si>
  <si>
    <t>Dairy operating expenses per ha</t>
  </si>
  <si>
    <t>Dairy operating profit per ha</t>
  </si>
  <si>
    <t>Operating Profit Margin</t>
  </si>
  <si>
    <t>Grouping highlighted values</t>
  </si>
  <si>
    <t>Emissions Penalty per kg MS</t>
  </si>
  <si>
    <t>Feed Composition</t>
  </si>
  <si>
    <t>Total Supplement (t)</t>
  </si>
  <si>
    <t>Incumbent (t)</t>
  </si>
  <si>
    <t>Premium (t)</t>
  </si>
  <si>
    <t>Total Supplement (t/cow/pa)</t>
  </si>
  <si>
    <t>Incumbent Quantity (kg/cow/day)</t>
  </si>
  <si>
    <t>Premium Quantity (kg/cow/day)</t>
  </si>
  <si>
    <t>Incumbent Price ($/t)</t>
  </si>
  <si>
    <t>Premium Price ($/t)</t>
  </si>
  <si>
    <t>Additional Supplement (kg/day)</t>
  </si>
  <si>
    <t>Cost Difference ($/kg)</t>
  </si>
  <si>
    <t>Total imported feed</t>
  </si>
  <si>
    <t>Incumbent (t/cow/year)</t>
  </si>
  <si>
    <t>Premium (t/cow/year)</t>
  </si>
  <si>
    <t>Value Imported feed</t>
  </si>
  <si>
    <t>Incumbent ($/cow/year)</t>
  </si>
  <si>
    <t>Premium ($/cow/year)</t>
  </si>
  <si>
    <t>Marginal cost ($cow/year)</t>
  </si>
  <si>
    <t>Total imported feed (t/cow/year)</t>
  </si>
  <si>
    <t>Total ($/cow/year)</t>
  </si>
  <si>
    <t>Total Imported Feed (t/year)</t>
  </si>
  <si>
    <t>Cost of Imported Feed ($/year)</t>
  </si>
  <si>
    <t>Nill</t>
  </si>
  <si>
    <t>Holistic Supplement Information table</t>
  </si>
  <si>
    <t>Assume breed is Jersey-Fresian Cross (average) for intake calculations</t>
  </si>
  <si>
    <t>Assume you can rent smart feeder for any amount of time, i.e. you could do it for hald a season without being locked in for the whole year.</t>
  </si>
  <si>
    <t>Pasture Proportion of Diet (relative to premium supplement)</t>
  </si>
  <si>
    <t>Assume that a 'Premium feed'is required to be used to deliver methane inhibitors via smart feeders to prevent in-hopper stratification, remove the need to active large amount of active compounds on farm and removes the risk of overindulgence of dominant animals.</t>
  </si>
  <si>
    <t>Farm Descriptors</t>
  </si>
  <si>
    <t>Farm System Descriptors</t>
  </si>
  <si>
    <t>Inhibitor Performance</t>
  </si>
  <si>
    <t>Change the values in Scenario Inputs for broad testing. Finer tweaks can be made in the 'Fine Tuning' worksheet.</t>
  </si>
  <si>
    <t>This will scale physical, financial and environmental values to based upon the input characteristics.</t>
  </si>
  <si>
    <t>In this Tab any changes should be in column 'B'. Changes should only be made to highlighted cells. Fundamental changes should be made in 'Scenario Inputs'instead of here.</t>
  </si>
  <si>
    <t>The highlighted tabs are the relevant tabs with inputs and outputs. The rest are the data transformations or inputs that shouldn't generally be changed.</t>
  </si>
  <si>
    <t xml:space="preserve">How many days of the YEAR will inhibitors be fed </t>
  </si>
  <si>
    <t xml:space="preserve">What is the assumed methane mitigation (%) </t>
  </si>
  <si>
    <t>Methane emission profile for whole farm given stock class specific inhibitor administration</t>
  </si>
  <si>
    <t>Assume that you deliver the inhibitor enough times for in-paddock scenarios for the inhibitor to have a full effect</t>
  </si>
  <si>
    <t>For substitutions sake let the price of both supplements remain the same and the stated % reduction comes from the quantity. I.e.25% sunstitution is .25*1.6(daily allocation)</t>
  </si>
  <si>
    <t>Milk Response to Supplement</t>
  </si>
  <si>
    <t>https://www.dairynz.co.nz/feed/supplements/milksolids-response-to-supplements/</t>
  </si>
  <si>
    <t>Gram MS per KG DM of supplement</t>
  </si>
  <si>
    <t>DM% (supplement)</t>
  </si>
  <si>
    <t>KG</t>
  </si>
  <si>
    <t xml:space="preserve">Under ideal research conditions, supplementary feeds return </t>
  </si>
  <si>
    <t>approximately 70 – 80g MS/kg DM fed and 55 in commercial farms</t>
  </si>
  <si>
    <t>KG DM of supplement</t>
  </si>
  <si>
    <t>Payout Received</t>
  </si>
  <si>
    <t>Cow count</t>
  </si>
  <si>
    <t>Additional marginal supplement (kg/cow/pa)</t>
  </si>
  <si>
    <t>Additional MS production/cow/pa (gram)</t>
  </si>
  <si>
    <t>Additional MS production/cow/pa (kg)</t>
  </si>
  <si>
    <t>Farm additional ms production pa</t>
  </si>
  <si>
    <t>Value of additional ms production to farm pa</t>
  </si>
  <si>
    <t>Additional Milk Production From Supplement</t>
  </si>
  <si>
    <t>Days supplement fed during season</t>
  </si>
  <si>
    <t>DNZ Facts and Fidures page 94</t>
  </si>
  <si>
    <t>facts n figs p 66</t>
  </si>
  <si>
    <t>3-NOP (Bovaer)</t>
  </si>
  <si>
    <t>No</t>
  </si>
  <si>
    <t>Use best estimates if exact values are not available, cells cannot be blank</t>
  </si>
  <si>
    <r>
      <t xml:space="preserve">Asparagopsis </t>
    </r>
    <r>
      <rPr>
        <b/>
        <sz val="11"/>
        <color rgb="FFFF0000"/>
        <rFont val="Calibri"/>
        <family val="2"/>
        <scheme val="minor"/>
      </rPr>
      <t>(Seaweed)</t>
    </r>
  </si>
  <si>
    <r>
      <t xml:space="preserve">3-Nitrooxypropanol </t>
    </r>
    <r>
      <rPr>
        <b/>
        <sz val="11"/>
        <color rgb="FFFF0000"/>
        <rFont val="Calibri"/>
        <family val="2"/>
        <scheme val="minor"/>
      </rPr>
      <t>(Bovaer)</t>
    </r>
  </si>
  <si>
    <t>Assume no carryovers (i.e. #dry = #lactating)</t>
  </si>
  <si>
    <t xml:space="preserve">Raw input data which is essentially the data downloaded from the DNZ Economic Farm Survey can be found in the 'raw input' data tab. </t>
  </si>
  <si>
    <t xml:space="preserve">The 'grouped input data' tab distills flows that are unchanged by this approach into 'Other Expenses' </t>
  </si>
  <si>
    <t>The 'financial input' tab is where the underlying financials are collected and then scaled</t>
  </si>
  <si>
    <t>The 'sib models' sheet contains the scaling of costs and revenue associated with the approach.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</si>
</sst>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0.000"/>
  </numFmts>
  <fonts count="25" x14ac:knownFonts="1">
    <font>
      <sz val="11"/>
      <color theme="1"/>
      <name val="Calibri"/>
      <family val="2"/>
      <scheme val="minor"/>
    </font>
    <font>
      <b/>
      <sz val="11"/>
      <color theme="1"/>
      <name val="Calibri"/>
      <family val="2"/>
      <scheme val="minor"/>
    </font>
    <font>
      <b/>
      <sz val="18"/>
      <color theme="1"/>
      <name val="Calibri"/>
      <family val="2"/>
      <scheme val="minor"/>
    </font>
    <font>
      <b/>
      <sz val="20"/>
      <color theme="1"/>
      <name val="Calibri"/>
      <family val="2"/>
      <scheme val="minor"/>
    </font>
    <font>
      <u/>
      <sz val="11"/>
      <color theme="10"/>
      <name val="Calibri"/>
      <family val="2"/>
      <scheme val="minor"/>
    </font>
    <font>
      <b/>
      <sz val="9"/>
      <color indexed="81"/>
      <name val="Tahoma"/>
      <family val="2"/>
    </font>
    <font>
      <sz val="9"/>
      <color indexed="81"/>
      <name val="Tahoma"/>
      <family val="2"/>
    </font>
    <font>
      <sz val="11"/>
      <color rgb="FFFF0000"/>
      <name val="Calibri"/>
      <family val="2"/>
      <scheme val="minor"/>
    </font>
    <font>
      <b/>
      <sz val="11"/>
      <color rgb="FFFF0000"/>
      <name val="Calibri"/>
      <family val="2"/>
      <scheme val="minor"/>
    </font>
    <font>
      <b/>
      <i/>
      <u/>
      <sz val="11"/>
      <color theme="1"/>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4"/>
      <color theme="1"/>
      <name val="Calibri"/>
      <family val="2"/>
      <scheme val="minor"/>
    </font>
    <font>
      <b/>
      <sz val="22"/>
      <color theme="1"/>
      <name val="Calibri"/>
      <family val="2"/>
      <scheme val="minor"/>
    </font>
    <font>
      <b/>
      <sz val="24"/>
      <color theme="1"/>
      <name val="Calibri"/>
      <family val="2"/>
      <scheme val="minor"/>
    </font>
    <font>
      <sz val="14"/>
      <color theme="1"/>
      <name val="Calibri"/>
      <family val="2"/>
      <scheme val="minor"/>
    </font>
    <font>
      <sz val="22"/>
      <color theme="1"/>
      <name val="Calibri"/>
      <family val="2"/>
      <scheme val="minor"/>
    </font>
    <font>
      <b/>
      <u/>
      <sz val="14"/>
      <color theme="1"/>
      <name val="Calibri"/>
      <family val="2"/>
      <scheme val="minor"/>
    </font>
    <font>
      <b/>
      <i/>
      <sz val="11"/>
      <color theme="1"/>
      <name val="Calibri"/>
      <family val="2"/>
      <scheme val="minor"/>
    </font>
    <font>
      <b/>
      <sz val="36"/>
      <color rgb="FFFF0000"/>
      <name val="Calibri"/>
      <family val="2"/>
      <scheme val="minor"/>
    </font>
    <font>
      <b/>
      <u/>
      <sz val="11"/>
      <color theme="1"/>
      <name val="Calibri"/>
      <family val="2"/>
      <scheme val="minor"/>
    </font>
    <font>
      <sz val="20"/>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6"/>
        <bgColor indexed="64"/>
      </patternFill>
    </fill>
    <fill>
      <patternFill patternType="solid">
        <fgColor theme="1"/>
        <bgColor indexed="64"/>
      </patternFill>
    </fill>
    <fill>
      <patternFill patternType="solid">
        <fgColor theme="0" tint="-0.34998626667073579"/>
        <bgColor indexed="64"/>
      </patternFill>
    </fill>
    <fill>
      <patternFill patternType="solid">
        <fgColor theme="2"/>
        <bgColor indexed="64"/>
      </patternFill>
    </fill>
  </fills>
  <borders count="28">
    <border>
      <left/>
      <right/>
      <top/>
      <bottom/>
      <diagonal/>
    </border>
    <border>
      <left/>
      <right/>
      <top/>
      <bottom style="thin">
        <color indexed="64"/>
      </bottom>
      <diagonal/>
    </border>
    <border>
      <left/>
      <right/>
      <top/>
      <bottom style="medium">
        <color indexed="64"/>
      </bottom>
      <diagonal/>
    </border>
    <border>
      <left/>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s>
  <cellStyleXfs count="2">
    <xf numFmtId="0" fontId="0" fillId="0" borderId="0"/>
    <xf numFmtId="0" fontId="4" fillId="0" borderId="0" applyNumberFormat="0" applyFill="0" applyBorder="0" applyAlignment="0" applyProtection="0"/>
  </cellStyleXfs>
  <cellXfs count="184">
    <xf numFmtId="0" fontId="0" fillId="0" borderId="0" xfId="0"/>
    <xf numFmtId="0" fontId="1" fillId="0" borderId="0" xfId="0" applyFont="1" applyAlignment="1">
      <alignment horizontal="center"/>
    </xf>
    <xf numFmtId="2" fontId="1" fillId="0" borderId="0" xfId="0" applyNumberFormat="1" applyFont="1" applyAlignment="1">
      <alignment horizontal="center"/>
    </xf>
    <xf numFmtId="2" fontId="0" fillId="0" borderId="0" xfId="0" applyNumberFormat="1"/>
    <xf numFmtId="0" fontId="1" fillId="0" borderId="0" xfId="0" applyFont="1"/>
    <xf numFmtId="0" fontId="0" fillId="2" borderId="0" xfId="0" applyFill="1"/>
    <xf numFmtId="3" fontId="0" fillId="0" borderId="0" xfId="0" applyNumberFormat="1"/>
    <xf numFmtId="2" fontId="0" fillId="2" borderId="0" xfId="0" applyNumberFormat="1" applyFill="1"/>
    <xf numFmtId="0" fontId="0" fillId="0" borderId="1" xfId="0" applyBorder="1"/>
    <xf numFmtId="2" fontId="0" fillId="0" borderId="1" xfId="0" applyNumberFormat="1" applyBorder="1"/>
    <xf numFmtId="0" fontId="0" fillId="0" borderId="2" xfId="0" applyBorder="1"/>
    <xf numFmtId="2" fontId="0" fillId="0" borderId="2" xfId="0" applyNumberFormat="1" applyBorder="1"/>
    <xf numFmtId="0" fontId="0" fillId="0" borderId="3" xfId="0" applyBorder="1"/>
    <xf numFmtId="0" fontId="1" fillId="0" borderId="2" xfId="0" applyFont="1" applyBorder="1" applyAlignment="1">
      <alignment horizontal="center"/>
    </xf>
    <xf numFmtId="0" fontId="1" fillId="0" borderId="2" xfId="0" applyFont="1" applyBorder="1" applyAlignment="1">
      <alignment horizontal="right"/>
    </xf>
    <xf numFmtId="2" fontId="1" fillId="0" borderId="0" xfId="0" applyNumberFormat="1" applyFont="1" applyAlignment="1">
      <alignment horizontal="right"/>
    </xf>
    <xf numFmtId="0" fontId="0" fillId="0" borderId="0" xfId="0" applyAlignment="1">
      <alignment horizontal="right"/>
    </xf>
    <xf numFmtId="2" fontId="0" fillId="0" borderId="0" xfId="0" applyNumberFormat="1" applyAlignment="1">
      <alignment horizontal="right"/>
    </xf>
    <xf numFmtId="3" fontId="0" fillId="0" borderId="0" xfId="0" applyNumberFormat="1" applyAlignment="1">
      <alignment horizontal="right"/>
    </xf>
    <xf numFmtId="2" fontId="0" fillId="0" borderId="2" xfId="0" applyNumberFormat="1" applyBorder="1" applyAlignment="1">
      <alignment horizontal="right"/>
    </xf>
    <xf numFmtId="2" fontId="0" fillId="0" borderId="1" xfId="0" applyNumberFormat="1" applyBorder="1" applyAlignment="1">
      <alignment horizontal="right"/>
    </xf>
    <xf numFmtId="2" fontId="0" fillId="0" borderId="3" xfId="0" applyNumberFormat="1" applyBorder="1" applyAlignment="1">
      <alignment horizontal="right"/>
    </xf>
    <xf numFmtId="4" fontId="0" fillId="0" borderId="0" xfId="0" applyNumberFormat="1"/>
    <xf numFmtId="4" fontId="0" fillId="0" borderId="1" xfId="0" applyNumberFormat="1" applyBorder="1"/>
    <xf numFmtId="4" fontId="0" fillId="0" borderId="2" xfId="0" applyNumberFormat="1" applyBorder="1"/>
    <xf numFmtId="164" fontId="0" fillId="0" borderId="0" xfId="0" applyNumberFormat="1"/>
    <xf numFmtId="10" fontId="0" fillId="0" borderId="0" xfId="0" applyNumberFormat="1"/>
    <xf numFmtId="0" fontId="4" fillId="0" borderId="0" xfId="1"/>
    <xf numFmtId="0" fontId="0" fillId="0" borderId="8" xfId="0" applyBorder="1"/>
    <xf numFmtId="0" fontId="0" fillId="0" borderId="9" xfId="0" applyBorder="1"/>
    <xf numFmtId="0" fontId="0" fillId="0" borderId="10" xfId="0" applyBorder="1"/>
    <xf numFmtId="0" fontId="4" fillId="0" borderId="0" xfId="1" applyFill="1"/>
    <xf numFmtId="0" fontId="3" fillId="0" borderId="0" xfId="0" applyFont="1"/>
    <xf numFmtId="164" fontId="1" fillId="0" borderId="0" xfId="0" applyNumberFormat="1" applyFont="1"/>
    <xf numFmtId="0" fontId="1" fillId="0" borderId="5" xfId="0" applyFont="1" applyBorder="1"/>
    <xf numFmtId="0" fontId="1" fillId="0" borderId="1" xfId="0" applyFont="1" applyBorder="1"/>
    <xf numFmtId="0" fontId="1" fillId="0" borderId="4" xfId="0" applyFont="1" applyBorder="1"/>
    <xf numFmtId="0" fontId="0" fillId="0" borderId="11" xfId="0" applyBorder="1"/>
    <xf numFmtId="3" fontId="0" fillId="0" borderId="1" xfId="0" applyNumberFormat="1" applyBorder="1"/>
    <xf numFmtId="3" fontId="0" fillId="0" borderId="2" xfId="0" applyNumberFormat="1" applyBorder="1"/>
    <xf numFmtId="3" fontId="0" fillId="0" borderId="11" xfId="0" applyNumberFormat="1" applyBorder="1"/>
    <xf numFmtId="3" fontId="0" fillId="0" borderId="12" xfId="0" applyNumberFormat="1" applyBorder="1"/>
    <xf numFmtId="0" fontId="1" fillId="0" borderId="12" xfId="0" applyFont="1" applyBorder="1"/>
    <xf numFmtId="3" fontId="0" fillId="0" borderId="3" xfId="0" applyNumberFormat="1" applyBorder="1"/>
    <xf numFmtId="0" fontId="1" fillId="0" borderId="0" xfId="0" applyFont="1" applyAlignment="1">
      <alignment wrapText="1"/>
    </xf>
    <xf numFmtId="0" fontId="7" fillId="0" borderId="0" xfId="0" applyFont="1"/>
    <xf numFmtId="10" fontId="0" fillId="0" borderId="1" xfId="0" applyNumberFormat="1" applyBorder="1"/>
    <xf numFmtId="165" fontId="0" fillId="0" borderId="0" xfId="0" applyNumberFormat="1"/>
    <xf numFmtId="165" fontId="0" fillId="0" borderId="1" xfId="0" applyNumberFormat="1" applyBorder="1"/>
    <xf numFmtId="0" fontId="0" fillId="0" borderId="4" xfId="0" applyBorder="1"/>
    <xf numFmtId="0" fontId="0" fillId="0" borderId="14" xfId="0" applyBorder="1"/>
    <xf numFmtId="0" fontId="1" fillId="0" borderId="15" xfId="0" applyFont="1" applyBorder="1"/>
    <xf numFmtId="0" fontId="1" fillId="0" borderId="14" xfId="0" applyFont="1" applyBorder="1"/>
    <xf numFmtId="3" fontId="0" fillId="0" borderId="4" xfId="0" applyNumberFormat="1" applyBorder="1"/>
    <xf numFmtId="0" fontId="0" fillId="0" borderId="16" xfId="0" applyBorder="1"/>
    <xf numFmtId="0" fontId="1" fillId="0" borderId="13" xfId="0" applyFont="1" applyBorder="1"/>
    <xf numFmtId="0" fontId="0" fillId="0" borderId="15" xfId="0" applyBorder="1"/>
    <xf numFmtId="0" fontId="0" fillId="0" borderId="0" xfId="0" applyAlignment="1">
      <alignment horizontal="center"/>
    </xf>
    <xf numFmtId="0" fontId="11" fillId="0" borderId="0" xfId="0" applyFont="1"/>
    <xf numFmtId="3" fontId="0" fillId="0" borderId="6" xfId="0" applyNumberFormat="1" applyBorder="1"/>
    <xf numFmtId="3" fontId="0" fillId="0" borderId="9" xfId="0" applyNumberFormat="1" applyBorder="1"/>
    <xf numFmtId="3" fontId="10" fillId="0" borderId="1" xfId="0" applyNumberFormat="1" applyFont="1" applyBorder="1"/>
    <xf numFmtId="3" fontId="10" fillId="0" borderId="4" xfId="0" applyNumberFormat="1" applyFont="1" applyBorder="1"/>
    <xf numFmtId="2" fontId="0" fillId="0" borderId="9" xfId="0" applyNumberFormat="1" applyBorder="1"/>
    <xf numFmtId="10" fontId="0" fillId="0" borderId="15" xfId="0" applyNumberFormat="1" applyBorder="1"/>
    <xf numFmtId="10" fontId="0" fillId="0" borderId="14" xfId="0" applyNumberFormat="1" applyBorder="1"/>
    <xf numFmtId="0" fontId="1" fillId="4" borderId="0" xfId="0" applyFont="1" applyFill="1"/>
    <xf numFmtId="0" fontId="3" fillId="4" borderId="0" xfId="0" applyFont="1" applyFill="1"/>
    <xf numFmtId="0" fontId="0" fillId="4" borderId="0" xfId="0" applyFill="1"/>
    <xf numFmtId="49" fontId="0" fillId="0" borderId="0" xfId="0" applyNumberFormat="1"/>
    <xf numFmtId="0" fontId="0" fillId="5" borderId="0" xfId="0" applyFill="1"/>
    <xf numFmtId="10" fontId="0" fillId="2" borderId="0" xfId="0" applyNumberFormat="1" applyFill="1"/>
    <xf numFmtId="10" fontId="12" fillId="0" borderId="0" xfId="0" applyNumberFormat="1" applyFont="1"/>
    <xf numFmtId="0" fontId="0" fillId="0" borderId="18" xfId="0" applyBorder="1"/>
    <xf numFmtId="10" fontId="0" fillId="0" borderId="18" xfId="0" applyNumberFormat="1" applyBorder="1"/>
    <xf numFmtId="9" fontId="0" fillId="0" borderId="0" xfId="0" applyNumberFormat="1"/>
    <xf numFmtId="10" fontId="0" fillId="0" borderId="2" xfId="0" applyNumberFormat="1" applyBorder="1"/>
    <xf numFmtId="0" fontId="1" fillId="0" borderId="19" xfId="0" applyFont="1" applyBorder="1" applyAlignment="1">
      <alignment horizontal="center"/>
    </xf>
    <xf numFmtId="0" fontId="1" fillId="0" borderId="20" xfId="0" applyFont="1" applyBorder="1" applyAlignment="1">
      <alignment horizontal="right"/>
    </xf>
    <xf numFmtId="0" fontId="0" fillId="0" borderId="19" xfId="0" applyBorder="1"/>
    <xf numFmtId="2" fontId="0" fillId="0" borderId="20" xfId="0" applyNumberFormat="1" applyBorder="1"/>
    <xf numFmtId="0" fontId="1" fillId="0" borderId="10" xfId="0" applyFont="1" applyBorder="1"/>
    <xf numFmtId="0" fontId="0" fillId="0" borderId="5" xfId="0" applyBorder="1"/>
    <xf numFmtId="0" fontId="0" fillId="0" borderId="21" xfId="0" applyBorder="1"/>
    <xf numFmtId="3" fontId="0" fillId="0" borderId="20" xfId="0" applyNumberFormat="1" applyBorder="1"/>
    <xf numFmtId="0" fontId="1" fillId="0" borderId="22" xfId="0" applyFont="1" applyBorder="1"/>
    <xf numFmtId="3" fontId="0" fillId="0" borderId="23" xfId="0" applyNumberFormat="1" applyBorder="1"/>
    <xf numFmtId="3" fontId="0" fillId="0" borderId="24" xfId="0" applyNumberFormat="1" applyBorder="1"/>
    <xf numFmtId="3" fontId="0" fillId="0" borderId="17" xfId="0" applyNumberFormat="1" applyBorder="1"/>
    <xf numFmtId="10" fontId="0" fillId="0" borderId="9" xfId="0" applyNumberFormat="1" applyBorder="1"/>
    <xf numFmtId="164" fontId="1" fillId="0" borderId="9" xfId="0" applyNumberFormat="1" applyFont="1" applyBorder="1"/>
    <xf numFmtId="165" fontId="0" fillId="0" borderId="4" xfId="0" applyNumberFormat="1" applyBorder="1"/>
    <xf numFmtId="165" fontId="0" fillId="0" borderId="9" xfId="0" applyNumberFormat="1" applyBorder="1"/>
    <xf numFmtId="10" fontId="0" fillId="0" borderId="4" xfId="0" applyNumberFormat="1" applyBorder="1"/>
    <xf numFmtId="9" fontId="0" fillId="0" borderId="9" xfId="0" applyNumberFormat="1" applyBorder="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0" fillId="6" borderId="0" xfId="0" applyFill="1"/>
    <xf numFmtId="164" fontId="0" fillId="0" borderId="2" xfId="0" applyNumberFormat="1" applyBorder="1"/>
    <xf numFmtId="165" fontId="0" fillId="0" borderId="2" xfId="0" applyNumberFormat="1" applyBorder="1"/>
    <xf numFmtId="165" fontId="0" fillId="0" borderId="3" xfId="0" applyNumberFormat="1" applyBorder="1"/>
    <xf numFmtId="164" fontId="0" fillId="0" borderId="20" xfId="0" applyNumberFormat="1" applyBorder="1"/>
    <xf numFmtId="165" fontId="0" fillId="0" borderId="24" xfId="0" applyNumberFormat="1" applyBorder="1"/>
    <xf numFmtId="165" fontId="0" fillId="0" borderId="20" xfId="0" applyNumberFormat="1" applyBorder="1"/>
    <xf numFmtId="10" fontId="0" fillId="0" borderId="20" xfId="0" applyNumberFormat="1" applyBorder="1"/>
    <xf numFmtId="0" fontId="18" fillId="0" borderId="10" xfId="0" applyFont="1" applyBorder="1"/>
    <xf numFmtId="0" fontId="18" fillId="0" borderId="0" xfId="0" applyFont="1"/>
    <xf numFmtId="0" fontId="18" fillId="0" borderId="9" xfId="0" applyFont="1" applyBorder="1"/>
    <xf numFmtId="0" fontId="11" fillId="0" borderId="9" xfId="0" applyFont="1" applyBorder="1"/>
    <xf numFmtId="165" fontId="0" fillId="0" borderId="17" xfId="0" applyNumberFormat="1" applyBorder="1"/>
    <xf numFmtId="0" fontId="10" fillId="2" borderId="10" xfId="0" applyFont="1" applyFill="1" applyBorder="1"/>
    <xf numFmtId="164" fontId="19" fillId="2" borderId="9" xfId="0" applyNumberFormat="1" applyFont="1" applyFill="1" applyBorder="1"/>
    <xf numFmtId="0" fontId="10" fillId="2" borderId="19" xfId="0" applyFont="1" applyFill="1" applyBorder="1"/>
    <xf numFmtId="0" fontId="0" fillId="2" borderId="2" xfId="0" applyFill="1" applyBorder="1"/>
    <xf numFmtId="165" fontId="19" fillId="2" borderId="20" xfId="0" applyNumberFormat="1" applyFont="1" applyFill="1" applyBorder="1"/>
    <xf numFmtId="10" fontId="0" fillId="0" borderId="3" xfId="0" applyNumberFormat="1" applyBorder="1"/>
    <xf numFmtId="10" fontId="0" fillId="0" borderId="24" xfId="0" applyNumberFormat="1" applyBorder="1"/>
    <xf numFmtId="164" fontId="1" fillId="0" borderId="20" xfId="0" applyNumberFormat="1" applyFont="1" applyBorder="1"/>
    <xf numFmtId="0" fontId="0" fillId="0" borderId="26" xfId="0" applyBorder="1"/>
    <xf numFmtId="0" fontId="0" fillId="0" borderId="25" xfId="0" applyBorder="1"/>
    <xf numFmtId="0" fontId="0" fillId="0" borderId="27" xfId="0" applyBorder="1"/>
    <xf numFmtId="0" fontId="0" fillId="7" borderId="0" xfId="0" applyFill="1"/>
    <xf numFmtId="0" fontId="0" fillId="7" borderId="1" xfId="0" applyFill="1" applyBorder="1"/>
    <xf numFmtId="10" fontId="18" fillId="0" borderId="0" xfId="0" applyNumberFormat="1" applyFont="1" applyAlignment="1">
      <alignment horizontal="right"/>
    </xf>
    <xf numFmtId="10" fontId="18" fillId="0" borderId="9" xfId="0" applyNumberFormat="1" applyFont="1" applyBorder="1"/>
    <xf numFmtId="10" fontId="0" fillId="0" borderId="7" xfId="0" applyNumberFormat="1" applyBorder="1"/>
    <xf numFmtId="10" fontId="0" fillId="0" borderId="6" xfId="0" applyNumberFormat="1" applyBorder="1"/>
    <xf numFmtId="3" fontId="0" fillId="0" borderId="0" xfId="0" applyNumberFormat="1" applyAlignment="1">
      <alignment horizontal="center"/>
    </xf>
    <xf numFmtId="2" fontId="0" fillId="0" borderId="0" xfId="0" applyNumberFormat="1" applyAlignment="1">
      <alignment horizontal="center"/>
    </xf>
    <xf numFmtId="49" fontId="0" fillId="0" borderId="0" xfId="0" applyNumberFormat="1" applyAlignment="1">
      <alignment horizontal="center"/>
    </xf>
    <xf numFmtId="10" fontId="0" fillId="0" borderId="0" xfId="0" applyNumberFormat="1" applyAlignment="1">
      <alignment horizontal="center"/>
    </xf>
    <xf numFmtId="49" fontId="0" fillId="0" borderId="0" xfId="0" applyNumberFormat="1" applyAlignment="1">
      <alignment vertical="center"/>
    </xf>
    <xf numFmtId="0" fontId="12" fillId="0" borderId="0" xfId="0" applyFont="1"/>
    <xf numFmtId="0" fontId="12" fillId="2" borderId="0" xfId="0" applyFont="1" applyFill="1"/>
    <xf numFmtId="0" fontId="21" fillId="0" borderId="0" xfId="0" applyFont="1"/>
    <xf numFmtId="0" fontId="0" fillId="0" borderId="11" xfId="0" applyBorder="1" applyAlignment="1">
      <alignment horizontal="right" vertical="center"/>
    </xf>
    <xf numFmtId="0" fontId="1" fillId="7" borderId="1" xfId="0" applyFont="1" applyFill="1" applyBorder="1"/>
    <xf numFmtId="2" fontId="0" fillId="7" borderId="0" xfId="0" applyNumberFormat="1" applyFill="1"/>
    <xf numFmtId="165" fontId="0" fillId="7" borderId="1" xfId="0" applyNumberFormat="1" applyFill="1" applyBorder="1"/>
    <xf numFmtId="0" fontId="11" fillId="7" borderId="0" xfId="0" applyFont="1" applyFill="1"/>
    <xf numFmtId="164" fontId="0" fillId="7" borderId="0" xfId="0" applyNumberFormat="1" applyFill="1"/>
    <xf numFmtId="165" fontId="0" fillId="7" borderId="0" xfId="0" applyNumberFormat="1" applyFill="1"/>
    <xf numFmtId="0" fontId="0" fillId="5" borderId="10" xfId="0" applyFill="1" applyBorder="1"/>
    <xf numFmtId="0" fontId="18" fillId="5" borderId="10" xfId="0" applyFont="1" applyFill="1" applyBorder="1"/>
    <xf numFmtId="0" fontId="18" fillId="5" borderId="0" xfId="0" applyFont="1" applyFill="1"/>
    <xf numFmtId="0" fontId="18" fillId="5" borderId="9" xfId="0" applyFont="1" applyFill="1" applyBorder="1"/>
    <xf numFmtId="165" fontId="0" fillId="5" borderId="0" xfId="0" applyNumberFormat="1" applyFill="1"/>
    <xf numFmtId="165" fontId="0" fillId="5" borderId="9" xfId="0" applyNumberFormat="1" applyFill="1" applyBorder="1"/>
    <xf numFmtId="0" fontId="0" fillId="5" borderId="5" xfId="0" applyFill="1" applyBorder="1"/>
    <xf numFmtId="165" fontId="0" fillId="5" borderId="1" xfId="0" applyNumberFormat="1" applyFill="1" applyBorder="1"/>
    <xf numFmtId="165" fontId="0" fillId="5" borderId="4" xfId="0" applyNumberFormat="1" applyFill="1" applyBorder="1"/>
    <xf numFmtId="10" fontId="0" fillId="5" borderId="0" xfId="0" applyNumberFormat="1" applyFill="1"/>
    <xf numFmtId="10" fontId="0" fillId="5" borderId="9" xfId="0" applyNumberFormat="1" applyFill="1" applyBorder="1"/>
    <xf numFmtId="0" fontId="22" fillId="0" borderId="13" xfId="0" applyFont="1" applyBorder="1" applyAlignment="1">
      <alignment horizontal="center" wrapText="1"/>
    </xf>
    <xf numFmtId="0" fontId="3" fillId="0" borderId="13" xfId="0" applyFont="1" applyBorder="1" applyAlignment="1">
      <alignment horizontal="center" wrapText="1"/>
    </xf>
    <xf numFmtId="0" fontId="1" fillId="0" borderId="0" xfId="0" applyFont="1" applyAlignment="1">
      <alignment horizontal="center"/>
    </xf>
    <xf numFmtId="0" fontId="20" fillId="2" borderId="0" xfId="0" applyFont="1" applyFill="1" applyAlignment="1">
      <alignment horizontal="center" wrapText="1"/>
    </xf>
    <xf numFmtId="0" fontId="3" fillId="0" borderId="0" xfId="0" applyFont="1" applyAlignment="1">
      <alignment horizontal="center"/>
    </xf>
    <xf numFmtId="0" fontId="2" fillId="0" borderId="0" xfId="0" applyFont="1" applyAlignment="1">
      <alignment horizontal="center"/>
    </xf>
    <xf numFmtId="0" fontId="2" fillId="0" borderId="8" xfId="0" applyFont="1" applyBorder="1" applyAlignment="1">
      <alignment horizontal="center"/>
    </xf>
    <xf numFmtId="0" fontId="2" fillId="0" borderId="7" xfId="0" applyFont="1" applyBorder="1" applyAlignment="1">
      <alignment horizontal="center"/>
    </xf>
    <xf numFmtId="0" fontId="2" fillId="0" borderId="6" xfId="0" applyFont="1" applyBorder="1" applyAlignment="1">
      <alignment horizontal="center"/>
    </xf>
    <xf numFmtId="0" fontId="0" fillId="0" borderId="16" xfId="0" applyBorder="1" applyAlignment="1">
      <alignment horizontal="center"/>
    </xf>
    <xf numFmtId="0" fontId="0" fillId="0" borderId="11" xfId="0" applyBorder="1" applyAlignment="1">
      <alignment horizontal="center"/>
    </xf>
    <xf numFmtId="0" fontId="0" fillId="0" borderId="17" xfId="0" applyBorder="1" applyAlignment="1">
      <alignment horizontal="center"/>
    </xf>
    <xf numFmtId="0" fontId="0" fillId="0" borderId="6" xfId="0" applyBorder="1" applyAlignment="1">
      <alignment horizontal="center"/>
    </xf>
    <xf numFmtId="0" fontId="0" fillId="3" borderId="0" xfId="0" applyFill="1" applyAlignment="1">
      <alignment horizontal="center"/>
    </xf>
    <xf numFmtId="0" fontId="9" fillId="0" borderId="8" xfId="0" applyFont="1" applyBorder="1" applyAlignment="1">
      <alignment horizontal="center"/>
    </xf>
    <xf numFmtId="0" fontId="9" fillId="0" borderId="6" xfId="0" applyFont="1" applyBorder="1" applyAlignment="1">
      <alignment horizontal="center"/>
    </xf>
    <xf numFmtId="0" fontId="0" fillId="0" borderId="0" xfId="0" applyFill="1"/>
    <xf numFmtId="0" fontId="1" fillId="0" borderId="0" xfId="0" applyFont="1" applyFill="1"/>
    <xf numFmtId="165" fontId="0" fillId="0" borderId="0" xfId="0" applyNumberFormat="1" applyFill="1"/>
    <xf numFmtId="9" fontId="0" fillId="0" borderId="0" xfId="0" applyNumberFormat="1" applyFill="1"/>
    <xf numFmtId="164" fontId="0" fillId="0" borderId="0" xfId="0" applyNumberFormat="1" applyFill="1"/>
    <xf numFmtId="0" fontId="0" fillId="2" borderId="0" xfId="0" applyFont="1" applyFill="1"/>
    <xf numFmtId="2" fontId="0" fillId="0" borderId="0" xfId="0" applyNumberFormat="1" applyFill="1"/>
    <xf numFmtId="4" fontId="0" fillId="0" borderId="0" xfId="0" applyNumberFormat="1" applyFill="1"/>
    <xf numFmtId="166" fontId="0" fillId="0" borderId="0" xfId="0" applyNumberFormat="1" applyFill="1"/>
    <xf numFmtId="0" fontId="1" fillId="0" borderId="0" xfId="0" applyFont="1" applyFill="1" applyBorder="1"/>
    <xf numFmtId="0" fontId="0" fillId="0" borderId="0" xfId="0" applyFill="1" applyBorder="1"/>
    <xf numFmtId="0" fontId="2" fillId="0" borderId="0" xfId="0"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s://en.wikipedia.org/wiki/FutureFeed" TargetMode="External"/><Relationship Id="rId3" Type="http://schemas.openxmlformats.org/officeDocument/2006/relationships/hyperlink" Target="https://www-sciencedirect-com.ezproxy.waikato.ac.nz/science/article/pii/S002203021830225X" TargetMode="External"/><Relationship Id="rId7" Type="http://schemas.openxmlformats.org/officeDocument/2006/relationships/hyperlink" Target="https://www.mla.com.au/contentassets/b92da19729e4416b80452356069ccb94/b.cch.6187_final_report.pdf" TargetMode="External"/><Relationship Id="rId12" Type="http://schemas.openxmlformats.org/officeDocument/2006/relationships/comments" Target="../comments2.xml"/><Relationship Id="rId2" Type="http://schemas.openxmlformats.org/officeDocument/2006/relationships/hyperlink" Target="https://www.smartbusinesscentre.co.nz/2015/08/dairy-by-the-numbers/" TargetMode="External"/><Relationship Id="rId1" Type="http://schemas.openxmlformats.org/officeDocument/2006/relationships/hyperlink" Target="https://www.dairynz.co.nz/media/5795450/db_op_adjustments_labour-supportblock-feed_2021-22.pdf" TargetMode="External"/><Relationship Id="rId6" Type="http://schemas.openxmlformats.org/officeDocument/2006/relationships/hyperlink" Target="https://www.dairynz.co.nz/media/5795475/he_waka_eke_noa_recommendations_summary_jun22.pdf" TargetMode="External"/><Relationship Id="rId11" Type="http://schemas.openxmlformats.org/officeDocument/2006/relationships/vmlDrawing" Target="../drawings/vmlDrawing2.vml"/><Relationship Id="rId5" Type="http://schemas.openxmlformats.org/officeDocument/2006/relationships/hyperlink" Target="https://www.dairynz.co.nz/environment/climate-change/climate-change-basics/" TargetMode="External"/><Relationship Id="rId10" Type="http://schemas.openxmlformats.org/officeDocument/2006/relationships/printerSettings" Target="../printerSettings/printerSettings5.bin"/><Relationship Id="rId4" Type="http://schemas.openxmlformats.org/officeDocument/2006/relationships/hyperlink" Target="https://www-sciencedirect-com.ezproxy.waikato.ac.nz/science/article/pii/S0022030220302587" TargetMode="External"/><Relationship Id="rId9" Type="http://schemas.openxmlformats.org/officeDocument/2006/relationships/hyperlink" Target="https://www.mpi.govt.nz/dmsdocument/13906-detailed-methodologies-for-agricultural-greenhouse-gas-emission-calculat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4274D-62CB-4CEF-BD8E-530FFE77E491}">
  <sheetPr>
    <tabColor rgb="FFFFC000"/>
  </sheetPr>
  <dimension ref="A1:A15"/>
  <sheetViews>
    <sheetView zoomScaleNormal="100" workbookViewId="0">
      <selection activeCell="G21" sqref="G21"/>
    </sheetView>
  </sheetViews>
  <sheetFormatPr defaultRowHeight="15" x14ac:dyDescent="0.25"/>
  <sheetData>
    <row r="1" spans="1:1" ht="28.5" x14ac:dyDescent="0.45">
      <c r="A1" s="96" t="s">
        <v>0</v>
      </c>
    </row>
    <row r="2" spans="1:1" ht="18.75" x14ac:dyDescent="0.3">
      <c r="A2" s="98" t="s">
        <v>356</v>
      </c>
    </row>
    <row r="3" spans="1:1" ht="18.75" x14ac:dyDescent="0.3">
      <c r="A3" s="98" t="s">
        <v>396</v>
      </c>
    </row>
    <row r="4" spans="1:1" ht="18.75" x14ac:dyDescent="0.3">
      <c r="A4" s="98" t="s">
        <v>1</v>
      </c>
    </row>
    <row r="5" spans="1:1" ht="18.75" x14ac:dyDescent="0.3">
      <c r="A5" s="98" t="s">
        <v>2</v>
      </c>
    </row>
    <row r="6" spans="1:1" ht="18.75" x14ac:dyDescent="0.3">
      <c r="A6" s="98" t="s">
        <v>3</v>
      </c>
    </row>
    <row r="7" spans="1:1" ht="18.75" x14ac:dyDescent="0.3">
      <c r="A7" s="98" t="s">
        <v>4</v>
      </c>
    </row>
    <row r="8" spans="1:1" ht="18.75" x14ac:dyDescent="0.3">
      <c r="A8" s="98" t="s">
        <v>5</v>
      </c>
    </row>
    <row r="9" spans="1:1" ht="18.75" x14ac:dyDescent="0.3">
      <c r="A9" s="98" t="s">
        <v>6</v>
      </c>
    </row>
    <row r="10" spans="1:1" ht="18.75" x14ac:dyDescent="0.3">
      <c r="A10" s="98" t="s">
        <v>7</v>
      </c>
    </row>
    <row r="11" spans="1:1" ht="18.75" x14ac:dyDescent="0.3">
      <c r="A11" s="98" t="s">
        <v>8</v>
      </c>
    </row>
    <row r="12" spans="1:1" ht="18.75" x14ac:dyDescent="0.3">
      <c r="A12" s="98" t="s">
        <v>9</v>
      </c>
    </row>
    <row r="13" spans="1:1" ht="18.75" x14ac:dyDescent="0.3">
      <c r="A13" s="98" t="s">
        <v>357</v>
      </c>
    </row>
    <row r="14" spans="1:1" ht="18.75" x14ac:dyDescent="0.3">
      <c r="A14" s="98" t="s">
        <v>359</v>
      </c>
    </row>
    <row r="15" spans="1:1" ht="18.75" x14ac:dyDescent="0.3">
      <c r="A15" s="98" t="s">
        <v>370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9"/>
  <sheetViews>
    <sheetView workbookViewId="0">
      <pane ySplit="1" topLeftCell="A2" activePane="bottomLeft" state="frozen"/>
      <selection pane="bottomLeft" activeCell="I31" sqref="I31"/>
    </sheetView>
  </sheetViews>
  <sheetFormatPr defaultRowHeight="15" x14ac:dyDescent="0.25"/>
  <cols>
    <col min="1" max="1" width="44.28515625" bestFit="1" customWidth="1"/>
    <col min="2" max="9" width="15.7109375" style="3" customWidth="1"/>
  </cols>
  <sheetData>
    <row r="1" spans="1:9" s="1" customFormat="1" x14ac:dyDescent="0.25">
      <c r="A1" s="1" t="s">
        <v>289</v>
      </c>
      <c r="B1" s="2" t="s">
        <v>290</v>
      </c>
      <c r="C1" s="2" t="s">
        <v>48</v>
      </c>
      <c r="D1" s="2" t="s">
        <v>291</v>
      </c>
      <c r="E1" s="2" t="s">
        <v>292</v>
      </c>
      <c r="F1" s="2" t="s">
        <v>293</v>
      </c>
      <c r="G1" s="2" t="s">
        <v>294</v>
      </c>
      <c r="H1" s="2" t="s">
        <v>295</v>
      </c>
      <c r="I1" s="2" t="s">
        <v>296</v>
      </c>
    </row>
    <row r="2" spans="1:9" s="1" customFormat="1" x14ac:dyDescent="0.25">
      <c r="A2" s="1" t="s">
        <v>15</v>
      </c>
      <c r="B2" s="2"/>
      <c r="C2" s="2"/>
      <c r="D2" s="2"/>
      <c r="E2" s="2"/>
      <c r="F2" s="2"/>
      <c r="G2" s="2"/>
      <c r="H2" s="2"/>
      <c r="I2" s="2"/>
    </row>
    <row r="3" spans="1:9" x14ac:dyDescent="0.25">
      <c r="A3" t="s">
        <v>297</v>
      </c>
      <c r="B3" s="3">
        <v>39</v>
      </c>
      <c r="C3" s="3">
        <v>69</v>
      </c>
      <c r="D3" s="3">
        <v>28</v>
      </c>
      <c r="E3" s="3">
        <v>57</v>
      </c>
      <c r="F3" s="3">
        <v>33</v>
      </c>
      <c r="G3" s="3">
        <v>24</v>
      </c>
      <c r="H3" s="3">
        <v>37</v>
      </c>
      <c r="I3" s="3">
        <v>39</v>
      </c>
    </row>
    <row r="4" spans="1:9" x14ac:dyDescent="0.25">
      <c r="A4" t="s">
        <v>20</v>
      </c>
      <c r="B4" s="3">
        <v>110</v>
      </c>
      <c r="C4" s="3">
        <v>109</v>
      </c>
      <c r="D4" s="3">
        <v>129</v>
      </c>
      <c r="E4" s="3">
        <v>97</v>
      </c>
      <c r="F4" s="3">
        <v>138</v>
      </c>
      <c r="G4" s="3">
        <v>147.5</v>
      </c>
      <c r="H4" s="3">
        <v>210</v>
      </c>
      <c r="I4" s="3">
        <v>205</v>
      </c>
    </row>
    <row r="5" spans="1:9" x14ac:dyDescent="0.25">
      <c r="A5" t="s">
        <v>24</v>
      </c>
      <c r="B5" s="3">
        <v>230</v>
      </c>
      <c r="C5" s="3">
        <v>310</v>
      </c>
      <c r="D5" s="3">
        <v>377</v>
      </c>
      <c r="E5" s="3">
        <v>252</v>
      </c>
      <c r="F5" s="3">
        <v>325</v>
      </c>
      <c r="G5" s="3">
        <v>390</v>
      </c>
      <c r="H5" s="3">
        <v>780</v>
      </c>
      <c r="I5" s="3">
        <v>600</v>
      </c>
    </row>
    <row r="6" spans="1:9" x14ac:dyDescent="0.25">
      <c r="A6" t="s">
        <v>31</v>
      </c>
      <c r="B6" s="3">
        <v>2.4318181818181821</v>
      </c>
      <c r="C6" s="3">
        <v>2.954545454545455</v>
      </c>
      <c r="D6" s="3">
        <v>2.9083333333333332</v>
      </c>
      <c r="E6" s="3">
        <v>2.7397260273972601</v>
      </c>
      <c r="F6" s="3">
        <v>2.4920634920634921</v>
      </c>
      <c r="G6" s="3">
        <v>2.5964432284541732</v>
      </c>
      <c r="H6" s="3">
        <v>3.5882352941176472</v>
      </c>
      <c r="I6" s="3">
        <v>2.9333333333333331</v>
      </c>
    </row>
    <row r="7" spans="1:9" x14ac:dyDescent="0.25">
      <c r="A7" t="s">
        <v>35</v>
      </c>
      <c r="B7" s="3">
        <v>75422.7</v>
      </c>
      <c r="C7" s="3">
        <v>121734</v>
      </c>
      <c r="D7" s="3">
        <v>127676.5</v>
      </c>
      <c r="E7" s="3">
        <v>107211</v>
      </c>
      <c r="F7" s="3">
        <v>118711</v>
      </c>
      <c r="G7" s="3">
        <v>138561.5</v>
      </c>
      <c r="H7" s="3">
        <v>362262</v>
      </c>
      <c r="I7" s="3">
        <v>263482</v>
      </c>
    </row>
    <row r="8" spans="1:9" x14ac:dyDescent="0.25">
      <c r="A8" t="s">
        <v>39</v>
      </c>
      <c r="B8" s="3">
        <v>796.18867924528297</v>
      </c>
      <c r="C8" s="3">
        <v>1092.191780821918</v>
      </c>
      <c r="D8" s="3">
        <v>1084.6811313973051</v>
      </c>
      <c r="E8" s="3">
        <v>1133.607843137255</v>
      </c>
      <c r="F8" s="3">
        <v>933.11199999999997</v>
      </c>
      <c r="G8" s="3">
        <v>1023.4104826545999</v>
      </c>
      <c r="H8" s="3">
        <v>1640.4929577464791</v>
      </c>
      <c r="I8" s="3">
        <v>1224.9918032786891</v>
      </c>
    </row>
    <row r="9" spans="1:9" x14ac:dyDescent="0.25">
      <c r="A9" t="s">
        <v>42</v>
      </c>
      <c r="B9" s="3">
        <v>315.86486486486478</v>
      </c>
      <c r="C9" s="3">
        <v>376.93258426966293</v>
      </c>
      <c r="D9" s="3">
        <v>369.50185519315289</v>
      </c>
      <c r="E9" s="3">
        <v>397.58181818181822</v>
      </c>
      <c r="F9" s="3">
        <v>380.81376518218622</v>
      </c>
      <c r="G9" s="3">
        <v>390.23979940733989</v>
      </c>
      <c r="H9" s="3">
        <v>465.43142857142863</v>
      </c>
      <c r="I9" s="3">
        <v>432.64696223316912</v>
      </c>
    </row>
    <row r="10" spans="1:9" x14ac:dyDescent="0.25">
      <c r="A10" t="s">
        <v>45</v>
      </c>
      <c r="B10" s="3">
        <v>7.083385007780417</v>
      </c>
      <c r="C10" s="3">
        <v>7.0461304494761743</v>
      </c>
      <c r="D10" s="3">
        <v>6.9967860546952814</v>
      </c>
      <c r="E10" s="3">
        <v>7.0328152760062137</v>
      </c>
      <c r="F10" s="3">
        <v>7.0166504229135986</v>
      </c>
      <c r="G10" s="3">
        <v>6.9953558989063573</v>
      </c>
      <c r="H10" s="3">
        <v>7.0145332261255984</v>
      </c>
      <c r="I10" s="3">
        <v>7.0660575703656372</v>
      </c>
    </row>
    <row r="12" spans="1:9" x14ac:dyDescent="0.25">
      <c r="A12" s="4" t="s">
        <v>123</v>
      </c>
    </row>
    <row r="13" spans="1:9" x14ac:dyDescent="0.25">
      <c r="A13" t="s">
        <v>298</v>
      </c>
      <c r="B13" s="3">
        <v>0.20806742589914179</v>
      </c>
      <c r="C13" s="3">
        <v>0.28975237288658612</v>
      </c>
      <c r="D13" s="3">
        <v>0.30031055108478277</v>
      </c>
      <c r="E13" s="3">
        <v>0.3360592018390397</v>
      </c>
      <c r="F13" s="3">
        <v>0.27952287118757407</v>
      </c>
      <c r="G13" s="3">
        <v>0.27313323245183091</v>
      </c>
      <c r="H13" s="3">
        <v>0.32444687967328423</v>
      </c>
      <c r="I13" s="3">
        <v>0.34474123058759543</v>
      </c>
    </row>
    <row r="14" spans="1:9" x14ac:dyDescent="0.25">
      <c r="A14" t="s">
        <v>125</v>
      </c>
      <c r="B14" s="3">
        <v>7.083385007780417</v>
      </c>
      <c r="C14" s="3">
        <v>7.0461304494761743</v>
      </c>
      <c r="D14" s="3">
        <v>6.9967860546952814</v>
      </c>
      <c r="E14" s="3">
        <v>7.0328152760062137</v>
      </c>
      <c r="F14" s="3">
        <v>7.0166504229135986</v>
      </c>
      <c r="G14" s="3">
        <v>6.9953558989063573</v>
      </c>
      <c r="H14" s="3">
        <v>7.0145332261255984</v>
      </c>
      <c r="I14" s="3">
        <v>7.0660575703656372</v>
      </c>
    </row>
    <row r="15" spans="1:9" x14ac:dyDescent="0.25">
      <c r="A15" t="s">
        <v>127</v>
      </c>
      <c r="B15" s="3">
        <v>0.81823707714003213</v>
      </c>
      <c r="C15" s="3">
        <v>0.47500355063201249</v>
      </c>
      <c r="D15" s="3">
        <v>0.56797002188614454</v>
      </c>
      <c r="E15" s="3">
        <v>0.43153554216076379</v>
      </c>
      <c r="F15" s="3">
        <v>0.52336280875779029</v>
      </c>
      <c r="G15" s="3">
        <v>0.41604164646733183</v>
      </c>
      <c r="H15" s="3">
        <v>0.42819894314350287</v>
      </c>
      <c r="I15" s="3">
        <v>0.39619200332939603</v>
      </c>
    </row>
    <row r="16" spans="1:9" x14ac:dyDescent="0.25">
      <c r="A16" t="s">
        <v>129</v>
      </c>
      <c r="B16" s="3">
        <v>3.2237866377851483E-2</v>
      </c>
      <c r="C16" s="3">
        <v>2.777539648521217E-2</v>
      </c>
      <c r="D16" s="3">
        <v>9.2974989825886142E-3</v>
      </c>
      <c r="E16" s="3">
        <v>4.6163854250758293E-3</v>
      </c>
      <c r="F16" s="3">
        <v>1.0302830809743251E-2</v>
      </c>
      <c r="G16" s="3">
        <v>1.5522276415826311E-2</v>
      </c>
      <c r="H16" s="3">
        <v>9.8593964334705068E-4</v>
      </c>
      <c r="I16" s="3">
        <v>1.2496987333410699E-4</v>
      </c>
    </row>
    <row r="17" spans="1:9" x14ac:dyDescent="0.25">
      <c r="A17" t="s">
        <v>131</v>
      </c>
      <c r="B17" s="3">
        <v>7.9200139106242391</v>
      </c>
      <c r="C17" s="3">
        <v>7.605085819217968</v>
      </c>
      <c r="D17" s="3">
        <v>7.6317165619003839</v>
      </c>
      <c r="E17" s="3">
        <v>7.4908532823297138</v>
      </c>
      <c r="F17" s="3">
        <v>7.6572413585647929</v>
      </c>
      <c r="G17" s="3">
        <v>7.4858682042887974</v>
      </c>
      <c r="H17" s="3">
        <v>7.4527819301990004</v>
      </c>
      <c r="I17" s="3">
        <v>7.478566972899686</v>
      </c>
    </row>
    <row r="19" spans="1:9" x14ac:dyDescent="0.25">
      <c r="A19" s="4" t="s">
        <v>133</v>
      </c>
    </row>
    <row r="20" spans="1:9" x14ac:dyDescent="0.25">
      <c r="A20" t="s">
        <v>135</v>
      </c>
      <c r="B20" s="3">
        <v>0.38202951756061132</v>
      </c>
      <c r="C20" s="3">
        <v>0.61635689356287815</v>
      </c>
      <c r="D20" s="3">
        <v>0.66994575383355548</v>
      </c>
      <c r="E20" s="3">
        <v>0.32609880706380501</v>
      </c>
      <c r="F20" s="3">
        <v>0.72176233772108378</v>
      </c>
      <c r="G20" s="3">
        <v>0.59627196595694598</v>
      </c>
      <c r="H20" s="3">
        <v>0.76925084207905792</v>
      </c>
      <c r="I20" s="3">
        <v>0.77212259664453142</v>
      </c>
    </row>
    <row r="21" spans="1:9" x14ac:dyDescent="0.25">
      <c r="A21" t="s">
        <v>299</v>
      </c>
      <c r="B21" s="3">
        <v>0.25303306763980921</v>
      </c>
      <c r="C21" s="3">
        <v>0.25273564176528868</v>
      </c>
      <c r="D21" s="3">
        <v>0.26025169866678072</v>
      </c>
      <c r="E21" s="3">
        <v>0.21903624797119561</v>
      </c>
      <c r="F21" s="3">
        <v>0.2282768297060071</v>
      </c>
      <c r="G21" s="3">
        <v>0.20526849004633629</v>
      </c>
      <c r="H21" s="3">
        <v>0.23283229350570789</v>
      </c>
      <c r="I21" s="3">
        <v>0.21749113791454441</v>
      </c>
    </row>
    <row r="22" spans="1:9" x14ac:dyDescent="0.25">
      <c r="A22" t="s">
        <v>300</v>
      </c>
      <c r="B22" s="3">
        <v>0.16833192947805631</v>
      </c>
      <c r="C22" s="3">
        <v>0.1788102031256654</v>
      </c>
      <c r="D22" s="3">
        <v>0.1511687025373622</v>
      </c>
      <c r="E22" s="3">
        <v>0.16007737018983509</v>
      </c>
      <c r="F22" s="3">
        <v>0.137516380174208</v>
      </c>
      <c r="G22" s="3">
        <v>0.15302149154105421</v>
      </c>
      <c r="H22" s="3">
        <v>0.16400963366298141</v>
      </c>
      <c r="I22" s="3">
        <v>0.1661851533919764</v>
      </c>
    </row>
    <row r="23" spans="1:9" x14ac:dyDescent="0.25">
      <c r="A23" t="s">
        <v>301</v>
      </c>
      <c r="B23" s="3">
        <v>5.7951917011284777E-2</v>
      </c>
      <c r="C23" s="3">
        <v>5.5016334453861088E-2</v>
      </c>
      <c r="D23" s="3">
        <v>4.5354905767488532E-2</v>
      </c>
      <c r="E23" s="3">
        <v>6.4165502084303813E-2</v>
      </c>
      <c r="F23" s="3">
        <v>6.9462314927239449E-2</v>
      </c>
      <c r="G23" s="3">
        <v>6.2693602423690056E-2</v>
      </c>
      <c r="H23" s="3">
        <v>4.1890922138500181E-2</v>
      </c>
      <c r="I23" s="3">
        <v>5.336085257114305E-2</v>
      </c>
    </row>
    <row r="24" spans="1:9" x14ac:dyDescent="0.25">
      <c r="A24" t="s">
        <v>302</v>
      </c>
      <c r="B24" s="3">
        <v>0.14597790133014291</v>
      </c>
      <c r="C24" s="3">
        <v>0.1222439933798771</v>
      </c>
      <c r="D24" s="3">
        <v>0.1108033340737672</v>
      </c>
      <c r="E24" s="3">
        <v>0.1031933794220803</v>
      </c>
      <c r="F24" s="3">
        <v>0.13622898615122569</v>
      </c>
      <c r="G24" s="3">
        <v>0.10318414836173791</v>
      </c>
      <c r="H24" s="3">
        <v>8.868632982524062E-2</v>
      </c>
      <c r="I24" s="3">
        <v>9.4649097574559499E-2</v>
      </c>
    </row>
    <row r="25" spans="1:9" x14ac:dyDescent="0.25">
      <c r="A25" t="s">
        <v>137</v>
      </c>
      <c r="B25" s="3">
        <v>1.2796400985929339</v>
      </c>
      <c r="C25" s="3">
        <v>1.3626958950807251</v>
      </c>
      <c r="D25" s="3">
        <v>1.0767760167600191</v>
      </c>
      <c r="E25" s="3">
        <v>1.016597306620509</v>
      </c>
      <c r="F25" s="3">
        <v>0.98858132850336655</v>
      </c>
      <c r="G25" s="3">
        <v>0.77090212857585871</v>
      </c>
      <c r="H25" s="3">
        <v>0.73741973725784082</v>
      </c>
      <c r="I25" s="3">
        <v>0.92195631410285017</v>
      </c>
    </row>
    <row r="26" spans="1:9" x14ac:dyDescent="0.25">
      <c r="A26" t="s">
        <v>303</v>
      </c>
      <c r="B26" s="3">
        <v>9.2372777737021003E-2</v>
      </c>
      <c r="C26" s="3">
        <v>0.31804543506215172</v>
      </c>
      <c r="D26" s="3">
        <v>0.2668723061387045</v>
      </c>
      <c r="E26" s="3">
        <v>0.31913745418568568</v>
      </c>
      <c r="F26" s="3">
        <v>0.1389246298544789</v>
      </c>
      <c r="G26" s="3">
        <v>0.30526437592191469</v>
      </c>
      <c r="H26" s="3">
        <v>0.93658199240942763</v>
      </c>
      <c r="I26" s="3">
        <v>0.57236933739672069</v>
      </c>
    </row>
    <row r="27" spans="1:9" x14ac:dyDescent="0.25">
      <c r="A27" t="s">
        <v>304</v>
      </c>
      <c r="B27" s="3">
        <v>0</v>
      </c>
      <c r="C27" s="3">
        <v>0</v>
      </c>
      <c r="D27" s="3">
        <v>0</v>
      </c>
      <c r="E27" s="3">
        <v>0</v>
      </c>
      <c r="F27" s="3">
        <v>9.7862767154105731E-2</v>
      </c>
      <c r="G27" s="3">
        <v>0</v>
      </c>
      <c r="H27" s="3">
        <v>0</v>
      </c>
      <c r="I27" s="3">
        <v>0</v>
      </c>
    </row>
    <row r="28" spans="1:9" x14ac:dyDescent="0.25">
      <c r="A28" t="s">
        <v>305</v>
      </c>
      <c r="B28" s="3">
        <v>0.552368860858375</v>
      </c>
      <c r="C28" s="3">
        <v>0.4134155495978552</v>
      </c>
      <c r="D28" s="3">
        <v>0.47186742612281218</v>
      </c>
      <c r="E28" s="3">
        <v>0.41013422354447021</v>
      </c>
      <c r="F28" s="3">
        <v>0.36461677262331887</v>
      </c>
      <c r="G28" s="3">
        <v>0.78616643930809804</v>
      </c>
      <c r="H28" s="3">
        <v>0.42380796698270251</v>
      </c>
      <c r="I28" s="3">
        <v>0.49091199512631828</v>
      </c>
    </row>
    <row r="29" spans="1:9" x14ac:dyDescent="0.25">
      <c r="A29" t="s">
        <v>306</v>
      </c>
      <c r="B29" s="3">
        <v>0</v>
      </c>
      <c r="C29" s="3">
        <v>0</v>
      </c>
      <c r="D29" s="3">
        <v>0</v>
      </c>
      <c r="E29" s="3">
        <v>0</v>
      </c>
      <c r="F29" s="3">
        <v>0</v>
      </c>
      <c r="G29" s="3">
        <v>0</v>
      </c>
      <c r="H29" s="3">
        <v>0.30877861409920587</v>
      </c>
      <c r="I29" s="3">
        <v>0</v>
      </c>
    </row>
    <row r="30" spans="1:9" x14ac:dyDescent="0.25">
      <c r="A30" t="s">
        <v>307</v>
      </c>
      <c r="B30" s="3">
        <v>0.1206982060300648</v>
      </c>
      <c r="C30" s="3">
        <v>6.4231637059180613E-2</v>
      </c>
      <c r="D30" s="3">
        <v>8.8434614275255563E-2</v>
      </c>
      <c r="E30" s="3">
        <v>3.2444094096170599E-2</v>
      </c>
      <c r="F30" s="3">
        <v>7.636155606407323E-2</v>
      </c>
      <c r="G30" s="3">
        <v>6.3618766299226526E-2</v>
      </c>
      <c r="H30" s="3">
        <v>4.9725434870996017E-2</v>
      </c>
      <c r="I30" s="3">
        <v>4.1111587416738107E-2</v>
      </c>
    </row>
    <row r="31" spans="1:9" x14ac:dyDescent="0.25">
      <c r="A31" t="s">
        <v>308</v>
      </c>
      <c r="B31" s="3">
        <v>3.8596937693514868E-2</v>
      </c>
      <c r="C31" s="3">
        <v>2.2735342290027369E-2</v>
      </c>
      <c r="D31" s="3">
        <v>1.9494914573760989E-2</v>
      </c>
      <c r="E31" s="3">
        <v>2.256563684537468E-2</v>
      </c>
      <c r="F31" s="3">
        <v>3.4942007970308719E-2</v>
      </c>
      <c r="G31" s="3">
        <v>3.1351374347687901E-2</v>
      </c>
      <c r="H31" s="3">
        <v>1.619272327003668E-2</v>
      </c>
      <c r="I31" s="3">
        <v>1.5739769150052461E-2</v>
      </c>
    </row>
    <row r="32" spans="1:9" x14ac:dyDescent="0.25">
      <c r="A32" t="s">
        <v>139</v>
      </c>
      <c r="B32" s="3">
        <v>0.28208450908914751</v>
      </c>
      <c r="C32" s="3">
        <v>0.19584049665711559</v>
      </c>
      <c r="D32" s="3">
        <v>0.2062533961259792</v>
      </c>
      <c r="E32" s="3">
        <v>0.1773571490131863</v>
      </c>
      <c r="F32" s="3">
        <v>0.22154771903339321</v>
      </c>
      <c r="G32" s="3">
        <v>0.26856652601366998</v>
      </c>
      <c r="H32" s="3">
        <v>0.11579638638543489</v>
      </c>
      <c r="I32" s="3">
        <v>0.1582772149046732</v>
      </c>
    </row>
    <row r="33" spans="1:9" x14ac:dyDescent="0.25">
      <c r="A33" t="s">
        <v>141</v>
      </c>
      <c r="B33" s="3">
        <v>0.51224245067044583</v>
      </c>
      <c r="C33" s="3">
        <v>0.33704692016900162</v>
      </c>
      <c r="D33" s="3">
        <v>0.31529989430686289</v>
      </c>
      <c r="E33" s="3">
        <v>0.33921434739822859</v>
      </c>
      <c r="F33" s="3">
        <v>0.31833143668245167</v>
      </c>
      <c r="G33" s="3">
        <v>0.28783182937224411</v>
      </c>
      <c r="H33" s="3">
        <v>0.27159292826015752</v>
      </c>
      <c r="I33" s="3">
        <v>0.38097027882749462</v>
      </c>
    </row>
    <row r="34" spans="1:9" x14ac:dyDescent="0.25">
      <c r="A34" t="s">
        <v>309</v>
      </c>
      <c r="B34" s="3">
        <v>6.1020044746815223E-2</v>
      </c>
      <c r="C34" s="3">
        <v>6.9119327023603142E-2</v>
      </c>
      <c r="D34" s="3">
        <v>9.417638704919766E-2</v>
      </c>
      <c r="E34" s="3">
        <v>7.6803355057563402E-2</v>
      </c>
      <c r="F34" s="3">
        <v>6.6950876086146069E-2</v>
      </c>
      <c r="G34" s="3">
        <v>0.13442126165747409</v>
      </c>
      <c r="H34" s="3">
        <v>5.46540217627631E-2</v>
      </c>
      <c r="I34" s="3">
        <v>5.3403214013139987E-2</v>
      </c>
    </row>
    <row r="35" spans="1:9" x14ac:dyDescent="0.25">
      <c r="A35" t="s">
        <v>310</v>
      </c>
      <c r="B35" s="3">
        <v>0.1244059685620285</v>
      </c>
      <c r="C35" s="3">
        <v>0.1200849855112302</v>
      </c>
      <c r="D35" s="3">
        <v>0.13163299474149251</v>
      </c>
      <c r="E35" s="3">
        <v>0.13086973578726521</v>
      </c>
      <c r="F35" s="3">
        <v>0.13968599335366469</v>
      </c>
      <c r="G35" s="3">
        <v>0.1126671142615579</v>
      </c>
      <c r="H35" s="3">
        <v>0.1031108104184293</v>
      </c>
      <c r="I35" s="3">
        <v>0.13057895795270269</v>
      </c>
    </row>
    <row r="36" spans="1:9" x14ac:dyDescent="0.25">
      <c r="A36" t="s">
        <v>311</v>
      </c>
      <c r="B36" s="3">
        <v>0.1048457736206333</v>
      </c>
      <c r="C36" s="3">
        <v>8.6571155682903536E-2</v>
      </c>
      <c r="D36" s="3">
        <v>0.1000384671106532</v>
      </c>
      <c r="E36" s="3">
        <v>9.8264215310958414E-2</v>
      </c>
      <c r="F36" s="3">
        <v>0.1068295111689456</v>
      </c>
      <c r="G36" s="3">
        <v>0.1094485571047935</v>
      </c>
      <c r="H36" s="3">
        <v>7.0282093152162509E-2</v>
      </c>
      <c r="I36" s="3">
        <v>6.7017268069072281E-2</v>
      </c>
    </row>
    <row r="37" spans="1:9" x14ac:dyDescent="0.25">
      <c r="A37" t="s">
        <v>312</v>
      </c>
      <c r="B37" s="3">
        <v>1.714965076534403E-2</v>
      </c>
      <c r="C37" s="3">
        <v>1.433573390667057E-2</v>
      </c>
      <c r="D37" s="3">
        <v>1.2402792891700379E-2</v>
      </c>
      <c r="E37" s="3">
        <v>7.7822183841102163E-3</v>
      </c>
      <c r="F37" s="3">
        <v>1.9625925082810299E-2</v>
      </c>
      <c r="G37" s="3">
        <v>2.0468132478963268E-2</v>
      </c>
      <c r="H37" s="3">
        <v>1.8989038332074899E-2</v>
      </c>
      <c r="I37" s="3">
        <v>1.6775930403569561E-2</v>
      </c>
    </row>
    <row r="38" spans="1:9" x14ac:dyDescent="0.25">
      <c r="A38" t="s">
        <v>313</v>
      </c>
      <c r="B38" s="3">
        <v>0.1278505888507161</v>
      </c>
      <c r="C38" s="3">
        <v>0.12846753826336549</v>
      </c>
      <c r="D38" s="3">
        <v>0.152744745769441</v>
      </c>
      <c r="E38" s="3">
        <v>0.12317846655190511</v>
      </c>
      <c r="F38" s="3">
        <v>0.15399535182402321</v>
      </c>
      <c r="G38" s="3">
        <v>7.3422651998058738E-2</v>
      </c>
      <c r="H38" s="3">
        <v>4.7002995924185532E-2</v>
      </c>
      <c r="I38" s="3">
        <v>6.3741329713050215E-2</v>
      </c>
    </row>
    <row r="40" spans="1:9" x14ac:dyDescent="0.25">
      <c r="A40" s="4" t="s">
        <v>148</v>
      </c>
    </row>
    <row r="41" spans="1:9" x14ac:dyDescent="0.25">
      <c r="A41" t="s">
        <v>314</v>
      </c>
      <c r="B41" s="3">
        <v>-0.1054779401086294</v>
      </c>
      <c r="C41" s="3">
        <v>1.5055372366464389E-3</v>
      </c>
      <c r="D41" s="3">
        <v>-7.9874105806130913E-2</v>
      </c>
      <c r="E41" s="3">
        <v>-6.3451776649746192E-3</v>
      </c>
      <c r="F41" s="3">
        <v>-4.399900547844203E-2</v>
      </c>
      <c r="G41" s="3">
        <v>1.16020037121601E-2</v>
      </c>
      <c r="H41" s="3">
        <v>5.2982798631182751E-3</v>
      </c>
      <c r="I41" s="3">
        <v>0.1031661165093682</v>
      </c>
    </row>
    <row r="42" spans="1:9" x14ac:dyDescent="0.25">
      <c r="A42" t="s">
        <v>315</v>
      </c>
      <c r="B42" s="3">
        <v>0.80091586645171831</v>
      </c>
      <c r="C42" s="3">
        <v>0.4964182221597736</v>
      </c>
      <c r="D42" s="3">
        <v>0.64826169727657112</v>
      </c>
      <c r="E42" s="3">
        <v>0.64458025992272538</v>
      </c>
      <c r="F42" s="3">
        <v>0.64873248804375272</v>
      </c>
      <c r="G42" s="3">
        <v>0.48577277667087437</v>
      </c>
      <c r="H42" s="3">
        <v>0.14789846025801079</v>
      </c>
      <c r="I42" s="3">
        <v>0.28343578335073261</v>
      </c>
    </row>
    <row r="43" spans="1:9" x14ac:dyDescent="0.25">
      <c r="A43" t="s">
        <v>316</v>
      </c>
      <c r="B43" s="3">
        <v>0</v>
      </c>
      <c r="C43" s="3">
        <v>0</v>
      </c>
      <c r="D43" s="3">
        <v>0</v>
      </c>
      <c r="E43" s="3">
        <v>0</v>
      </c>
      <c r="F43" s="3">
        <v>0</v>
      </c>
      <c r="G43" s="3">
        <v>0</v>
      </c>
      <c r="H43" s="3">
        <v>0</v>
      </c>
      <c r="I43" s="3">
        <v>0</v>
      </c>
    </row>
    <row r="44" spans="1:9" x14ac:dyDescent="0.25">
      <c r="A44" t="s">
        <v>317</v>
      </c>
      <c r="B44" s="3">
        <v>0</v>
      </c>
      <c r="C44" s="3">
        <v>0</v>
      </c>
      <c r="D44" s="3">
        <v>0</v>
      </c>
      <c r="E44" s="3">
        <v>0</v>
      </c>
      <c r="F44" s="3">
        <v>0</v>
      </c>
      <c r="G44" s="3">
        <v>4.8772454331247307E-2</v>
      </c>
      <c r="H44" s="3">
        <v>0</v>
      </c>
      <c r="I44" s="3">
        <v>0</v>
      </c>
    </row>
    <row r="45" spans="1:9" x14ac:dyDescent="0.25">
      <c r="A45" t="s">
        <v>318</v>
      </c>
      <c r="B45" s="3">
        <v>0.4097848181117264</v>
      </c>
      <c r="C45" s="3">
        <v>0.37320131284524821</v>
      </c>
      <c r="D45" s="3">
        <v>0.3471934355343636</v>
      </c>
      <c r="E45" s="3">
        <v>0.35315628695172818</v>
      </c>
      <c r="F45" s="3">
        <v>0.39972835064792039</v>
      </c>
      <c r="G45" s="3">
        <v>0.40486307827283702</v>
      </c>
      <c r="H45" s="3">
        <v>0.44682925029289039</v>
      </c>
      <c r="I45" s="3">
        <v>0.32353584826002169</v>
      </c>
    </row>
    <row r="46" spans="1:9" x14ac:dyDescent="0.25">
      <c r="A46" t="s">
        <v>150</v>
      </c>
      <c r="B46" s="3">
        <v>-1.448629313879346</v>
      </c>
      <c r="C46" s="3">
        <v>-0.93514051086158212</v>
      </c>
      <c r="D46" s="3">
        <v>-1.2345713139546191</v>
      </c>
      <c r="E46" s="3">
        <v>-1.170441025641026</v>
      </c>
      <c r="F46" s="3">
        <v>-1.1300965547509321</v>
      </c>
      <c r="G46" s="3">
        <v>-1.1012764880568431</v>
      </c>
      <c r="H46" s="3">
        <v>-0.68182906101686314</v>
      </c>
      <c r="I46" s="3">
        <v>-0.52274609098436364</v>
      </c>
    </row>
    <row r="48" spans="1:9" x14ac:dyDescent="0.25">
      <c r="A48" s="4" t="s">
        <v>319</v>
      </c>
    </row>
    <row r="49" spans="1:9" x14ac:dyDescent="0.25">
      <c r="A49" t="s">
        <v>320</v>
      </c>
      <c r="B49" s="3">
        <v>4.7176085183903522</v>
      </c>
      <c r="C49" s="3">
        <v>4.4659700481858389</v>
      </c>
      <c r="D49" s="3">
        <v>4.3336308348265238</v>
      </c>
      <c r="E49" s="3">
        <v>3.8304366454071261</v>
      </c>
      <c r="F49" s="3">
        <v>4.1240228164701627</v>
      </c>
      <c r="G49" s="3">
        <v>4.2902822295421146</v>
      </c>
      <c r="H49" s="3">
        <v>4.4437214233303131</v>
      </c>
      <c r="I49" s="3">
        <v>4.5061344532705618</v>
      </c>
    </row>
    <row r="50" spans="1:9" x14ac:dyDescent="0.25">
      <c r="A50" t="s">
        <v>321</v>
      </c>
      <c r="B50" s="3">
        <v>3.2947671401050789</v>
      </c>
      <c r="C50" s="3">
        <v>3.0072343001266839</v>
      </c>
      <c r="D50" s="3">
        <v>3.3316795112239119</v>
      </c>
      <c r="E50" s="3">
        <v>3.6082711794401678</v>
      </c>
      <c r="F50" s="3">
        <v>3.5425841982512178</v>
      </c>
      <c r="G50" s="3">
        <v>3.298069852580205</v>
      </c>
      <c r="H50" s="3">
        <v>3.1257884649416181</v>
      </c>
      <c r="I50" s="3">
        <v>2.936706619737663</v>
      </c>
    </row>
    <row r="51" spans="1:9" x14ac:dyDescent="0.25">
      <c r="A51" t="s">
        <v>322</v>
      </c>
      <c r="B51" s="3">
        <v>7.8868837426681937</v>
      </c>
      <c r="C51" s="3">
        <v>7.6812899647755382</v>
      </c>
      <c r="D51" s="3">
        <v>7.6100738918771773</v>
      </c>
      <c r="E51" s="3">
        <v>7.4911309512103994</v>
      </c>
      <c r="F51" s="3">
        <v>7.6314595856793668</v>
      </c>
      <c r="G51" s="3">
        <v>7.4644075367123417</v>
      </c>
      <c r="H51" s="3">
        <v>7.4834758181949388</v>
      </c>
      <c r="I51" s="3">
        <v>7.6380156960627854</v>
      </c>
    </row>
    <row r="52" spans="1:9" x14ac:dyDescent="0.25">
      <c r="A52" t="s">
        <v>323</v>
      </c>
      <c r="B52" s="3">
        <v>6.1369109217013458</v>
      </c>
      <c r="C52" s="3">
        <v>5.4555929110517782</v>
      </c>
      <c r="D52" s="3">
        <v>5.5737040175516208</v>
      </c>
      <c r="E52" s="3">
        <v>5.006334125098971</v>
      </c>
      <c r="F52" s="3">
        <v>5.3643107111189581</v>
      </c>
      <c r="G52" s="3">
        <v>5.5217273940811262</v>
      </c>
      <c r="H52" s="3">
        <v>5.1627173337014121</v>
      </c>
      <c r="I52" s="3">
        <v>5.0657862386518087</v>
      </c>
    </row>
    <row r="53" spans="1:9" x14ac:dyDescent="0.25">
      <c r="A53" t="s">
        <v>324</v>
      </c>
      <c r="B53" s="3">
        <v>1.685313088453223</v>
      </c>
      <c r="C53" s="3">
        <v>2.2404287311562641</v>
      </c>
      <c r="D53" s="3">
        <v>2.298823329147941</v>
      </c>
      <c r="E53" s="3">
        <v>2.5057229135718289</v>
      </c>
      <c r="F53" s="3">
        <v>2.172684479392335</v>
      </c>
      <c r="G53" s="3">
        <v>2.0578183970316619</v>
      </c>
      <c r="H53" s="3">
        <v>2.4903424797788469</v>
      </c>
      <c r="I53" s="3">
        <v>2.532949354518371</v>
      </c>
    </row>
    <row r="55" spans="1:9" x14ac:dyDescent="0.25">
      <c r="A55" s="4" t="s">
        <v>325</v>
      </c>
    </row>
    <row r="56" spans="1:9" x14ac:dyDescent="0.25">
      <c r="A56" t="s">
        <v>326</v>
      </c>
      <c r="B56" s="3">
        <v>6461.4709189189198</v>
      </c>
      <c r="C56" s="3">
        <v>8418.8261052631569</v>
      </c>
      <c r="D56" s="3">
        <v>8504.4495362101297</v>
      </c>
      <c r="E56" s="3">
        <v>8672.9548235294114</v>
      </c>
      <c r="F56" s="3">
        <v>7008.3540235294113</v>
      </c>
      <c r="G56" s="3">
        <v>7692.0302941176469</v>
      </c>
      <c r="H56" s="3">
        <v>12178.286956521741</v>
      </c>
      <c r="I56" s="3">
        <v>9578.5242571428571</v>
      </c>
    </row>
    <row r="57" spans="1:9" x14ac:dyDescent="0.25">
      <c r="A57" t="s">
        <v>327</v>
      </c>
      <c r="B57" s="3">
        <v>4824.2518518518518</v>
      </c>
      <c r="C57" s="3">
        <v>6036.1592270531401</v>
      </c>
      <c r="D57" s="3">
        <v>5928.4381831652963</v>
      </c>
      <c r="E57" s="3">
        <v>5503.8615737782511</v>
      </c>
      <c r="F57" s="3">
        <v>4964.9830065359474</v>
      </c>
      <c r="G57" s="3">
        <v>5519.2961681318684</v>
      </c>
      <c r="H57" s="3">
        <v>8380.6587301587297</v>
      </c>
      <c r="I57" s="3">
        <v>6568.7285714285717</v>
      </c>
    </row>
    <row r="58" spans="1:9" x14ac:dyDescent="0.25">
      <c r="A58" t="s">
        <v>328</v>
      </c>
      <c r="B58" s="3">
        <v>1307.72435897436</v>
      </c>
      <c r="C58" s="3">
        <v>2334.2476190476191</v>
      </c>
      <c r="D58" s="3">
        <v>2211.1240362189328</v>
      </c>
      <c r="E58" s="3">
        <v>2694.956941544885</v>
      </c>
      <c r="F58" s="3">
        <v>1999.388333333334</v>
      </c>
      <c r="G58" s="3">
        <v>2162.9001556178032</v>
      </c>
      <c r="H58" s="3">
        <v>4111.5912073490808</v>
      </c>
      <c r="I58" s="3">
        <v>3242.0074621406102</v>
      </c>
    </row>
    <row r="59" spans="1:9" x14ac:dyDescent="0.25">
      <c r="A59" t="s">
        <v>329</v>
      </c>
      <c r="B59" s="3">
        <f>B58/B56</f>
        <v>0.20238802826542129</v>
      </c>
      <c r="C59" s="3">
        <f t="shared" ref="C59:I59" si="0">C58/C56</f>
        <v>0.27726521368440293</v>
      </c>
      <c r="D59" s="3">
        <f t="shared" si="0"/>
        <v>0.25999613811622246</v>
      </c>
      <c r="E59" s="3">
        <f t="shared" si="0"/>
        <v>0.31073111717745427</v>
      </c>
      <c r="F59" s="3">
        <f t="shared" si="0"/>
        <v>0.28528643482060295</v>
      </c>
      <c r="G59" s="3">
        <f t="shared" si="0"/>
        <v>0.28118716033552876</v>
      </c>
      <c r="H59" s="3">
        <f t="shared" si="0"/>
        <v>0.33761654837236638</v>
      </c>
      <c r="I59" s="3">
        <f t="shared" si="0"/>
        <v>0.33846627884488512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8750F-5FF7-4C9F-9B61-3BE25EA3EAEB}">
  <sheetPr>
    <tabColor rgb="FFFFC000"/>
  </sheetPr>
  <dimension ref="C3:E20"/>
  <sheetViews>
    <sheetView tabSelected="1" zoomScale="70" zoomScaleNormal="70" workbookViewId="0">
      <selection activeCell="H24" sqref="H24"/>
    </sheetView>
  </sheetViews>
  <sheetFormatPr defaultRowHeight="15" x14ac:dyDescent="0.25"/>
  <sheetData>
    <row r="3" spans="3:5" ht="31.5" x14ac:dyDescent="0.5">
      <c r="C3" s="97" t="s">
        <v>10</v>
      </c>
    </row>
    <row r="4" spans="3:5" ht="28.5" x14ac:dyDescent="0.45">
      <c r="C4" s="99">
        <v>1</v>
      </c>
      <c r="D4" s="99" t="s">
        <v>363</v>
      </c>
      <c r="E4" s="99"/>
    </row>
    <row r="5" spans="3:5" ht="28.5" x14ac:dyDescent="0.45">
      <c r="C5" s="99"/>
      <c r="D5" s="99" t="s">
        <v>364</v>
      </c>
      <c r="E5" s="99"/>
    </row>
    <row r="6" spans="3:5" ht="28.5" x14ac:dyDescent="0.45">
      <c r="C6" s="99">
        <v>2</v>
      </c>
      <c r="D6" s="99" t="s">
        <v>393</v>
      </c>
      <c r="E6" s="99"/>
    </row>
    <row r="7" spans="3:5" ht="28.5" x14ac:dyDescent="0.45">
      <c r="C7" s="99">
        <v>3</v>
      </c>
      <c r="D7" s="99" t="s">
        <v>11</v>
      </c>
      <c r="E7" s="99"/>
    </row>
    <row r="8" spans="3:5" ht="28.5" x14ac:dyDescent="0.45">
      <c r="C8" s="99">
        <v>4</v>
      </c>
      <c r="D8" s="99" t="s">
        <v>12</v>
      </c>
    </row>
    <row r="9" spans="3:5" ht="28.5" x14ac:dyDescent="0.45">
      <c r="D9" s="99" t="s">
        <v>13</v>
      </c>
    </row>
    <row r="10" spans="3:5" ht="28.5" x14ac:dyDescent="0.45">
      <c r="D10" s="99" t="s">
        <v>14</v>
      </c>
    </row>
    <row r="11" spans="3:5" ht="28.5" x14ac:dyDescent="0.45">
      <c r="C11" s="99">
        <v>5</v>
      </c>
      <c r="D11" s="99" t="s">
        <v>366</v>
      </c>
    </row>
    <row r="16" spans="3:5" ht="31.5" x14ac:dyDescent="0.5">
      <c r="C16" s="97" t="s">
        <v>18</v>
      </c>
    </row>
    <row r="17" spans="4:5" ht="28.5" x14ac:dyDescent="0.45">
      <c r="D17" s="99" t="s">
        <v>397</v>
      </c>
      <c r="E17" s="95"/>
    </row>
    <row r="18" spans="4:5" ht="28.5" x14ac:dyDescent="0.45">
      <c r="D18" s="99" t="s">
        <v>398</v>
      </c>
    </row>
    <row r="19" spans="4:5" ht="28.5" x14ac:dyDescent="0.45">
      <c r="D19" s="99" t="s">
        <v>399</v>
      </c>
    </row>
    <row r="20" spans="4:5" ht="28.5" x14ac:dyDescent="0.45">
      <c r="D20" s="99" t="s">
        <v>400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699BF-5D37-47F7-A790-FC1D424A9906}">
  <sheetPr>
    <tabColor rgb="FFFFC000"/>
  </sheetPr>
  <dimension ref="A1:D25"/>
  <sheetViews>
    <sheetView zoomScaleNormal="100" workbookViewId="0">
      <selection activeCell="B22" sqref="B22"/>
    </sheetView>
  </sheetViews>
  <sheetFormatPr defaultRowHeight="15" x14ac:dyDescent="0.25"/>
  <cols>
    <col min="1" max="1" width="50" customWidth="1"/>
    <col min="2" max="2" width="21.28515625" style="57" bestFit="1" customWidth="1"/>
  </cols>
  <sheetData>
    <row r="1" spans="1:4" ht="23.25" x14ac:dyDescent="0.35">
      <c r="A1" s="183" t="s">
        <v>360</v>
      </c>
    </row>
    <row r="2" spans="1:4" x14ac:dyDescent="0.25">
      <c r="A2" t="s">
        <v>20</v>
      </c>
      <c r="B2" s="57">
        <v>109</v>
      </c>
    </row>
    <row r="3" spans="1:4" x14ac:dyDescent="0.25">
      <c r="A3" t="s">
        <v>24</v>
      </c>
      <c r="B3" s="57">
        <v>310</v>
      </c>
    </row>
    <row r="4" spans="1:4" x14ac:dyDescent="0.25">
      <c r="A4" t="s">
        <v>35</v>
      </c>
      <c r="B4" s="130">
        <v>121500</v>
      </c>
    </row>
    <row r="5" spans="1:4" x14ac:dyDescent="0.25">
      <c r="A5" t="s">
        <v>45</v>
      </c>
      <c r="B5" s="131">
        <v>7</v>
      </c>
    </row>
    <row r="6" spans="1:4" x14ac:dyDescent="0.25">
      <c r="A6" t="s">
        <v>47</v>
      </c>
      <c r="B6" s="57" t="s">
        <v>48</v>
      </c>
    </row>
    <row r="8" spans="1:4" ht="23.25" x14ac:dyDescent="0.35">
      <c r="A8" s="183" t="s">
        <v>361</v>
      </c>
    </row>
    <row r="9" spans="1:4" x14ac:dyDescent="0.25">
      <c r="A9" t="s">
        <v>50</v>
      </c>
      <c r="B9" s="57" t="s">
        <v>392</v>
      </c>
    </row>
    <row r="10" spans="1:4" x14ac:dyDescent="0.25">
      <c r="A10" t="s">
        <v>52</v>
      </c>
      <c r="B10" s="131">
        <v>0</v>
      </c>
    </row>
    <row r="11" spans="1:4" x14ac:dyDescent="0.25">
      <c r="A11" t="s">
        <v>54</v>
      </c>
      <c r="B11" s="131">
        <v>500</v>
      </c>
      <c r="C11" s="3"/>
    </row>
    <row r="12" spans="1:4" x14ac:dyDescent="0.25">
      <c r="A12" t="s">
        <v>55</v>
      </c>
      <c r="B12" s="57" t="s">
        <v>37</v>
      </c>
    </row>
    <row r="13" spans="1:4" x14ac:dyDescent="0.25">
      <c r="A13" t="s">
        <v>57</v>
      </c>
      <c r="B13" s="57">
        <v>2</v>
      </c>
      <c r="D13" t="s">
        <v>371</v>
      </c>
    </row>
    <row r="14" spans="1:4" x14ac:dyDescent="0.25">
      <c r="A14" t="s">
        <v>367</v>
      </c>
      <c r="B14" s="132" t="s">
        <v>41</v>
      </c>
    </row>
    <row r="15" spans="1:4" x14ac:dyDescent="0.25">
      <c r="A15" t="s">
        <v>82</v>
      </c>
      <c r="B15" s="57">
        <v>1</v>
      </c>
    </row>
    <row r="16" spans="1:4" x14ac:dyDescent="0.25">
      <c r="A16" t="s">
        <v>83</v>
      </c>
      <c r="B16" s="57">
        <v>800</v>
      </c>
    </row>
    <row r="17" spans="1:2" x14ac:dyDescent="0.25">
      <c r="A17" t="s">
        <v>98</v>
      </c>
      <c r="B17" s="57">
        <v>300</v>
      </c>
    </row>
    <row r="18" spans="1:2" x14ac:dyDescent="0.25">
      <c r="A18" t="s">
        <v>101</v>
      </c>
      <c r="B18" s="133">
        <v>0.85</v>
      </c>
    </row>
    <row r="20" spans="1:2" ht="23.25" x14ac:dyDescent="0.35">
      <c r="A20" s="183" t="s">
        <v>362</v>
      </c>
    </row>
    <row r="21" spans="1:2" x14ac:dyDescent="0.25">
      <c r="A21" t="s">
        <v>93</v>
      </c>
      <c r="B21" s="57" t="s">
        <v>391</v>
      </c>
    </row>
    <row r="22" spans="1:2" x14ac:dyDescent="0.25">
      <c r="A22" t="s">
        <v>368</v>
      </c>
      <c r="B22" s="57">
        <v>30</v>
      </c>
    </row>
    <row r="23" spans="1:2" x14ac:dyDescent="0.25">
      <c r="A23" t="s">
        <v>84</v>
      </c>
      <c r="B23" s="57">
        <v>1000</v>
      </c>
    </row>
    <row r="24" spans="1:2" x14ac:dyDescent="0.25">
      <c r="A24" t="s">
        <v>87</v>
      </c>
      <c r="B24" s="57">
        <v>61000</v>
      </c>
    </row>
    <row r="25" spans="1:2" x14ac:dyDescent="0.25">
      <c r="A25" t="s">
        <v>88</v>
      </c>
      <c r="B25" s="57">
        <v>4</v>
      </c>
    </row>
  </sheetData>
  <dataValidations count="7">
    <dataValidation type="list" allowBlank="1" showInputMessage="1" showErrorMessage="1" sqref="B14" xr:uid="{66F56971-9223-4D6A-8C53-774C531AB5AB}">
      <formula1>"All Year,Half Year,All Season,Half Season,Nill"</formula1>
    </dataValidation>
    <dataValidation type="list" allowBlank="1" showInputMessage="1" showErrorMessage="1" sqref="B13" xr:uid="{068E6911-B1BD-4CF9-AEBB-0CA4F081A545}">
      <formula1>"0,1,2,3,4,5,6"</formula1>
    </dataValidation>
    <dataValidation type="list" allowBlank="1" showInputMessage="1" showErrorMessage="1" sqref="B22" xr:uid="{B95FF37F-A522-4E6D-9CD3-07EFF894DDBF}">
      <formula1>"5,10,15,20,25,30,40,50,60,70,80,90"</formula1>
    </dataValidation>
    <dataValidation type="list" allowBlank="1" showInputMessage="1" showErrorMessage="1" sqref="B21" xr:uid="{26B388A9-8FEF-4DA9-902B-31C86AF22CD4}">
      <formula1>"3-NOP (Bovaer), Asparagopsis (Seaweed)"</formula1>
    </dataValidation>
    <dataValidation type="list" allowBlank="1" showInputMessage="1" showErrorMessage="1" sqref="B12" xr:uid="{1B54FA00-B691-4160-AFF3-07647A9486FA}">
      <formula1>"OAD, TAD, 3in2, 7in10"</formula1>
    </dataValidation>
    <dataValidation type="list" allowBlank="1" showInputMessage="1" showErrorMessage="1" sqref="B9" xr:uid="{0E65C08B-6F6C-48FD-AF12-9859B9D0F7FC}">
      <formula1>"Yes, No"</formula1>
    </dataValidation>
    <dataValidation type="list" operator="equal" allowBlank="1" showInputMessage="1" showErrorMessage="1" sqref="B6" xr:uid="{6474A9C3-97EB-4D54-98D9-D39C0D01C2E5}">
      <formula1>"Northland, Waikato, Bay of Plenty, Taranaki, Lower North Island, West Coast-Tasman, Marlborough-Canterbury, Otago-Southland"</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8666D-8C5F-4B82-9F1C-23A793B17AF0}">
  <sheetPr>
    <tabColor rgb="FFFFC000"/>
  </sheetPr>
  <dimension ref="A2:E72"/>
  <sheetViews>
    <sheetView topLeftCell="B1" zoomScale="85" zoomScaleNormal="85" workbookViewId="0">
      <selection activeCell="I26" sqref="I26"/>
    </sheetView>
  </sheetViews>
  <sheetFormatPr defaultRowHeight="15" x14ac:dyDescent="0.25"/>
  <cols>
    <col min="2" max="2" width="62.85546875" bestFit="1" customWidth="1"/>
    <col min="3" max="3" width="22.7109375" customWidth="1"/>
    <col min="4" max="4" width="22.42578125" customWidth="1"/>
  </cols>
  <sheetData>
    <row r="2" spans="2:4" x14ac:dyDescent="0.25">
      <c r="B2" s="156" t="s">
        <v>116</v>
      </c>
      <c r="C2" s="157"/>
      <c r="D2" s="157"/>
    </row>
    <row r="3" spans="2:4" x14ac:dyDescent="0.25">
      <c r="B3" s="157"/>
      <c r="C3" s="157"/>
      <c r="D3" s="157"/>
    </row>
    <row r="4" spans="2:4" ht="18.75" customHeight="1" x14ac:dyDescent="0.25">
      <c r="B4" s="157"/>
      <c r="C4" s="157"/>
      <c r="D4" s="157"/>
    </row>
    <row r="5" spans="2:4" ht="18.75" x14ac:dyDescent="0.3">
      <c r="B5" s="108" t="str">
        <f>Financials!N2</f>
        <v>Physical Characteristics</v>
      </c>
      <c r="C5" s="109" t="str">
        <f>Financials!O2</f>
        <v>Baseline</v>
      </c>
      <c r="D5" s="110" t="str">
        <f>Financials!P2</f>
        <v>Adopter</v>
      </c>
    </row>
    <row r="6" spans="2:4" x14ac:dyDescent="0.25">
      <c r="B6" s="30" t="str">
        <f>Financials!N3</f>
        <v>Region</v>
      </c>
      <c r="C6" t="str">
        <f>Financials!O3</f>
        <v>Waikato</v>
      </c>
      <c r="D6" s="29" t="str">
        <f>Financials!P3</f>
        <v>Waikato</v>
      </c>
    </row>
    <row r="7" spans="2:4" x14ac:dyDescent="0.25">
      <c r="B7" s="30" t="str">
        <f>Financials!N4</f>
        <v>Effective hectares</v>
      </c>
      <c r="C7">
        <f>Financials!O4</f>
        <v>109</v>
      </c>
      <c r="D7" s="29">
        <f>Financials!P4</f>
        <v>109</v>
      </c>
    </row>
    <row r="8" spans="2:4" x14ac:dyDescent="0.25">
      <c r="B8" s="30" t="str">
        <f>Financials!N5</f>
        <v>Peak cows milked</v>
      </c>
      <c r="C8">
        <f>Financials!O5</f>
        <v>310</v>
      </c>
      <c r="D8" s="29">
        <f>Financials!P5</f>
        <v>310</v>
      </c>
    </row>
    <row r="9" spans="2:4" x14ac:dyDescent="0.25">
      <c r="B9" s="30" t="str">
        <f>Financials!N6</f>
        <v>Stocking rate (cows/ha)</v>
      </c>
      <c r="C9" s="3">
        <f>Financials!O6</f>
        <v>2.8440366972477062</v>
      </c>
      <c r="D9" s="63">
        <f>Financials!P6</f>
        <v>2.8440366972477062</v>
      </c>
    </row>
    <row r="10" spans="2:4" x14ac:dyDescent="0.25">
      <c r="B10" s="30" t="str">
        <f>Financials!N7</f>
        <v>Kg milksolids sold</v>
      </c>
      <c r="C10" s="6">
        <f>Financials!O7</f>
        <v>121500</v>
      </c>
      <c r="D10" s="60">
        <f>Financials!P7</f>
        <v>121500</v>
      </c>
    </row>
    <row r="11" spans="2:4" x14ac:dyDescent="0.25">
      <c r="B11" s="30" t="str">
        <f>Financials!N8</f>
        <v>Milksolids sold per hectare</v>
      </c>
      <c r="C11" s="6">
        <f>Financials!O8</f>
        <v>1114.6788990825687</v>
      </c>
      <c r="D11" s="60">
        <f>Financials!P8</f>
        <v>1114.6788990825687</v>
      </c>
    </row>
    <row r="12" spans="2:4" x14ac:dyDescent="0.25">
      <c r="B12" s="30" t="str">
        <f>Financials!N9</f>
        <v>Milksolids sold per cow</v>
      </c>
      <c r="C12" s="6">
        <f>Financials!O9</f>
        <v>391.93548387096774</v>
      </c>
      <c r="D12" s="60">
        <f>Financials!P9</f>
        <v>391.93548387096774</v>
      </c>
    </row>
    <row r="13" spans="2:4" ht="15.75" thickBot="1" x14ac:dyDescent="0.3">
      <c r="B13" s="79" t="str">
        <f>Financials!N10</f>
        <v>PAYOUT RECEIVED: $/kg MS sold</v>
      </c>
      <c r="C13" s="101">
        <f>Financials!O10</f>
        <v>7</v>
      </c>
      <c r="D13" s="104">
        <f>Financials!P10</f>
        <v>7</v>
      </c>
    </row>
    <row r="14" spans="2:4" x14ac:dyDescent="0.25">
      <c r="B14" s="30"/>
      <c r="D14" s="29"/>
    </row>
    <row r="15" spans="2:4" ht="18.75" x14ac:dyDescent="0.3">
      <c r="B15" s="108" t="str">
        <f>Financials!N11</f>
        <v>Dairy Cash Income ($)</v>
      </c>
      <c r="C15" s="58"/>
      <c r="D15" s="111"/>
    </row>
    <row r="16" spans="2:4" x14ac:dyDescent="0.25">
      <c r="B16" s="30" t="str">
        <f>Financials!N12</f>
        <v>Milk sales (net of dairy levies)</v>
      </c>
      <c r="C16" s="47">
        <f>Financials!O12</f>
        <v>850500</v>
      </c>
      <c r="D16" s="92">
        <f>Financials!P12</f>
        <v>850500</v>
      </c>
    </row>
    <row r="17" spans="2:4" x14ac:dyDescent="0.25">
      <c r="B17" s="30" t="str">
        <f>Financials!N13</f>
        <v>Net livestock sales (sales - purchases)</v>
      </c>
      <c r="C17" s="47">
        <f>Financials!O13</f>
        <v>57712.931401789516</v>
      </c>
      <c r="D17" s="92">
        <f>Financials!P13</f>
        <v>57712.931401789516</v>
      </c>
    </row>
    <row r="18" spans="2:4" x14ac:dyDescent="0.25">
      <c r="B18" s="82" t="str">
        <f>Financials!N14</f>
        <v xml:space="preserve">Other dairy cash income </v>
      </c>
      <c r="C18" s="48">
        <f>Financials!O14</f>
        <v>3374.7106729532788</v>
      </c>
      <c r="D18" s="91">
        <f>Financials!P14</f>
        <v>3374.7106729532788</v>
      </c>
    </row>
    <row r="19" spans="2:4" ht="15.75" thickBot="1" x14ac:dyDescent="0.3">
      <c r="B19" s="83" t="str">
        <f>Financials!N15</f>
        <v>Net dairy cash income</v>
      </c>
      <c r="C19" s="103">
        <f>Financials!O15</f>
        <v>911587.64207474282</v>
      </c>
      <c r="D19" s="105">
        <f>Financials!P15</f>
        <v>911587.64207474282</v>
      </c>
    </row>
    <row r="20" spans="2:4" x14ac:dyDescent="0.25">
      <c r="B20" s="30"/>
      <c r="D20" s="29"/>
    </row>
    <row r="21" spans="2:4" ht="18.75" x14ac:dyDescent="0.3">
      <c r="B21" s="108" t="str">
        <f>Financials!N16</f>
        <v>Cash Working Expenses ($)</v>
      </c>
      <c r="C21" s="58"/>
      <c r="D21" s="111"/>
    </row>
    <row r="22" spans="2:4" x14ac:dyDescent="0.25">
      <c r="B22" s="30" t="str">
        <f>Financials!N17</f>
        <v>Wages</v>
      </c>
      <c r="C22" s="47">
        <f>Financials!O17</f>
        <v>74887.362567889693</v>
      </c>
      <c r="D22" s="92">
        <f>Financials!P17</f>
        <v>92268.184485697915</v>
      </c>
    </row>
    <row r="23" spans="2:4" x14ac:dyDescent="0.25">
      <c r="B23" s="30" t="str">
        <f>Financials!N18</f>
        <v>Net feed made, purchased, cropped</v>
      </c>
      <c r="C23" s="47">
        <f>Financials!O18</f>
        <v>165567.5512523081</v>
      </c>
      <c r="D23" s="92">
        <f>Financials!P18</f>
        <v>239967.5512523081</v>
      </c>
    </row>
    <row r="24" spans="2:4" x14ac:dyDescent="0.25">
      <c r="B24" s="30" t="str">
        <f>Financials!N19</f>
        <v xml:space="preserve">Vehicles &amp; fuel </v>
      </c>
      <c r="C24" s="47">
        <f>Financials!O19</f>
        <v>23794.620343839542</v>
      </c>
      <c r="D24" s="92">
        <f>Financials!P19</f>
        <v>43520.64774109982</v>
      </c>
    </row>
    <row r="25" spans="2:4" x14ac:dyDescent="0.25">
      <c r="B25" s="30" t="str">
        <f>Financials!N20</f>
        <v>Repairs &amp; maintenance</v>
      </c>
      <c r="C25" s="47">
        <f>Financials!O20</f>
        <v>40951.200800533697</v>
      </c>
      <c r="D25" s="92">
        <f>Financials!P20</f>
        <v>40951.200800533697</v>
      </c>
    </row>
    <row r="26" spans="2:4" x14ac:dyDescent="0.25">
      <c r="B26" s="30" t="str">
        <f>Financials!N21</f>
        <v>Methane Inhibitor</v>
      </c>
      <c r="C26" s="47">
        <f>Financials!O21</f>
        <v>0</v>
      </c>
      <c r="D26" s="92">
        <f>Financials!P21</f>
        <v>18374.794520547941</v>
      </c>
    </row>
    <row r="27" spans="2:4" x14ac:dyDescent="0.25">
      <c r="B27" s="82" t="str">
        <f>Financials!N22</f>
        <v>Other Expenses</v>
      </c>
      <c r="C27" s="48">
        <f>Financials!O22</f>
        <v>224266.2645702842</v>
      </c>
      <c r="D27" s="91">
        <f>Financials!P22</f>
        <v>224266.2645702842</v>
      </c>
    </row>
    <row r="28" spans="2:4" ht="15.75" thickBot="1" x14ac:dyDescent="0.3">
      <c r="B28" s="79" t="str">
        <f>Financials!N23</f>
        <v>Farm Working Expense</v>
      </c>
      <c r="C28" s="102">
        <f>Financials!O23</f>
        <v>529466.99953485525</v>
      </c>
      <c r="D28" s="106">
        <f>Financials!P23</f>
        <v>659348.64337047166</v>
      </c>
    </row>
    <row r="29" spans="2:4" x14ac:dyDescent="0.25">
      <c r="B29" s="30"/>
      <c r="D29" s="29"/>
    </row>
    <row r="30" spans="2:4" ht="18.75" x14ac:dyDescent="0.3">
      <c r="B30" s="108" t="str">
        <f>Financials!N24</f>
        <v>Adjustments ($)</v>
      </c>
      <c r="C30" s="58"/>
      <c r="D30" s="111"/>
    </row>
    <row r="31" spans="2:4" ht="15.75" thickBot="1" x14ac:dyDescent="0.3">
      <c r="B31" s="79" t="str">
        <f>Financials!N25</f>
        <v>Net Adjustments</v>
      </c>
      <c r="C31" s="102">
        <f>Financials!O25</f>
        <v>-113619.57206968222</v>
      </c>
      <c r="D31" s="106">
        <f>Financials!P25</f>
        <v>-113619.57206968222</v>
      </c>
    </row>
    <row r="32" spans="2:4" x14ac:dyDescent="0.25">
      <c r="B32" s="30"/>
      <c r="D32" s="29"/>
    </row>
    <row r="33" spans="2:4" ht="18.75" x14ac:dyDescent="0.3">
      <c r="B33" s="108" t="str">
        <f>Financials!N26</f>
        <v>Surplus</v>
      </c>
      <c r="C33" s="58"/>
      <c r="D33" s="111"/>
    </row>
    <row r="34" spans="2:4" ht="15.75" thickBot="1" x14ac:dyDescent="0.3">
      <c r="B34" s="79" t="str">
        <f>Financials!N27</f>
        <v>Cash Operating Surplus</v>
      </c>
      <c r="C34" s="102">
        <f>Financials!O27</f>
        <v>382120.64253988757</v>
      </c>
      <c r="D34" s="106">
        <f>Financials!P27</f>
        <v>252238.99870427116</v>
      </c>
    </row>
    <row r="35" spans="2:4" x14ac:dyDescent="0.25">
      <c r="B35" s="30"/>
      <c r="D35" s="29"/>
    </row>
    <row r="36" spans="2:4" ht="18.75" x14ac:dyDescent="0.3">
      <c r="B36" s="108" t="str">
        <f>Financials!N29</f>
        <v>Operating Cash and Non-cash</v>
      </c>
      <c r="C36" s="58"/>
      <c r="D36" s="111"/>
    </row>
    <row r="37" spans="2:4" x14ac:dyDescent="0.25">
      <c r="B37" s="30" t="str">
        <f>Financials!N30</f>
        <v>Dairy Gross Farm Revenue</v>
      </c>
      <c r="C37" s="47">
        <f>Financials!O30</f>
        <v>911587.64207474282</v>
      </c>
      <c r="D37" s="92">
        <f>Financials!P30</f>
        <v>911587.64207474282</v>
      </c>
    </row>
    <row r="38" spans="2:4" x14ac:dyDescent="0.25">
      <c r="B38" s="82" t="str">
        <f>Financials!N31</f>
        <v>Dairy Operating Expense</v>
      </c>
      <c r="C38" s="48">
        <f>Financials!O31</f>
        <v>643086.57160453743</v>
      </c>
      <c r="D38" s="91">
        <f>Financials!P31</f>
        <v>772968.21544015384</v>
      </c>
    </row>
    <row r="39" spans="2:4" x14ac:dyDescent="0.25">
      <c r="B39" s="30" t="str">
        <f>Financials!N32</f>
        <v>Dairy Operating Profit</v>
      </c>
      <c r="C39" s="47">
        <f>Financials!O32</f>
        <v>268501.07047020539</v>
      </c>
      <c r="D39" s="92">
        <f>Financials!P32</f>
        <v>138619.42663458898</v>
      </c>
    </row>
    <row r="40" spans="2:4" ht="15.75" thickBot="1" x14ac:dyDescent="0.3">
      <c r="B40" s="79" t="str">
        <f>Financials!N33</f>
        <v>Dairy Profit Margin</v>
      </c>
      <c r="C40" s="76">
        <f>Financials!O33</f>
        <v>0.29454224484560365</v>
      </c>
      <c r="D40" s="107">
        <f>Financials!P33</f>
        <v>0.15206374048588003</v>
      </c>
    </row>
    <row r="41" spans="2:4" x14ac:dyDescent="0.25">
      <c r="B41" s="30"/>
      <c r="D41" s="29"/>
    </row>
    <row r="42" spans="2:4" ht="18.75" x14ac:dyDescent="0.3">
      <c r="B42" s="108" t="str">
        <f>Financials!N35</f>
        <v>Environmental Performance</v>
      </c>
      <c r="C42" s="58"/>
      <c r="D42" s="111"/>
    </row>
    <row r="43" spans="2:4" x14ac:dyDescent="0.25">
      <c r="B43" s="30" t="str">
        <f>Financials!N36</f>
        <v>Intial Methane Emissions (kg ch4)</v>
      </c>
      <c r="C43">
        <f>Financials!O36</f>
        <v>0</v>
      </c>
      <c r="D43" s="29">
        <f>Financials!P36</f>
        <v>33178.68</v>
      </c>
    </row>
    <row r="44" spans="2:4" x14ac:dyDescent="0.25">
      <c r="B44" s="82" t="str">
        <f>Financials!N37</f>
        <v>Abated Methane Emission (kg ch4)</v>
      </c>
      <c r="C44" s="8">
        <f>Financials!O37</f>
        <v>0</v>
      </c>
      <c r="D44" s="49">
        <f>Financials!P37</f>
        <v>9039.6</v>
      </c>
    </row>
    <row r="45" spans="2:4" x14ac:dyDescent="0.25">
      <c r="B45" s="54" t="str">
        <f>Financials!N38</f>
        <v>Cost of Abatement ($)</v>
      </c>
      <c r="C45" s="37">
        <f>Financials!O38</f>
        <v>0</v>
      </c>
      <c r="D45" s="112">
        <f>Financials!P38-D61</f>
        <v>99447.393835616414</v>
      </c>
    </row>
    <row r="46" spans="2:4" x14ac:dyDescent="0.25">
      <c r="B46" s="113" t="str">
        <f>Financials!N39</f>
        <v>$/kg Cost of Abatement (breakeven price $/kg CH4)</v>
      </c>
      <c r="C46" s="5">
        <f>Financials!O39</f>
        <v>0</v>
      </c>
      <c r="D46" s="114">
        <f>D45/D44</f>
        <v>11.001304685563124</v>
      </c>
    </row>
    <row r="47" spans="2:4" ht="15.75" thickBot="1" x14ac:dyDescent="0.3">
      <c r="B47" s="115" t="str">
        <f>Financials!N40</f>
        <v>Cost of Abatement ($/t/co2e)</v>
      </c>
      <c r="C47" s="116">
        <f>Financials!O40</f>
        <v>0</v>
      </c>
      <c r="D47" s="117">
        <f>D46/28*1000</f>
        <v>392.9037387701116</v>
      </c>
    </row>
    <row r="48" spans="2:4" x14ac:dyDescent="0.25">
      <c r="B48" s="30"/>
      <c r="D48" s="29"/>
    </row>
    <row r="49" spans="1:5" ht="18.75" x14ac:dyDescent="0.3">
      <c r="B49" s="146" t="str">
        <f>Financials!N42</f>
        <v>Operating Cash and Non-cash (With Emission Pricing)</v>
      </c>
      <c r="C49" s="147" t="str">
        <f>Financials!O42</f>
        <v>Baseline</v>
      </c>
      <c r="D49" s="148" t="str">
        <f>Financials!P42</f>
        <v>Adopter</v>
      </c>
    </row>
    <row r="50" spans="1:5" x14ac:dyDescent="0.25">
      <c r="B50" s="145" t="str">
        <f>Financials!N43</f>
        <v>Dairy Gross Farm Revenue</v>
      </c>
      <c r="C50" s="149">
        <f>Financials!O43</f>
        <v>911587.64207474282</v>
      </c>
      <c r="D50" s="150">
        <f>Financials!P43</f>
        <v>911587.64207474282</v>
      </c>
    </row>
    <row r="51" spans="1:5" x14ac:dyDescent="0.25">
      <c r="B51" s="145" t="str">
        <f>Financials!N44</f>
        <v>Dairy Operating Expense</v>
      </c>
      <c r="C51" s="149">
        <f>Financials!O44</f>
        <v>643086.57160453743</v>
      </c>
      <c r="D51" s="150">
        <f>Financials!P44</f>
        <v>772968.21544015384</v>
      </c>
    </row>
    <row r="52" spans="1:5" x14ac:dyDescent="0.25">
      <c r="B52" s="151" t="str">
        <f>Financials!N45</f>
        <v>Emission Charge</v>
      </c>
      <c r="C52" s="152">
        <f>Financials!O45</f>
        <v>476713.73718924396</v>
      </c>
      <c r="D52" s="153">
        <f>Financials!P45</f>
        <v>346832.09335362754</v>
      </c>
    </row>
    <row r="53" spans="1:5" x14ac:dyDescent="0.25">
      <c r="B53" s="145" t="str">
        <f>Financials!N46</f>
        <v>Dairy Operating Profit</v>
      </c>
      <c r="C53" s="149">
        <f>Financials!O46</f>
        <v>-208212.66671903856</v>
      </c>
      <c r="D53" s="150">
        <f>Financials!P46</f>
        <v>-208212.66671903856</v>
      </c>
    </row>
    <row r="54" spans="1:5" x14ac:dyDescent="0.25">
      <c r="B54" s="145" t="str">
        <f>Financials!N47</f>
        <v>Dairy Profit Margin</v>
      </c>
      <c r="C54" s="154">
        <f>Financials!O47</f>
        <v>-0.22840663597101155</v>
      </c>
      <c r="D54" s="155">
        <f>Financials!P47</f>
        <v>-0.22840663597101155</v>
      </c>
    </row>
    <row r="55" spans="1:5" x14ac:dyDescent="0.25">
      <c r="B55" s="28"/>
      <c r="C55" s="128"/>
      <c r="D55" s="129"/>
    </row>
    <row r="56" spans="1:5" ht="18.75" x14ac:dyDescent="0.3">
      <c r="B56" s="108" t="str">
        <f>Financials!N49</f>
        <v>Feed Composition</v>
      </c>
      <c r="C56" s="126" t="str">
        <f>Financials!O49</f>
        <v>Baseline</v>
      </c>
      <c r="D56" s="127" t="str">
        <f>Financials!P49</f>
        <v>Adopter</v>
      </c>
    </row>
    <row r="57" spans="1:5" x14ac:dyDescent="0.25">
      <c r="B57" s="30" t="str">
        <f>Financials!N50</f>
        <v>Total Imported Feed (t/year)</v>
      </c>
      <c r="C57">
        <f>Financials!O50</f>
        <v>0</v>
      </c>
      <c r="D57" s="29">
        <f>Financials!P50</f>
        <v>113.14999999999999</v>
      </c>
    </row>
    <row r="58" spans="1:5" x14ac:dyDescent="0.25">
      <c r="B58" s="82" t="str">
        <f>Financials!N51</f>
        <v>Cost of Imported Feed ($/year)</v>
      </c>
      <c r="C58" s="48">
        <f>Financials!O51</f>
        <v>0</v>
      </c>
      <c r="D58" s="91">
        <f>Financials!P51</f>
        <v>90520</v>
      </c>
    </row>
    <row r="59" spans="1:5" x14ac:dyDescent="0.25">
      <c r="B59" s="30" t="str">
        <f>Financials!N52</f>
        <v>Pasture Proportion of Diet (relative to premium supplement)</v>
      </c>
      <c r="C59" s="26">
        <f>Financials!O52</f>
        <v>1</v>
      </c>
      <c r="D59" s="89">
        <f>Financials!P52</f>
        <v>0.93738647830474264</v>
      </c>
    </row>
    <row r="60" spans="1:5" x14ac:dyDescent="0.25">
      <c r="B60" s="82" t="str">
        <f>Financials!N53</f>
        <v>Pasture Uitilisation Forgone</v>
      </c>
      <c r="C60" s="46">
        <f>Financials!O53</f>
        <v>0</v>
      </c>
      <c r="D60" s="93">
        <f>Financials!P53</f>
        <v>6.2613521695257357E-2</v>
      </c>
    </row>
    <row r="61" spans="1:5" x14ac:dyDescent="0.25">
      <c r="B61" s="54" t="s">
        <v>387</v>
      </c>
      <c r="C61" s="138" t="str">
        <f>"-"</f>
        <v>-</v>
      </c>
      <c r="D61" s="112">
        <f>'sub-models'!AN29</f>
        <v>30434.25</v>
      </c>
    </row>
    <row r="63" spans="1:5" x14ac:dyDescent="0.25">
      <c r="A63" s="172"/>
      <c r="B63" s="172"/>
      <c r="C63" s="172"/>
      <c r="D63" s="172"/>
      <c r="E63" s="172"/>
    </row>
    <row r="64" spans="1:5" x14ac:dyDescent="0.25">
      <c r="A64" s="172"/>
      <c r="B64" s="173"/>
      <c r="C64" s="172"/>
      <c r="D64" s="172"/>
      <c r="E64" s="172"/>
    </row>
    <row r="65" spans="1:5" x14ac:dyDescent="0.25">
      <c r="A65" s="172"/>
      <c r="B65" s="172"/>
      <c r="C65" s="174"/>
      <c r="D65" s="172"/>
      <c r="E65" s="172"/>
    </row>
    <row r="66" spans="1:5" x14ac:dyDescent="0.25">
      <c r="A66" s="172"/>
      <c r="B66" s="172"/>
      <c r="C66" s="174"/>
      <c r="D66" s="172"/>
      <c r="E66" s="172"/>
    </row>
    <row r="67" spans="1:5" x14ac:dyDescent="0.25">
      <c r="A67" s="172"/>
      <c r="B67" s="172"/>
      <c r="C67" s="174"/>
      <c r="D67" s="172"/>
      <c r="E67" s="172"/>
    </row>
    <row r="68" spans="1:5" x14ac:dyDescent="0.25">
      <c r="A68" s="172"/>
      <c r="B68" s="172"/>
      <c r="C68" s="175"/>
      <c r="D68" s="172"/>
      <c r="E68" s="172"/>
    </row>
    <row r="69" spans="1:5" x14ac:dyDescent="0.25">
      <c r="A69" s="172"/>
      <c r="B69" s="172"/>
      <c r="C69" s="176"/>
      <c r="D69" s="172"/>
      <c r="E69" s="172"/>
    </row>
    <row r="70" spans="1:5" x14ac:dyDescent="0.25">
      <c r="A70" s="172"/>
      <c r="B70" s="172"/>
      <c r="C70" s="174"/>
      <c r="D70" s="172"/>
      <c r="E70" s="172"/>
    </row>
    <row r="71" spans="1:5" x14ac:dyDescent="0.25">
      <c r="A71" s="172"/>
      <c r="B71" s="172"/>
      <c r="C71" s="175"/>
      <c r="D71" s="172"/>
      <c r="E71" s="172"/>
    </row>
    <row r="72" spans="1:5" x14ac:dyDescent="0.25">
      <c r="A72" s="172"/>
      <c r="B72" s="172"/>
      <c r="C72" s="172"/>
      <c r="D72" s="172"/>
      <c r="E72" s="172"/>
    </row>
  </sheetData>
  <mergeCells count="1">
    <mergeCell ref="B2:D4"/>
  </mergeCells>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50D72-D253-4275-AC22-02640FB77BAE}">
  <dimension ref="A1:AC48"/>
  <sheetViews>
    <sheetView topLeftCell="E1" zoomScaleNormal="100" workbookViewId="0">
      <selection activeCell="B23" sqref="B23"/>
    </sheetView>
  </sheetViews>
  <sheetFormatPr defaultRowHeight="15" x14ac:dyDescent="0.25"/>
  <cols>
    <col min="1" max="1" width="50" customWidth="1"/>
    <col min="2" max="2" width="14.85546875" bestFit="1" customWidth="1"/>
    <col min="3" max="3" width="18" bestFit="1" customWidth="1"/>
    <col min="4" max="4" width="11.42578125" customWidth="1"/>
    <col min="5" max="5" width="30.85546875" customWidth="1"/>
    <col min="11" max="11" width="18" customWidth="1"/>
    <col min="12" max="12" width="16" bestFit="1" customWidth="1"/>
    <col min="14" max="14" width="13.5703125" customWidth="1"/>
    <col min="15" max="15" width="13.140625" customWidth="1"/>
  </cols>
  <sheetData>
    <row r="1" spans="1:29" x14ac:dyDescent="0.25">
      <c r="A1" s="1" t="s">
        <v>15</v>
      </c>
      <c r="B1" s="4" t="s">
        <v>16</v>
      </c>
      <c r="C1" s="4" t="s">
        <v>17</v>
      </c>
      <c r="D1" s="4" t="s">
        <v>18</v>
      </c>
      <c r="E1" s="4" t="s">
        <v>19</v>
      </c>
      <c r="G1" s="4"/>
    </row>
    <row r="2" spans="1:29" x14ac:dyDescent="0.25">
      <c r="A2" t="s">
        <v>20</v>
      </c>
      <c r="B2">
        <f>Inputs!B2</f>
        <v>109</v>
      </c>
      <c r="C2">
        <f>B2</f>
        <v>109</v>
      </c>
      <c r="E2" t="s">
        <v>21</v>
      </c>
      <c r="K2" s="158" t="s">
        <v>22</v>
      </c>
      <c r="L2" s="158"/>
      <c r="N2" s="158" t="s">
        <v>23</v>
      </c>
      <c r="O2" s="158"/>
      <c r="P2" s="158"/>
    </row>
    <row r="3" spans="1:29" x14ac:dyDescent="0.25">
      <c r="A3" t="s">
        <v>24</v>
      </c>
      <c r="B3">
        <f>Inputs!B3</f>
        <v>310</v>
      </c>
      <c r="C3">
        <f t="shared" ref="C3:C9" si="0">B3</f>
        <v>310</v>
      </c>
      <c r="E3" t="s">
        <v>25</v>
      </c>
      <c r="K3" s="4" t="s">
        <v>26</v>
      </c>
      <c r="L3" s="4" t="s">
        <v>27</v>
      </c>
      <c r="N3" s="4" t="s">
        <v>28</v>
      </c>
      <c r="O3" s="4" t="s">
        <v>29</v>
      </c>
      <c r="P3" s="4" t="s">
        <v>30</v>
      </c>
    </row>
    <row r="4" spans="1:29" x14ac:dyDescent="0.25">
      <c r="A4" t="s">
        <v>31</v>
      </c>
      <c r="B4" s="3">
        <f>B3/B2</f>
        <v>2.8440366972477062</v>
      </c>
      <c r="C4" s="3">
        <f t="shared" si="0"/>
        <v>2.8440366972477062</v>
      </c>
      <c r="D4" t="s">
        <v>32</v>
      </c>
      <c r="K4" t="s">
        <v>33</v>
      </c>
      <c r="L4">
        <v>1</v>
      </c>
      <c r="N4" s="69" t="s">
        <v>34</v>
      </c>
      <c r="O4" s="22">
        <v>1</v>
      </c>
      <c r="P4" s="6">
        <v>365</v>
      </c>
    </row>
    <row r="5" spans="1:29" x14ac:dyDescent="0.25">
      <c r="A5" t="s">
        <v>35</v>
      </c>
      <c r="B5" s="6">
        <f>Inputs!B4</f>
        <v>121500</v>
      </c>
      <c r="C5" s="6">
        <f t="shared" si="0"/>
        <v>121500</v>
      </c>
      <c r="E5" t="s">
        <v>36</v>
      </c>
      <c r="K5" t="s">
        <v>37</v>
      </c>
      <c r="L5">
        <v>2</v>
      </c>
      <c r="N5" s="69" t="s">
        <v>38</v>
      </c>
      <c r="O5" s="22">
        <v>0.5</v>
      </c>
      <c r="P5" s="6">
        <f>P4/2</f>
        <v>182.5</v>
      </c>
    </row>
    <row r="6" spans="1:29" x14ac:dyDescent="0.25">
      <c r="A6" t="s">
        <v>39</v>
      </c>
      <c r="B6">
        <f>ROUND((B5/B2),0)</f>
        <v>1115</v>
      </c>
      <c r="C6">
        <f t="shared" si="0"/>
        <v>1115</v>
      </c>
      <c r="D6" t="s">
        <v>32</v>
      </c>
      <c r="K6" t="s">
        <v>40</v>
      </c>
      <c r="L6">
        <f>3/2</f>
        <v>1.5</v>
      </c>
      <c r="N6" s="69" t="s">
        <v>41</v>
      </c>
      <c r="O6" s="22">
        <f>C36/365</f>
        <v>0.82191780821917804</v>
      </c>
      <c r="P6" s="6">
        <f>C36</f>
        <v>300</v>
      </c>
    </row>
    <row r="7" spans="1:29" x14ac:dyDescent="0.25">
      <c r="A7" t="s">
        <v>42</v>
      </c>
      <c r="B7">
        <f>ROUND((B5/B3),0)</f>
        <v>392</v>
      </c>
      <c r="C7">
        <f t="shared" si="0"/>
        <v>392</v>
      </c>
      <c r="D7" t="s">
        <v>32</v>
      </c>
      <c r="K7" t="s">
        <v>43</v>
      </c>
      <c r="L7">
        <f>7/10</f>
        <v>0.7</v>
      </c>
      <c r="N7" s="69" t="s">
        <v>44</v>
      </c>
      <c r="O7" s="22">
        <f>(C36/2)/365</f>
        <v>0.41095890410958902</v>
      </c>
      <c r="P7" s="6">
        <f>P6/2</f>
        <v>150</v>
      </c>
    </row>
    <row r="8" spans="1:29" x14ac:dyDescent="0.25">
      <c r="A8" t="s">
        <v>45</v>
      </c>
      <c r="B8" s="3">
        <f>Inputs!B5</f>
        <v>7</v>
      </c>
      <c r="C8" s="3">
        <f t="shared" si="0"/>
        <v>7</v>
      </c>
      <c r="E8" t="s">
        <v>46</v>
      </c>
      <c r="N8" s="69" t="s">
        <v>354</v>
      </c>
      <c r="O8" s="22">
        <f>0</f>
        <v>0</v>
      </c>
      <c r="P8">
        <v>0</v>
      </c>
    </row>
    <row r="9" spans="1:29" x14ac:dyDescent="0.25">
      <c r="A9" t="s">
        <v>47</v>
      </c>
      <c r="B9" t="str">
        <f>Inputs!B6</f>
        <v>Waikato</v>
      </c>
      <c r="C9" t="str">
        <f t="shared" si="0"/>
        <v>Waikato</v>
      </c>
      <c r="E9" t="s">
        <v>49</v>
      </c>
      <c r="F9" s="159" t="s">
        <v>365</v>
      </c>
      <c r="G9" s="159"/>
      <c r="H9" s="159"/>
      <c r="I9" s="159"/>
      <c r="J9" s="159"/>
      <c r="K9" s="159"/>
      <c r="L9" s="159"/>
      <c r="M9" s="159"/>
      <c r="N9" s="159"/>
      <c r="O9" s="159"/>
      <c r="P9" s="159"/>
      <c r="Q9" s="159"/>
      <c r="R9" s="159"/>
      <c r="S9" s="159"/>
      <c r="T9" s="159"/>
      <c r="U9" s="159"/>
      <c r="V9" s="159"/>
      <c r="W9" s="159"/>
      <c r="X9" s="159"/>
      <c r="Y9" s="159"/>
      <c r="Z9" s="159"/>
      <c r="AA9" s="159"/>
      <c r="AB9" s="159"/>
      <c r="AC9" s="159"/>
    </row>
    <row r="10" spans="1:29" x14ac:dyDescent="0.25">
      <c r="A10" t="s">
        <v>50</v>
      </c>
      <c r="B10" t="str">
        <f>Inputs!B9</f>
        <v>No</v>
      </c>
      <c r="C10">
        <f>IF((B10="Yes"),1,0)</f>
        <v>0</v>
      </c>
      <c r="E10" t="s">
        <v>51</v>
      </c>
      <c r="F10" s="159"/>
      <c r="G10" s="159"/>
      <c r="H10" s="159"/>
      <c r="I10" s="159"/>
      <c r="J10" s="159"/>
      <c r="K10" s="159"/>
      <c r="L10" s="159"/>
      <c r="M10" s="159"/>
      <c r="N10" s="159"/>
      <c r="O10" s="159"/>
      <c r="P10" s="159"/>
      <c r="Q10" s="159"/>
      <c r="R10" s="159"/>
      <c r="S10" s="159"/>
      <c r="T10" s="159"/>
      <c r="U10" s="159"/>
      <c r="V10" s="159"/>
      <c r="W10" s="159"/>
      <c r="X10" s="159"/>
      <c r="Y10" s="159"/>
      <c r="Z10" s="159"/>
      <c r="AA10" s="159"/>
      <c r="AB10" s="159"/>
      <c r="AC10" s="159"/>
    </row>
    <row r="11" spans="1:29" ht="15" customHeight="1" x14ac:dyDescent="0.25">
      <c r="A11" t="s">
        <v>52</v>
      </c>
      <c r="B11" s="3">
        <f>Inputs!B10</f>
        <v>0</v>
      </c>
      <c r="C11" s="3">
        <f>B11</f>
        <v>0</v>
      </c>
      <c r="E11" t="s">
        <v>53</v>
      </c>
      <c r="F11" s="159"/>
      <c r="G11" s="159"/>
      <c r="H11" s="159"/>
      <c r="I11" s="159"/>
      <c r="J11" s="159"/>
      <c r="K11" s="159"/>
      <c r="L11" s="159"/>
      <c r="M11" s="159"/>
      <c r="N11" s="159"/>
      <c r="O11" s="159"/>
      <c r="P11" s="159"/>
      <c r="Q11" s="159"/>
      <c r="R11" s="159"/>
      <c r="S11" s="159"/>
      <c r="T11" s="159"/>
      <c r="U11" s="159"/>
      <c r="V11" s="159"/>
      <c r="W11" s="159"/>
      <c r="X11" s="159"/>
      <c r="Y11" s="159"/>
      <c r="Z11" s="159"/>
      <c r="AA11" s="159"/>
      <c r="AB11" s="159"/>
      <c r="AC11" s="159"/>
    </row>
    <row r="12" spans="1:29" ht="15" customHeight="1" x14ac:dyDescent="0.25">
      <c r="A12" t="s">
        <v>54</v>
      </c>
      <c r="B12" s="3">
        <f>Inputs!B11</f>
        <v>500</v>
      </c>
      <c r="C12" s="3">
        <f t="shared" ref="C12" si="1">B12</f>
        <v>500</v>
      </c>
      <c r="E12" t="s">
        <v>53</v>
      </c>
      <c r="F12" s="159"/>
      <c r="G12" s="159"/>
      <c r="H12" s="159"/>
      <c r="I12" s="159"/>
      <c r="J12" s="159"/>
      <c r="K12" s="159"/>
      <c r="L12" s="159"/>
      <c r="M12" s="159"/>
      <c r="N12" s="159"/>
      <c r="O12" s="159"/>
      <c r="P12" s="159"/>
      <c r="Q12" s="159"/>
      <c r="R12" s="159"/>
      <c r="S12" s="159"/>
      <c r="T12" s="159"/>
      <c r="U12" s="159"/>
      <c r="V12" s="159"/>
      <c r="W12" s="159"/>
      <c r="X12" s="159"/>
      <c r="Y12" s="159"/>
      <c r="Z12" s="159"/>
      <c r="AA12" s="159"/>
      <c r="AB12" s="159"/>
      <c r="AC12" s="159"/>
    </row>
    <row r="13" spans="1:29" ht="15" customHeight="1" x14ac:dyDescent="0.25">
      <c r="A13" t="s">
        <v>55</v>
      </c>
      <c r="B13" t="str">
        <f>Inputs!B12</f>
        <v>TAD</v>
      </c>
      <c r="C13">
        <f>VLOOKUP(B13,K3:L7,2,FALSE)</f>
        <v>2</v>
      </c>
      <c r="E13" t="s">
        <v>56</v>
      </c>
      <c r="F13" s="159"/>
      <c r="G13" s="159"/>
      <c r="H13" s="159"/>
      <c r="I13" s="159"/>
      <c r="J13" s="159"/>
      <c r="K13" s="159"/>
      <c r="L13" s="159"/>
      <c r="M13" s="159"/>
      <c r="N13" s="159"/>
      <c r="O13" s="159"/>
      <c r="P13" s="159"/>
      <c r="Q13" s="159"/>
      <c r="R13" s="159"/>
      <c r="S13" s="159"/>
      <c r="T13" s="159"/>
      <c r="U13" s="159"/>
      <c r="V13" s="159"/>
      <c r="W13" s="159"/>
      <c r="X13" s="159"/>
      <c r="Y13" s="159"/>
      <c r="Z13" s="159"/>
      <c r="AA13" s="159"/>
      <c r="AB13" s="159"/>
      <c r="AC13" s="159"/>
    </row>
    <row r="14" spans="1:29" ht="15" customHeight="1" x14ac:dyDescent="0.25">
      <c r="A14" t="s">
        <v>57</v>
      </c>
      <c r="B14">
        <f>Inputs!B13</f>
        <v>2</v>
      </c>
      <c r="C14">
        <f>ROUND(B14,0)</f>
        <v>2</v>
      </c>
      <c r="E14" t="s">
        <v>56</v>
      </c>
      <c r="F14" s="159"/>
      <c r="G14" s="159"/>
      <c r="H14" s="159"/>
      <c r="I14" s="159"/>
      <c r="J14" s="159"/>
      <c r="K14" s="159"/>
      <c r="L14" s="159"/>
      <c r="M14" s="159"/>
      <c r="N14" s="159"/>
      <c r="O14" s="159"/>
      <c r="P14" s="159"/>
      <c r="Q14" s="159"/>
      <c r="R14" s="159"/>
      <c r="S14" s="159"/>
      <c r="T14" s="159"/>
      <c r="U14" s="159"/>
      <c r="V14" s="159"/>
      <c r="W14" s="159"/>
      <c r="X14" s="159"/>
      <c r="Y14" s="159"/>
      <c r="Z14" s="159"/>
      <c r="AA14" s="159"/>
      <c r="AB14" s="159"/>
      <c r="AC14" s="159"/>
    </row>
    <row r="15" spans="1:29" ht="15" customHeight="1" x14ac:dyDescent="0.25">
      <c r="A15" t="s">
        <v>58</v>
      </c>
      <c r="B15" s="134" t="str">
        <f>Inputs!B14</f>
        <v>All Season</v>
      </c>
      <c r="C15">
        <f>VLOOKUP(B15,N3:P8,2,FALSE)</f>
        <v>0.82191780821917804</v>
      </c>
      <c r="E15" t="s">
        <v>56</v>
      </c>
      <c r="F15" s="159"/>
      <c r="G15" s="159"/>
      <c r="H15" s="159"/>
      <c r="I15" s="159"/>
      <c r="J15" s="159"/>
      <c r="K15" s="159"/>
      <c r="L15" s="159"/>
      <c r="M15" s="159"/>
      <c r="N15" s="159"/>
      <c r="O15" s="159"/>
      <c r="P15" s="159"/>
      <c r="Q15" s="159"/>
      <c r="R15" s="159"/>
      <c r="S15" s="159"/>
      <c r="T15" s="159"/>
      <c r="U15" s="159"/>
      <c r="V15" s="159"/>
      <c r="W15" s="159"/>
      <c r="X15" s="159"/>
      <c r="Y15" s="159"/>
      <c r="Z15" s="159"/>
      <c r="AA15" s="159"/>
      <c r="AB15" s="159"/>
      <c r="AC15" s="159"/>
    </row>
    <row r="16" spans="1:29" ht="15" customHeight="1" x14ac:dyDescent="0.25">
      <c r="A16" t="s">
        <v>59</v>
      </c>
      <c r="C16">
        <f>C13+C14</f>
        <v>4</v>
      </c>
      <c r="E16" t="s">
        <v>56</v>
      </c>
      <c r="F16" s="159"/>
      <c r="G16" s="159"/>
      <c r="H16" s="159"/>
      <c r="I16" s="159"/>
      <c r="J16" s="159"/>
      <c r="K16" s="159"/>
      <c r="L16" s="159"/>
      <c r="M16" s="159"/>
      <c r="N16" s="159"/>
      <c r="O16" s="159"/>
      <c r="P16" s="159"/>
      <c r="Q16" s="159"/>
      <c r="R16" s="159"/>
      <c r="S16" s="159"/>
      <c r="T16" s="159"/>
      <c r="U16" s="159"/>
      <c r="V16" s="159"/>
      <c r="W16" s="159"/>
      <c r="X16" s="159"/>
      <c r="Y16" s="159"/>
      <c r="Z16" s="159"/>
      <c r="AA16" s="159"/>
      <c r="AB16" s="159"/>
      <c r="AC16" s="159"/>
    </row>
    <row r="17" spans="1:29" ht="15" customHeight="1" x14ac:dyDescent="0.25">
      <c r="A17" t="s">
        <v>60</v>
      </c>
      <c r="B17">
        <f>Inputs!B22</f>
        <v>30</v>
      </c>
      <c r="C17">
        <f>B17/100</f>
        <v>0.3</v>
      </c>
      <c r="D17" t="s">
        <v>61</v>
      </c>
      <c r="E17" t="s">
        <v>62</v>
      </c>
      <c r="F17" s="159"/>
      <c r="G17" s="159"/>
      <c r="H17" s="159"/>
      <c r="I17" s="159"/>
      <c r="J17" s="159"/>
      <c r="K17" s="159"/>
      <c r="L17" s="159"/>
      <c r="M17" s="159"/>
      <c r="N17" s="159"/>
      <c r="O17" s="159"/>
      <c r="P17" s="159"/>
      <c r="Q17" s="159"/>
      <c r="R17" s="159"/>
      <c r="S17" s="159"/>
      <c r="T17" s="159"/>
      <c r="U17" s="159"/>
      <c r="V17" s="159"/>
      <c r="W17" s="159"/>
      <c r="X17" s="159"/>
      <c r="Y17" s="159"/>
      <c r="Z17" s="159"/>
      <c r="AA17" s="159"/>
      <c r="AB17" s="159"/>
      <c r="AC17" s="159"/>
    </row>
    <row r="18" spans="1:29" ht="15" customHeight="1" x14ac:dyDescent="0.25">
      <c r="F18" s="159"/>
      <c r="G18" s="159"/>
      <c r="H18" s="159"/>
      <c r="I18" s="159"/>
      <c r="J18" s="159"/>
      <c r="K18" s="159"/>
      <c r="L18" s="159"/>
      <c r="M18" s="159"/>
      <c r="N18" s="159"/>
      <c r="O18" s="159"/>
      <c r="P18" s="159"/>
      <c r="Q18" s="159"/>
      <c r="R18" s="159"/>
      <c r="S18" s="159"/>
      <c r="T18" s="159"/>
      <c r="U18" s="159"/>
      <c r="V18" s="159"/>
      <c r="W18" s="159"/>
      <c r="X18" s="159"/>
      <c r="Y18" s="159"/>
      <c r="Z18" s="159"/>
      <c r="AA18" s="159"/>
      <c r="AB18" s="159"/>
      <c r="AC18" s="159"/>
    </row>
    <row r="19" spans="1:29" x14ac:dyDescent="0.25">
      <c r="F19" s="159"/>
      <c r="G19" s="159"/>
      <c r="H19" s="159"/>
      <c r="I19" s="159"/>
      <c r="J19" s="159"/>
      <c r="K19" s="159"/>
      <c r="L19" s="159"/>
      <c r="M19" s="159"/>
      <c r="N19" s="159"/>
      <c r="O19" s="159"/>
      <c r="P19" s="159"/>
      <c r="Q19" s="159"/>
      <c r="R19" s="159"/>
      <c r="S19" s="159"/>
      <c r="T19" s="159"/>
      <c r="U19" s="159"/>
      <c r="V19" s="159"/>
      <c r="W19" s="159"/>
      <c r="X19" s="159"/>
      <c r="Y19" s="159"/>
      <c r="Z19" s="159"/>
      <c r="AA19" s="159"/>
      <c r="AB19" s="159"/>
      <c r="AC19" s="159"/>
    </row>
    <row r="20" spans="1:29" x14ac:dyDescent="0.25">
      <c r="K20" t="s">
        <v>18</v>
      </c>
    </row>
    <row r="21" spans="1:29" x14ac:dyDescent="0.25">
      <c r="A21" s="4" t="s">
        <v>63</v>
      </c>
      <c r="B21" s="4" t="s">
        <v>16</v>
      </c>
      <c r="C21" s="44" t="s">
        <v>64</v>
      </c>
      <c r="D21" s="4" t="s">
        <v>65</v>
      </c>
      <c r="K21" t="s">
        <v>66</v>
      </c>
      <c r="L21" t="s">
        <v>67</v>
      </c>
    </row>
    <row r="22" spans="1:29" x14ac:dyDescent="0.25">
      <c r="A22" t="s">
        <v>68</v>
      </c>
      <c r="B22" s="136">
        <v>1.6</v>
      </c>
      <c r="C22">
        <f>B22</f>
        <v>1.6</v>
      </c>
      <c r="D22" t="s">
        <v>69</v>
      </c>
      <c r="E22" t="s">
        <v>70</v>
      </c>
      <c r="K22" t="s">
        <v>66</v>
      </c>
      <c r="L22" t="s">
        <v>71</v>
      </c>
    </row>
    <row r="23" spans="1:29" x14ac:dyDescent="0.25">
      <c r="A23" t="s">
        <v>72</v>
      </c>
      <c r="B23" s="177">
        <v>1.1100000000000001</v>
      </c>
      <c r="C23">
        <f t="shared" ref="C23:C33" si="2">B23</f>
        <v>1.1100000000000001</v>
      </c>
      <c r="D23" t="s">
        <v>69</v>
      </c>
      <c r="E23" t="s">
        <v>73</v>
      </c>
      <c r="K23" t="s">
        <v>74</v>
      </c>
      <c r="L23" t="s">
        <v>75</v>
      </c>
    </row>
    <row r="24" spans="1:29" x14ac:dyDescent="0.25">
      <c r="A24" s="135" t="s">
        <v>76</v>
      </c>
      <c r="B24" s="5">
        <v>1</v>
      </c>
      <c r="C24">
        <f t="shared" si="2"/>
        <v>1</v>
      </c>
      <c r="D24" t="s">
        <v>77</v>
      </c>
      <c r="E24" t="s">
        <v>70</v>
      </c>
      <c r="K24" t="s">
        <v>78</v>
      </c>
      <c r="L24" t="s">
        <v>79</v>
      </c>
    </row>
    <row r="25" spans="1:29" x14ac:dyDescent="0.25">
      <c r="A25" s="135" t="s">
        <v>80</v>
      </c>
      <c r="B25" s="5">
        <v>5</v>
      </c>
      <c r="C25">
        <f t="shared" si="2"/>
        <v>5</v>
      </c>
      <c r="D25" t="s">
        <v>81</v>
      </c>
      <c r="E25" t="s">
        <v>73</v>
      </c>
    </row>
    <row r="26" spans="1:29" x14ac:dyDescent="0.25">
      <c r="A26" t="s">
        <v>82</v>
      </c>
      <c r="B26">
        <f>Inputs!B15</f>
        <v>1</v>
      </c>
      <c r="C26">
        <f t="shared" si="2"/>
        <v>1</v>
      </c>
      <c r="E26" t="s">
        <v>53</v>
      </c>
    </row>
    <row r="27" spans="1:29" x14ac:dyDescent="0.25">
      <c r="A27" t="s">
        <v>83</v>
      </c>
      <c r="B27">
        <f>Inputs!B16</f>
        <v>800</v>
      </c>
      <c r="C27">
        <f t="shared" si="2"/>
        <v>800</v>
      </c>
      <c r="E27" t="s">
        <v>53</v>
      </c>
    </row>
    <row r="28" spans="1:29" x14ac:dyDescent="0.25">
      <c r="A28" t="s">
        <v>84</v>
      </c>
      <c r="B28">
        <f>Inputs!B23</f>
        <v>1000</v>
      </c>
      <c r="C28">
        <f t="shared" si="2"/>
        <v>1000</v>
      </c>
      <c r="E28" t="s">
        <v>85</v>
      </c>
    </row>
    <row r="29" spans="1:29" x14ac:dyDescent="0.25">
      <c r="A29" t="s">
        <v>86</v>
      </c>
      <c r="B29" s="5">
        <v>0</v>
      </c>
      <c r="C29">
        <f t="shared" si="2"/>
        <v>0</v>
      </c>
      <c r="E29" t="s">
        <v>85</v>
      </c>
    </row>
    <row r="30" spans="1:29" x14ac:dyDescent="0.25">
      <c r="A30" t="s">
        <v>87</v>
      </c>
      <c r="B30">
        <f>Inputs!B24</f>
        <v>61000</v>
      </c>
      <c r="C30">
        <f t="shared" si="2"/>
        <v>61000</v>
      </c>
      <c r="E30" t="s">
        <v>85</v>
      </c>
    </row>
    <row r="31" spans="1:29" x14ac:dyDescent="0.25">
      <c r="A31" t="s">
        <v>88</v>
      </c>
      <c r="B31">
        <f>Inputs!B25</f>
        <v>4</v>
      </c>
      <c r="C31">
        <f t="shared" si="2"/>
        <v>4</v>
      </c>
      <c r="E31" t="s">
        <v>85</v>
      </c>
    </row>
    <row r="32" spans="1:29" x14ac:dyDescent="0.25">
      <c r="A32" t="s">
        <v>89</v>
      </c>
      <c r="B32">
        <f>'sub-models'!W28</f>
        <v>101.95200000000001</v>
      </c>
      <c r="C32">
        <f t="shared" si="2"/>
        <v>101.95200000000001</v>
      </c>
      <c r="D32" t="s">
        <v>90</v>
      </c>
      <c r="E32" t="s">
        <v>91</v>
      </c>
    </row>
    <row r="33" spans="1:5" x14ac:dyDescent="0.25">
      <c r="A33" t="s">
        <v>92</v>
      </c>
      <c r="B33" s="5">
        <v>200</v>
      </c>
      <c r="C33">
        <f t="shared" si="2"/>
        <v>200</v>
      </c>
      <c r="E33" t="s">
        <v>85</v>
      </c>
    </row>
    <row r="34" spans="1:5" x14ac:dyDescent="0.25">
      <c r="A34" t="s">
        <v>93</v>
      </c>
      <c r="B34" t="str">
        <f>Inputs!B21</f>
        <v>3-NOP (Bovaer)</v>
      </c>
      <c r="C34">
        <f>IF(B34="3-NOP (Bovaer)",1,0)</f>
        <v>1</v>
      </c>
      <c r="E34" t="s">
        <v>94</v>
      </c>
    </row>
    <row r="35" spans="1:5" x14ac:dyDescent="0.25">
      <c r="A35" s="70" t="s">
        <v>95</v>
      </c>
      <c r="B35" s="70">
        <v>4.72</v>
      </c>
      <c r="C35" s="70">
        <f>B35</f>
        <v>4.72</v>
      </c>
      <c r="D35" t="s">
        <v>96</v>
      </c>
      <c r="E35" t="s">
        <v>97</v>
      </c>
    </row>
    <row r="36" spans="1:5" x14ac:dyDescent="0.25">
      <c r="A36" t="s">
        <v>98</v>
      </c>
      <c r="B36">
        <f>Inputs!B17</f>
        <v>300</v>
      </c>
      <c r="C36">
        <f>B36</f>
        <v>300</v>
      </c>
      <c r="D36" t="s">
        <v>99</v>
      </c>
      <c r="E36" t="s">
        <v>100</v>
      </c>
    </row>
    <row r="37" spans="1:5" x14ac:dyDescent="0.25">
      <c r="A37" t="s">
        <v>101</v>
      </c>
      <c r="B37" s="71">
        <v>0.85</v>
      </c>
      <c r="C37">
        <f>B37</f>
        <v>0.85</v>
      </c>
      <c r="E37" t="s">
        <v>102</v>
      </c>
    </row>
    <row r="38" spans="1:5" x14ac:dyDescent="0.25">
      <c r="A38" s="4" t="s">
        <v>103</v>
      </c>
    </row>
    <row r="39" spans="1:5" x14ac:dyDescent="0.25">
      <c r="A39" s="58" t="s">
        <v>104</v>
      </c>
    </row>
    <row r="40" spans="1:5" x14ac:dyDescent="0.25">
      <c r="A40" t="s">
        <v>105</v>
      </c>
      <c r="B40" s="5">
        <v>0</v>
      </c>
      <c r="C40">
        <f t="shared" ref="C40:C47" si="3">B40</f>
        <v>0</v>
      </c>
      <c r="E40" t="s">
        <v>369</v>
      </c>
    </row>
    <row r="41" spans="1:5" x14ac:dyDescent="0.25">
      <c r="A41" t="s">
        <v>106</v>
      </c>
      <c r="B41" s="5">
        <v>0</v>
      </c>
      <c r="C41">
        <f t="shared" si="3"/>
        <v>0</v>
      </c>
      <c r="E41" t="s">
        <v>369</v>
      </c>
    </row>
    <row r="42" spans="1:5" x14ac:dyDescent="0.25">
      <c r="A42" t="s">
        <v>107</v>
      </c>
      <c r="B42" s="5">
        <v>0</v>
      </c>
      <c r="C42">
        <f t="shared" si="3"/>
        <v>0</v>
      </c>
      <c r="E42" t="s">
        <v>369</v>
      </c>
    </row>
    <row r="43" spans="1:5" x14ac:dyDescent="0.25">
      <c r="A43" t="s">
        <v>108</v>
      </c>
      <c r="B43" s="5">
        <v>4</v>
      </c>
      <c r="C43">
        <f t="shared" si="3"/>
        <v>4</v>
      </c>
      <c r="E43" t="s">
        <v>369</v>
      </c>
    </row>
    <row r="44" spans="1:5" x14ac:dyDescent="0.25">
      <c r="A44" t="s">
        <v>109</v>
      </c>
      <c r="B44" s="5">
        <v>7</v>
      </c>
      <c r="C44">
        <f t="shared" si="3"/>
        <v>7</v>
      </c>
      <c r="E44" t="s">
        <v>369</v>
      </c>
    </row>
    <row r="45" spans="1:5" x14ac:dyDescent="0.25">
      <c r="A45" t="s">
        <v>110</v>
      </c>
      <c r="B45" s="5">
        <v>15</v>
      </c>
      <c r="C45">
        <f t="shared" si="3"/>
        <v>15</v>
      </c>
      <c r="E45" t="s">
        <v>369</v>
      </c>
    </row>
    <row r="46" spans="1:5" x14ac:dyDescent="0.25">
      <c r="A46" t="s">
        <v>111</v>
      </c>
      <c r="B46" s="5">
        <v>5</v>
      </c>
      <c r="C46">
        <f t="shared" si="3"/>
        <v>5</v>
      </c>
      <c r="E46" t="s">
        <v>369</v>
      </c>
    </row>
    <row r="47" spans="1:5" x14ac:dyDescent="0.25">
      <c r="A47" t="s">
        <v>112</v>
      </c>
      <c r="B47" s="5">
        <v>6</v>
      </c>
      <c r="C47">
        <f t="shared" si="3"/>
        <v>6</v>
      </c>
      <c r="E47" t="s">
        <v>369</v>
      </c>
    </row>
    <row r="48" spans="1:5" x14ac:dyDescent="0.25">
      <c r="A48" t="s">
        <v>113</v>
      </c>
      <c r="C48">
        <f>(PRODUCT('sub-models'!AI10:AI11)+PRODUCT('sub-models'!AH10:AH11))/1000</f>
        <v>4.9550000000000001</v>
      </c>
      <c r="D48" t="s">
        <v>114</v>
      </c>
      <c r="E48" t="s">
        <v>115</v>
      </c>
    </row>
  </sheetData>
  <mergeCells count="3">
    <mergeCell ref="K2:L2"/>
    <mergeCell ref="N2:P2"/>
    <mergeCell ref="F9:AC19"/>
  </mergeCells>
  <dataValidations count="7">
    <dataValidation type="list" operator="equal" allowBlank="1" showInputMessage="1" showErrorMessage="1" sqref="B9" xr:uid="{B506C91D-4677-4595-95EA-B1C2F1BA2EAF}">
      <formula1>"Northland, Waikato, Bay of Plenty, Taranaki, Lower North Island, West Coast-Tasman, Marlborough-Canterbury, Otago-Southland"</formula1>
    </dataValidation>
    <dataValidation type="list" allowBlank="1" showInputMessage="1" showErrorMessage="1" sqref="B10" xr:uid="{DE620622-3F8C-4048-8C14-8CB14F91BFA2}">
      <formula1>"Yes, No"</formula1>
    </dataValidation>
    <dataValidation type="list" allowBlank="1" showInputMessage="1" showErrorMessage="1" sqref="B13" xr:uid="{0D772785-22B9-498C-97F6-A3404DE717FB}">
      <formula1>"OAD, TAD, 3in2, 7in10"</formula1>
    </dataValidation>
    <dataValidation type="list" allowBlank="1" showInputMessage="1" showErrorMessage="1" sqref="B34" xr:uid="{C8971AAC-4AEA-47CE-98D8-E69397DF5C9C}">
      <formula1>"3-NOP (Bovaer), Asparagopsis (Seaweed)"</formula1>
    </dataValidation>
    <dataValidation type="list" allowBlank="1" showInputMessage="1" showErrorMessage="1" sqref="B17" xr:uid="{F837F1E1-B1D2-42F1-87F9-9EE5C7253C42}">
      <formula1>"5,10,15,20,25,30,40,50,60,70,80,90"</formula1>
    </dataValidation>
    <dataValidation type="list" allowBlank="1" showInputMessage="1" showErrorMessage="1" sqref="B14" xr:uid="{8E02A1B7-8676-4140-926E-EAD651EF6AD6}">
      <formula1>"0,1,2,3,4,5,6"</formula1>
    </dataValidation>
    <dataValidation showDropDown="1" sqref="B15" xr:uid="{3CB535F6-CDDC-4245-B3E2-BF77D3A7D0BE}"/>
  </dataValidations>
  <pageMargins left="0.7" right="0.7" top="0.75" bottom="0.75" header="0.3" footer="0.3"/>
  <pageSetup paperSize="9" orientation="portrait" verticalDpi="0" r:id="rId1"/>
  <ignoredErrors>
    <ignoredError sqref="C10"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D492D-4B42-4F03-9B03-AD24883D11C7}">
  <dimension ref="A1:R53"/>
  <sheetViews>
    <sheetView topLeftCell="G1" zoomScale="70" zoomScaleNormal="70" workbookViewId="0">
      <selection activeCell="R46" sqref="R46"/>
    </sheetView>
  </sheetViews>
  <sheetFormatPr defaultRowHeight="15" x14ac:dyDescent="0.25"/>
  <cols>
    <col min="2" max="2" width="45.7109375" customWidth="1"/>
    <col min="3" max="3" width="23.5703125" style="16" bestFit="1" customWidth="1"/>
    <col min="6" max="6" width="45.7109375" customWidth="1"/>
    <col min="7" max="7" width="23.42578125" bestFit="1" customWidth="1"/>
    <col min="10" max="10" width="45.7109375" customWidth="1"/>
    <col min="11" max="11" width="23.42578125" bestFit="1" customWidth="1"/>
    <col min="14" max="14" width="57.28515625" bestFit="1" customWidth="1"/>
    <col min="15" max="16" width="23.42578125" bestFit="1" customWidth="1"/>
  </cols>
  <sheetData>
    <row r="1" spans="1:16" ht="26.25" x14ac:dyDescent="0.4">
      <c r="A1">
        <v>1</v>
      </c>
      <c r="B1" s="160" t="s">
        <v>117</v>
      </c>
      <c r="C1" s="160"/>
      <c r="F1" s="161" t="s">
        <v>118</v>
      </c>
      <c r="G1" s="161"/>
      <c r="J1" s="161" t="s">
        <v>119</v>
      </c>
      <c r="K1" s="161"/>
      <c r="N1" s="162" t="s">
        <v>120</v>
      </c>
      <c r="O1" s="163"/>
      <c r="P1" s="164"/>
    </row>
    <row r="2" spans="1:16" ht="15.75" thickBot="1" x14ac:dyDescent="0.3">
      <c r="A2">
        <v>2</v>
      </c>
      <c r="B2" s="13" t="s">
        <v>15</v>
      </c>
      <c r="C2" s="14" t="s">
        <v>16</v>
      </c>
      <c r="F2" s="13" t="s">
        <v>15</v>
      </c>
      <c r="G2" s="14" t="s">
        <v>16</v>
      </c>
      <c r="J2" s="13" t="s">
        <v>15</v>
      </c>
      <c r="K2" s="14" t="s">
        <v>16</v>
      </c>
      <c r="N2" s="77" t="s">
        <v>15</v>
      </c>
      <c r="O2" s="14" t="s">
        <v>121</v>
      </c>
      <c r="P2" s="78" t="s">
        <v>122</v>
      </c>
    </row>
    <row r="3" spans="1:16" x14ac:dyDescent="0.25">
      <c r="A3">
        <v>3</v>
      </c>
      <c r="B3" t="s">
        <v>47</v>
      </c>
      <c r="C3" s="15" t="str">
        <f>'Fine Tuning'!C9</f>
        <v>Waikato</v>
      </c>
      <c r="F3" t="s">
        <v>47</v>
      </c>
      <c r="G3" s="3" t="str">
        <f>C3</f>
        <v>Waikato</v>
      </c>
      <c r="J3" t="s">
        <v>47</v>
      </c>
      <c r="K3" s="3" t="str">
        <f>G3</f>
        <v>Waikato</v>
      </c>
      <c r="N3" s="30" t="s">
        <v>47</v>
      </c>
      <c r="O3" s="3" t="str">
        <f>K3</f>
        <v>Waikato</v>
      </c>
      <c r="P3" s="63" t="str">
        <f>O3</f>
        <v>Waikato</v>
      </c>
    </row>
    <row r="4" spans="1:16" x14ac:dyDescent="0.25">
      <c r="A4">
        <v>4</v>
      </c>
      <c r="B4" t="s">
        <v>20</v>
      </c>
      <c r="C4" s="16">
        <f>'Fine Tuning'!C2</f>
        <v>109</v>
      </c>
      <c r="F4" t="s">
        <v>20</v>
      </c>
      <c r="G4" s="3">
        <f>C4</f>
        <v>109</v>
      </c>
      <c r="J4" t="s">
        <v>20</v>
      </c>
      <c r="K4" s="3">
        <f>G4</f>
        <v>109</v>
      </c>
      <c r="N4" s="30" t="s">
        <v>20</v>
      </c>
      <c r="O4" s="3">
        <f>K4</f>
        <v>109</v>
      </c>
      <c r="P4" s="63">
        <f t="shared" ref="P4:P10" si="0">O4</f>
        <v>109</v>
      </c>
    </row>
    <row r="5" spans="1:16" x14ac:dyDescent="0.25">
      <c r="A5">
        <v>5</v>
      </c>
      <c r="B5" t="s">
        <v>24</v>
      </c>
      <c r="C5" s="16">
        <f>'Fine Tuning'!C3</f>
        <v>310</v>
      </c>
      <c r="F5" t="s">
        <v>24</v>
      </c>
      <c r="G5" s="3">
        <f t="shared" ref="G5:G10" si="1">C5</f>
        <v>310</v>
      </c>
      <c r="J5" t="s">
        <v>24</v>
      </c>
      <c r="K5" s="3">
        <f t="shared" ref="K5:K10" si="2">G5</f>
        <v>310</v>
      </c>
      <c r="N5" s="30" t="s">
        <v>24</v>
      </c>
      <c r="O5" s="3">
        <f t="shared" ref="O5:O10" si="3">K5</f>
        <v>310</v>
      </c>
      <c r="P5" s="63">
        <f t="shared" si="0"/>
        <v>310</v>
      </c>
    </row>
    <row r="6" spans="1:16" x14ac:dyDescent="0.25">
      <c r="A6">
        <v>6</v>
      </c>
      <c r="B6" t="s">
        <v>31</v>
      </c>
      <c r="C6" s="17">
        <f>'Fine Tuning'!B4</f>
        <v>2.8440366972477062</v>
      </c>
      <c r="F6" t="s">
        <v>31</v>
      </c>
      <c r="G6" s="3">
        <f t="shared" si="1"/>
        <v>2.8440366972477062</v>
      </c>
      <c r="J6" t="s">
        <v>31</v>
      </c>
      <c r="K6" s="3">
        <f t="shared" si="2"/>
        <v>2.8440366972477062</v>
      </c>
      <c r="N6" s="30" t="s">
        <v>31</v>
      </c>
      <c r="O6" s="3">
        <f t="shared" si="3"/>
        <v>2.8440366972477062</v>
      </c>
      <c r="P6" s="63">
        <f t="shared" si="0"/>
        <v>2.8440366972477062</v>
      </c>
    </row>
    <row r="7" spans="1:16" x14ac:dyDescent="0.25">
      <c r="A7">
        <v>7</v>
      </c>
      <c r="B7" t="s">
        <v>35</v>
      </c>
      <c r="C7" s="18">
        <f>'Fine Tuning'!C5</f>
        <v>121500</v>
      </c>
      <c r="F7" t="s">
        <v>35</v>
      </c>
      <c r="G7" s="3">
        <f t="shared" si="1"/>
        <v>121500</v>
      </c>
      <c r="J7" t="s">
        <v>35</v>
      </c>
      <c r="K7" s="3">
        <f t="shared" si="2"/>
        <v>121500</v>
      </c>
      <c r="N7" s="30" t="s">
        <v>35</v>
      </c>
      <c r="O7" s="3">
        <f t="shared" si="3"/>
        <v>121500</v>
      </c>
      <c r="P7" s="63">
        <f t="shared" si="0"/>
        <v>121500</v>
      </c>
    </row>
    <row r="8" spans="1:16" x14ac:dyDescent="0.25">
      <c r="A8">
        <v>8</v>
      </c>
      <c r="B8" t="s">
        <v>39</v>
      </c>
      <c r="C8" s="17">
        <f>C7/C4</f>
        <v>1114.6788990825687</v>
      </c>
      <c r="F8" t="s">
        <v>39</v>
      </c>
      <c r="G8" s="3">
        <f t="shared" si="1"/>
        <v>1114.6788990825687</v>
      </c>
      <c r="J8" t="s">
        <v>39</v>
      </c>
      <c r="K8" s="3">
        <f t="shared" si="2"/>
        <v>1114.6788990825687</v>
      </c>
      <c r="N8" s="30" t="s">
        <v>39</v>
      </c>
      <c r="O8" s="3">
        <f t="shared" si="3"/>
        <v>1114.6788990825687</v>
      </c>
      <c r="P8" s="63">
        <f t="shared" si="0"/>
        <v>1114.6788990825687</v>
      </c>
    </row>
    <row r="9" spans="1:16" x14ac:dyDescent="0.25">
      <c r="A9">
        <v>9</v>
      </c>
      <c r="B9" t="s">
        <v>42</v>
      </c>
      <c r="C9" s="17">
        <f>C7/C5</f>
        <v>391.93548387096774</v>
      </c>
      <c r="F9" t="s">
        <v>42</v>
      </c>
      <c r="G9" s="3">
        <f t="shared" si="1"/>
        <v>391.93548387096774</v>
      </c>
      <c r="J9" t="s">
        <v>42</v>
      </c>
      <c r="K9" s="3">
        <f t="shared" si="2"/>
        <v>391.93548387096774</v>
      </c>
      <c r="N9" s="30" t="s">
        <v>42</v>
      </c>
      <c r="O9" s="3">
        <f t="shared" si="3"/>
        <v>391.93548387096774</v>
      </c>
      <c r="P9" s="63">
        <f t="shared" si="0"/>
        <v>391.93548387096774</v>
      </c>
    </row>
    <row r="10" spans="1:16" ht="15.75" thickBot="1" x14ac:dyDescent="0.3">
      <c r="A10">
        <v>10</v>
      </c>
      <c r="B10" s="10" t="s">
        <v>45</v>
      </c>
      <c r="C10" s="19">
        <f>'Fine Tuning'!C8</f>
        <v>7</v>
      </c>
      <c r="F10" s="10" t="s">
        <v>45</v>
      </c>
      <c r="G10" s="11">
        <f t="shared" si="1"/>
        <v>7</v>
      </c>
      <c r="J10" s="10" t="s">
        <v>45</v>
      </c>
      <c r="K10" s="11">
        <f t="shared" si="2"/>
        <v>7</v>
      </c>
      <c r="N10" s="79" t="s">
        <v>45</v>
      </c>
      <c r="O10" s="11">
        <f t="shared" si="3"/>
        <v>7</v>
      </c>
      <c r="P10" s="80">
        <f t="shared" si="0"/>
        <v>7</v>
      </c>
    </row>
    <row r="11" spans="1:16" x14ac:dyDescent="0.25">
      <c r="A11">
        <v>11</v>
      </c>
      <c r="B11" s="4" t="s">
        <v>123</v>
      </c>
      <c r="F11" s="4" t="s">
        <v>124</v>
      </c>
      <c r="J11" s="4" t="s">
        <v>124</v>
      </c>
      <c r="N11" s="81" t="s">
        <v>124</v>
      </c>
      <c r="P11" s="29"/>
    </row>
    <row r="12" spans="1:16" x14ac:dyDescent="0.25">
      <c r="A12">
        <v>12</v>
      </c>
      <c r="B12" t="s">
        <v>125</v>
      </c>
      <c r="C12" s="17">
        <f>C10</f>
        <v>7</v>
      </c>
      <c r="F12" t="s">
        <v>126</v>
      </c>
      <c r="G12" s="22">
        <f>$G$7*G10</f>
        <v>850500</v>
      </c>
      <c r="J12" t="s">
        <v>126</v>
      </c>
      <c r="K12" s="6">
        <f>G12</f>
        <v>850500</v>
      </c>
      <c r="N12" s="30" t="s">
        <v>126</v>
      </c>
      <c r="O12" s="6">
        <f>K12</f>
        <v>850500</v>
      </c>
      <c r="P12" s="60">
        <f>O12</f>
        <v>850500</v>
      </c>
    </row>
    <row r="13" spans="1:16" x14ac:dyDescent="0.25">
      <c r="A13">
        <v>13</v>
      </c>
      <c r="B13" t="s">
        <v>127</v>
      </c>
      <c r="C13" s="17">
        <f>HLOOKUP($C$3,'financial input'!$B$1:$J$25,$A13,FALSE)</f>
        <v>0.47500355063201249</v>
      </c>
      <c r="F13" t="s">
        <v>128</v>
      </c>
      <c r="G13" s="22">
        <f>$G$7*C13</f>
        <v>57712.931401789516</v>
      </c>
      <c r="J13" t="s">
        <v>128</v>
      </c>
      <c r="K13" s="6">
        <f t="shared" ref="K13:K14" si="4">G13</f>
        <v>57712.931401789516</v>
      </c>
      <c r="N13" s="30" t="s">
        <v>128</v>
      </c>
      <c r="O13" s="6">
        <f t="shared" ref="O13:O14" si="5">K13</f>
        <v>57712.931401789516</v>
      </c>
      <c r="P13" s="60">
        <f t="shared" ref="P13:P14" si="6">O13</f>
        <v>57712.931401789516</v>
      </c>
    </row>
    <row r="14" spans="1:16" x14ac:dyDescent="0.25">
      <c r="A14">
        <v>14</v>
      </c>
      <c r="B14" s="8" t="s">
        <v>129</v>
      </c>
      <c r="C14" s="20">
        <f>HLOOKUP($C$3,'financial input'!$B$1:$J$25,$A14,FALSE)</f>
        <v>2.777539648521217E-2</v>
      </c>
      <c r="F14" s="8" t="s">
        <v>130</v>
      </c>
      <c r="G14" s="23">
        <f>$G$7*C14</f>
        <v>3374.7106729532788</v>
      </c>
      <c r="J14" s="8" t="s">
        <v>130</v>
      </c>
      <c r="K14" s="38">
        <f t="shared" si="4"/>
        <v>3374.7106729532788</v>
      </c>
      <c r="N14" s="82" t="s">
        <v>130</v>
      </c>
      <c r="O14" s="38">
        <f t="shared" si="5"/>
        <v>3374.7106729532788</v>
      </c>
      <c r="P14" s="53">
        <f t="shared" si="6"/>
        <v>3374.7106729532788</v>
      </c>
    </row>
    <row r="15" spans="1:16" ht="15.75" thickBot="1" x14ac:dyDescent="0.3">
      <c r="A15">
        <v>15</v>
      </c>
      <c r="B15" s="12" t="s">
        <v>131</v>
      </c>
      <c r="C15" s="21">
        <f>HLOOKUP($C$3,'financial input'!$B$1:$J$25,$A15,FALSE)</f>
        <v>7.5489093965933991</v>
      </c>
      <c r="F15" s="12" t="s">
        <v>132</v>
      </c>
      <c r="G15" s="24">
        <f>SUM(G12:G14)</f>
        <v>911587.64207474282</v>
      </c>
      <c r="J15" s="12" t="s">
        <v>132</v>
      </c>
      <c r="K15" s="39">
        <f>SUM(K12:K14)</f>
        <v>911587.64207474282</v>
      </c>
      <c r="N15" s="83" t="s">
        <v>132</v>
      </c>
      <c r="O15" s="39">
        <f>SUM(O12:O14)</f>
        <v>911587.64207474282</v>
      </c>
      <c r="P15" s="84">
        <f>SUM(P12:P14)</f>
        <v>911587.64207474282</v>
      </c>
    </row>
    <row r="16" spans="1:16" x14ac:dyDescent="0.25">
      <c r="A16">
        <v>16</v>
      </c>
      <c r="B16" s="4" t="s">
        <v>133</v>
      </c>
      <c r="C16" s="17"/>
      <c r="F16" s="4" t="s">
        <v>134</v>
      </c>
      <c r="G16" s="22"/>
      <c r="J16" s="4" t="s">
        <v>134</v>
      </c>
      <c r="K16" s="6"/>
      <c r="N16" s="81" t="s">
        <v>134</v>
      </c>
      <c r="O16" s="6"/>
      <c r="P16" s="60"/>
    </row>
    <row r="17" spans="1:16" x14ac:dyDescent="0.25">
      <c r="A17">
        <v>17</v>
      </c>
      <c r="B17" t="s">
        <v>135</v>
      </c>
      <c r="C17" s="17">
        <f>HLOOKUP($C$3,'financial input'!$B$1:$J$25,$A17,FALSE)</f>
        <v>0.61635689356287815</v>
      </c>
      <c r="F17" t="s">
        <v>136</v>
      </c>
      <c r="G17" s="22">
        <f>$G$7*C17</f>
        <v>74887.362567889693</v>
      </c>
      <c r="J17" t="s">
        <v>136</v>
      </c>
      <c r="K17" s="6">
        <f>G17</f>
        <v>74887.362567889693</v>
      </c>
      <c r="N17" s="30" t="s">
        <v>136</v>
      </c>
      <c r="O17" s="6">
        <f>K17</f>
        <v>74887.362567889693</v>
      </c>
      <c r="P17" s="60">
        <f>O17+(IF('Fine Tuning'!C14=0,0,'sub-models'!AA13*'sub-models'!T20*'Fine Tuning'!C15))</f>
        <v>92268.184485697915</v>
      </c>
    </row>
    <row r="18" spans="1:16" x14ac:dyDescent="0.25">
      <c r="A18">
        <v>18</v>
      </c>
      <c r="B18" t="s">
        <v>137</v>
      </c>
      <c r="C18" s="17">
        <f>HLOOKUP($C$3,'financial input'!$B$1:$J$25,$A18,FALSE)</f>
        <v>1.3626958950807251</v>
      </c>
      <c r="F18" t="s">
        <v>138</v>
      </c>
      <c r="G18" s="22">
        <f t="shared" ref="G18:G21" si="7">$G$7*C18</f>
        <v>165567.5512523081</v>
      </c>
      <c r="J18" t="s">
        <v>138</v>
      </c>
      <c r="K18" s="6">
        <f t="shared" ref="K18:K21" si="8">G18</f>
        <v>165567.5512523081</v>
      </c>
      <c r="N18" s="30" t="s">
        <v>138</v>
      </c>
      <c r="O18" s="6">
        <f t="shared" ref="O18:O21" si="9">K18</f>
        <v>165567.5512523081</v>
      </c>
      <c r="P18" s="60">
        <f>O18+(P5*'sub-models'!I40*'Fine Tuning'!C15)</f>
        <v>239967.5512523081</v>
      </c>
    </row>
    <row r="19" spans="1:16" x14ac:dyDescent="0.25">
      <c r="A19">
        <v>19</v>
      </c>
      <c r="B19" t="s">
        <v>139</v>
      </c>
      <c r="C19" s="17">
        <f>HLOOKUP($C$3,'financial input'!$B$1:$J$25,$A19,FALSE)</f>
        <v>0.19584049665711559</v>
      </c>
      <c r="F19" t="s">
        <v>140</v>
      </c>
      <c r="G19" s="22">
        <f t="shared" si="7"/>
        <v>23794.620343839542</v>
      </c>
      <c r="J19" t="s">
        <v>140</v>
      </c>
      <c r="K19" s="6">
        <f t="shared" si="8"/>
        <v>23794.620343839542</v>
      </c>
      <c r="N19" s="30" t="s">
        <v>140</v>
      </c>
      <c r="O19" s="6">
        <f t="shared" si="9"/>
        <v>23794.620343839542</v>
      </c>
      <c r="P19" s="60">
        <f>O19+(IF('Fine Tuning'!C14=0,0,'sub-models'!O16*'Fine Tuning'!C15))</f>
        <v>43520.64774109982</v>
      </c>
    </row>
    <row r="20" spans="1:16" x14ac:dyDescent="0.25">
      <c r="A20">
        <v>20</v>
      </c>
      <c r="B20" t="s">
        <v>141</v>
      </c>
      <c r="C20" s="17">
        <f>HLOOKUP($C$3,'financial input'!$B$1:$J$25,$A20,FALSE)</f>
        <v>0.33704692016900162</v>
      </c>
      <c r="F20" t="s">
        <v>142</v>
      </c>
      <c r="G20" s="22">
        <f t="shared" si="7"/>
        <v>40951.200800533697</v>
      </c>
      <c r="J20" t="s">
        <v>142</v>
      </c>
      <c r="K20" s="6">
        <f t="shared" si="8"/>
        <v>40951.200800533697</v>
      </c>
      <c r="N20" s="30" t="s">
        <v>142</v>
      </c>
      <c r="O20" s="6">
        <f t="shared" si="9"/>
        <v>40951.200800533697</v>
      </c>
      <c r="P20" s="60">
        <f>O20+('sub-models'!O19*'Fine Tuning'!C15)</f>
        <v>40951.200800533697</v>
      </c>
    </row>
    <row r="21" spans="1:16" x14ac:dyDescent="0.25">
      <c r="A21">
        <v>21</v>
      </c>
      <c r="B21" t="s">
        <v>143</v>
      </c>
      <c r="C21" s="17">
        <f>HLOOKUP($C$3,'financial input'!$B$1:$J$25,$A21,FALSE)</f>
        <v>0</v>
      </c>
      <c r="F21" t="s">
        <v>144</v>
      </c>
      <c r="G21" s="22">
        <f t="shared" si="7"/>
        <v>0</v>
      </c>
      <c r="J21" t="s">
        <v>144</v>
      </c>
      <c r="K21" s="6">
        <f t="shared" si="8"/>
        <v>0</v>
      </c>
      <c r="N21" s="30" t="s">
        <v>144</v>
      </c>
      <c r="O21" s="6">
        <f t="shared" si="9"/>
        <v>0</v>
      </c>
      <c r="P21" s="60">
        <f>O21+(P5*'sub-models'!C6*'Fine Tuning'!C15)</f>
        <v>18374.794520547941</v>
      </c>
    </row>
    <row r="22" spans="1:16" x14ac:dyDescent="0.25">
      <c r="A22">
        <v>22</v>
      </c>
      <c r="B22" s="8" t="s">
        <v>145</v>
      </c>
      <c r="C22" s="20">
        <f>HLOOKUP($C$3,'financial input'!$B$1:$J$25,$A22,FALSE)</f>
        <v>1.8458128771216806</v>
      </c>
      <c r="F22" s="8" t="s">
        <v>146</v>
      </c>
      <c r="G22" s="23">
        <f>$G$7*C22</f>
        <v>224266.2645702842</v>
      </c>
      <c r="J22" s="8" t="s">
        <v>146</v>
      </c>
      <c r="K22" s="38">
        <f>G22</f>
        <v>224266.2645702842</v>
      </c>
      <c r="N22" s="82" t="s">
        <v>146</v>
      </c>
      <c r="O22" s="38">
        <f>K22</f>
        <v>224266.2645702842</v>
      </c>
      <c r="P22" s="53">
        <f>O22</f>
        <v>224266.2645702842</v>
      </c>
    </row>
    <row r="23" spans="1:16" ht="15.75" thickBot="1" x14ac:dyDescent="0.3">
      <c r="A23">
        <v>23</v>
      </c>
      <c r="B23" s="12" t="s">
        <v>147</v>
      </c>
      <c r="C23" s="21">
        <f>SUM(C17:C22)</f>
        <v>4.357753082591401</v>
      </c>
      <c r="F23" s="12" t="s">
        <v>147</v>
      </c>
      <c r="G23" s="24">
        <f>SUM(G17:G22)</f>
        <v>529466.99953485525</v>
      </c>
      <c r="J23" s="12" t="s">
        <v>147</v>
      </c>
      <c r="K23" s="39">
        <f>SUM(K17:K22)</f>
        <v>529466.99953485525</v>
      </c>
      <c r="N23" s="83" t="s">
        <v>147</v>
      </c>
      <c r="O23" s="39">
        <f>SUM(O17:O22)</f>
        <v>529466.99953485525</v>
      </c>
      <c r="P23" s="84">
        <f>SUM(P17:P22)</f>
        <v>659348.64337047166</v>
      </c>
    </row>
    <row r="24" spans="1:16" x14ac:dyDescent="0.25">
      <c r="A24">
        <v>24</v>
      </c>
      <c r="B24" s="4" t="s">
        <v>148</v>
      </c>
      <c r="F24" s="4" t="s">
        <v>149</v>
      </c>
      <c r="G24" s="22"/>
      <c r="J24" s="4" t="s">
        <v>149</v>
      </c>
      <c r="K24" s="6"/>
      <c r="N24" s="81" t="s">
        <v>149</v>
      </c>
      <c r="O24" s="6"/>
      <c r="P24" s="60"/>
    </row>
    <row r="25" spans="1:16" ht="15.75" thickBot="1" x14ac:dyDescent="0.3">
      <c r="A25">
        <v>25</v>
      </c>
      <c r="B25" s="10" t="s">
        <v>150</v>
      </c>
      <c r="C25" s="19">
        <f>HLOOKUP($C$3,'financial input'!$B$1:$J$25,$A25,FALSE)</f>
        <v>-0.93514051086158212</v>
      </c>
      <c r="F25" s="10" t="s">
        <v>151</v>
      </c>
      <c r="G25" s="24">
        <f>$G$7*C25</f>
        <v>-113619.57206968222</v>
      </c>
      <c r="J25" s="10" t="s">
        <v>151</v>
      </c>
      <c r="K25" s="39">
        <f>G25</f>
        <v>-113619.57206968222</v>
      </c>
      <c r="N25" s="79" t="s">
        <v>151</v>
      </c>
      <c r="O25" s="39">
        <f>K25</f>
        <v>-113619.57206968222</v>
      </c>
      <c r="P25" s="84">
        <f>O25</f>
        <v>-113619.57206968222</v>
      </c>
    </row>
    <row r="26" spans="1:16" x14ac:dyDescent="0.25">
      <c r="J26" s="42" t="s">
        <v>152</v>
      </c>
      <c r="K26" s="41"/>
      <c r="N26" s="85" t="s">
        <v>152</v>
      </c>
      <c r="O26" s="41"/>
      <c r="P26" s="86"/>
    </row>
    <row r="27" spans="1:16" ht="15.75" thickBot="1" x14ac:dyDescent="0.3">
      <c r="J27" s="12" t="s">
        <v>153</v>
      </c>
      <c r="K27" s="43">
        <f>K15-K23</f>
        <v>382120.64253988757</v>
      </c>
      <c r="N27" s="83" t="s">
        <v>153</v>
      </c>
      <c r="O27" s="43">
        <f>O15-O23</f>
        <v>382120.64253988757</v>
      </c>
      <c r="P27" s="87">
        <f>P15-P23</f>
        <v>252238.99870427116</v>
      </c>
    </row>
    <row r="28" spans="1:16" x14ac:dyDescent="0.25">
      <c r="N28" s="30"/>
      <c r="P28" s="29"/>
    </row>
    <row r="29" spans="1:16" x14ac:dyDescent="0.25">
      <c r="J29" s="35" t="s">
        <v>154</v>
      </c>
      <c r="K29" s="38"/>
      <c r="N29" s="34" t="s">
        <v>154</v>
      </c>
      <c r="O29" s="38"/>
      <c r="P29" s="53"/>
    </row>
    <row r="30" spans="1:16" x14ac:dyDescent="0.25">
      <c r="J30" t="s">
        <v>155</v>
      </c>
      <c r="K30" s="6">
        <f>K15</f>
        <v>911587.64207474282</v>
      </c>
      <c r="N30" s="30" t="s">
        <v>155</v>
      </c>
      <c r="O30" s="6">
        <f>O15</f>
        <v>911587.64207474282</v>
      </c>
      <c r="P30" s="60">
        <f>P15</f>
        <v>911587.64207474282</v>
      </c>
    </row>
    <row r="31" spans="1:16" x14ac:dyDescent="0.25">
      <c r="J31" s="8" t="s">
        <v>156</v>
      </c>
      <c r="K31" s="38">
        <f>K23-K25</f>
        <v>643086.57160453743</v>
      </c>
      <c r="N31" s="82" t="s">
        <v>156</v>
      </c>
      <c r="O31" s="38">
        <f>O23-O25</f>
        <v>643086.57160453743</v>
      </c>
      <c r="P31" s="53">
        <f>P23-P25</f>
        <v>772968.21544015384</v>
      </c>
    </row>
    <row r="32" spans="1:16" x14ac:dyDescent="0.25">
      <c r="J32" s="37" t="s">
        <v>157</v>
      </c>
      <c r="K32" s="40">
        <f>K30-K31</f>
        <v>268501.07047020539</v>
      </c>
      <c r="N32" s="54" t="s">
        <v>157</v>
      </c>
      <c r="O32" s="40">
        <f>O30-O31</f>
        <v>268501.07047020539</v>
      </c>
      <c r="P32" s="88">
        <f>P30-P31</f>
        <v>138619.42663458898</v>
      </c>
    </row>
    <row r="33" spans="10:18" ht="15.75" thickBot="1" x14ac:dyDescent="0.3">
      <c r="J33" t="s">
        <v>158</v>
      </c>
      <c r="K33" s="26">
        <f>K32/K30</f>
        <v>0.29454224484560365</v>
      </c>
      <c r="N33" s="83" t="s">
        <v>158</v>
      </c>
      <c r="O33" s="118">
        <f>O32/O30</f>
        <v>0.29454224484560365</v>
      </c>
      <c r="P33" s="119">
        <f>P32/P30</f>
        <v>0.15206374048588003</v>
      </c>
    </row>
    <row r="34" spans="10:18" x14ac:dyDescent="0.25">
      <c r="N34" s="30"/>
      <c r="P34" s="29"/>
    </row>
    <row r="35" spans="10:18" x14ac:dyDescent="0.25">
      <c r="N35" s="34" t="s">
        <v>159</v>
      </c>
      <c r="O35" s="35"/>
      <c r="P35" s="36"/>
    </row>
    <row r="36" spans="10:18" x14ac:dyDescent="0.25">
      <c r="N36" s="30" t="s">
        <v>160</v>
      </c>
      <c r="P36" s="60">
        <f>VLOOKUP('Fine Tuning'!$B$15,'sub-models'!AD30:AG34,2,FALSE)</f>
        <v>33178.68</v>
      </c>
    </row>
    <row r="37" spans="10:18" x14ac:dyDescent="0.25">
      <c r="N37" s="30" t="s">
        <v>161</v>
      </c>
      <c r="P37" s="60">
        <f>VLOOKUP('Fine Tuning'!$B$15,'sub-models'!AD31:AG35,3,FALSE)</f>
        <v>9039.6</v>
      </c>
    </row>
    <row r="38" spans="10:18" x14ac:dyDescent="0.25">
      <c r="N38" s="82" t="s">
        <v>162</v>
      </c>
      <c r="O38" s="8"/>
      <c r="P38" s="53">
        <f>P23-O23</f>
        <v>129881.64383561641</v>
      </c>
    </row>
    <row r="39" spans="10:18" x14ac:dyDescent="0.25">
      <c r="N39" s="30" t="s">
        <v>163</v>
      </c>
      <c r="P39" s="90">
        <f>P38/P37</f>
        <v>14.368074232888226</v>
      </c>
    </row>
    <row r="40" spans="10:18" ht="15.75" thickBot="1" x14ac:dyDescent="0.3">
      <c r="N40" s="79" t="s">
        <v>164</v>
      </c>
      <c r="O40" s="10"/>
      <c r="P40" s="120">
        <f>P39/28*1000</f>
        <v>513.14550831743668</v>
      </c>
    </row>
    <row r="41" spans="10:18" x14ac:dyDescent="0.25">
      <c r="N41" s="30"/>
      <c r="P41" s="29"/>
    </row>
    <row r="42" spans="10:18" x14ac:dyDescent="0.25">
      <c r="N42" s="34" t="s">
        <v>165</v>
      </c>
      <c r="O42" s="35" t="s">
        <v>121</v>
      </c>
      <c r="P42" s="36" t="s">
        <v>122</v>
      </c>
    </row>
    <row r="43" spans="10:18" x14ac:dyDescent="0.25">
      <c r="N43" s="30" t="s">
        <v>155</v>
      </c>
      <c r="O43" s="6">
        <f>O15</f>
        <v>911587.64207474282</v>
      </c>
      <c r="P43" s="60">
        <f>P15</f>
        <v>911587.64207474282</v>
      </c>
    </row>
    <row r="44" spans="10:18" x14ac:dyDescent="0.25">
      <c r="N44" s="30" t="s">
        <v>156</v>
      </c>
      <c r="O44" s="6">
        <f>O23-O25</f>
        <v>643086.57160453743</v>
      </c>
      <c r="P44" s="60">
        <f>P23-P25</f>
        <v>772968.21544015384</v>
      </c>
    </row>
    <row r="45" spans="10:18" x14ac:dyDescent="0.25">
      <c r="N45" s="82" t="s">
        <v>166</v>
      </c>
      <c r="O45" s="48">
        <f>P39*P36</f>
        <v>476713.73718924396</v>
      </c>
      <c r="P45" s="91">
        <f>P39*(P36-P37)</f>
        <v>346832.09335362754</v>
      </c>
    </row>
    <row r="46" spans="10:18" x14ac:dyDescent="0.25">
      <c r="N46" s="30" t="s">
        <v>157</v>
      </c>
      <c r="O46" s="47">
        <f>O43-O44-O45</f>
        <v>-208212.66671903856</v>
      </c>
      <c r="P46" s="92">
        <f>P43-P44-P45</f>
        <v>-208212.66671903856</v>
      </c>
      <c r="Q46" s="6"/>
      <c r="R46" t="s">
        <v>167</v>
      </c>
    </row>
    <row r="47" spans="10:18" ht="15.75" thickBot="1" x14ac:dyDescent="0.3">
      <c r="N47" s="79" t="s">
        <v>158</v>
      </c>
      <c r="O47" s="76">
        <f>O46/O43</f>
        <v>-0.22840663597101155</v>
      </c>
      <c r="P47" s="107">
        <f>P46/P43</f>
        <v>-0.22840663597101155</v>
      </c>
    </row>
    <row r="48" spans="10:18" x14ac:dyDescent="0.25">
      <c r="N48" s="123"/>
      <c r="O48" s="121"/>
      <c r="P48" s="122"/>
    </row>
    <row r="49" spans="14:16" x14ac:dyDescent="0.25">
      <c r="N49" s="34" t="s">
        <v>332</v>
      </c>
      <c r="O49" s="35" t="s">
        <v>121</v>
      </c>
      <c r="P49" s="36" t="s">
        <v>122</v>
      </c>
    </row>
    <row r="50" spans="14:16" x14ac:dyDescent="0.25">
      <c r="N50" s="30" t="s">
        <v>352</v>
      </c>
      <c r="O50">
        <f>'sub-models'!H35*Financials!O5</f>
        <v>0</v>
      </c>
      <c r="P50" s="29">
        <f>'sub-models'!I35*Financials!P5</f>
        <v>113.14999999999999</v>
      </c>
    </row>
    <row r="51" spans="14:16" x14ac:dyDescent="0.25">
      <c r="N51" s="82" t="s">
        <v>353</v>
      </c>
      <c r="O51" s="48">
        <f>O5*'sub-models'!H39</f>
        <v>0</v>
      </c>
      <c r="P51" s="91">
        <f>P5*'sub-models'!I39</f>
        <v>90520</v>
      </c>
    </row>
    <row r="52" spans="14:16" x14ac:dyDescent="0.25">
      <c r="N52" s="30" t="s">
        <v>358</v>
      </c>
      <c r="O52" s="75">
        <f>'sub-models'!H48</f>
        <v>1</v>
      </c>
      <c r="P52" s="94">
        <f>'sub-models'!I48</f>
        <v>0.93738647830474264</v>
      </c>
    </row>
    <row r="53" spans="14:16" ht="15.75" thickBot="1" x14ac:dyDescent="0.3">
      <c r="N53" s="79" t="s">
        <v>168</v>
      </c>
      <c r="O53" s="10"/>
      <c r="P53" s="107">
        <f>O52-P52</f>
        <v>6.2613521695257357E-2</v>
      </c>
    </row>
  </sheetData>
  <mergeCells count="4">
    <mergeCell ref="B1:C1"/>
    <mergeCell ref="F1:G1"/>
    <mergeCell ref="J1:K1"/>
    <mergeCell ref="N1:P1"/>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17695-1630-4E1E-9003-CFDB8A26EAE4}">
  <dimension ref="A2:AQ60"/>
  <sheetViews>
    <sheetView topLeftCell="Y1" zoomScale="85" zoomScaleNormal="85" workbookViewId="0">
      <selection activeCell="G14" sqref="G14"/>
    </sheetView>
  </sheetViews>
  <sheetFormatPr defaultRowHeight="15" x14ac:dyDescent="0.25"/>
  <cols>
    <col min="1" max="1" width="14" style="68" customWidth="1"/>
    <col min="2" max="2" width="30" bestFit="1" customWidth="1"/>
    <col min="3" max="5" width="20.7109375" customWidth="1"/>
    <col min="6" max="6" width="8.7109375" style="68"/>
    <col min="7" max="7" width="45.85546875" customWidth="1"/>
    <col min="8" max="8" width="18.140625" customWidth="1"/>
    <col min="9" max="9" width="17.140625" customWidth="1"/>
    <col min="10" max="10" width="14.140625" customWidth="1"/>
    <col min="11" max="11" width="8.7109375" style="68"/>
    <col min="12" max="12" width="30.140625" bestFit="1" customWidth="1"/>
    <col min="13" max="13" width="9.85546875" bestFit="1" customWidth="1"/>
    <col min="14" max="14" width="17.7109375" bestFit="1" customWidth="1"/>
    <col min="16" max="16" width="8.7109375" style="68"/>
    <col min="17" max="17" width="30.7109375" customWidth="1"/>
    <col min="18" max="18" width="9.85546875" bestFit="1" customWidth="1"/>
    <col min="19" max="19" width="17.7109375" bestFit="1" customWidth="1"/>
    <col min="21" max="21" width="8.7109375" style="68"/>
    <col min="22" max="22" width="45.42578125" customWidth="1"/>
    <col min="25" max="25" width="8.7109375" style="68"/>
    <col min="26" max="26" width="30.85546875" customWidth="1"/>
    <col min="28" max="28" width="21.42578125" bestFit="1" customWidth="1"/>
    <col min="29" max="29" width="8.7109375" style="68"/>
    <col min="30" max="30" width="24.140625" customWidth="1"/>
    <col min="31" max="31" width="15.28515625" customWidth="1"/>
    <col min="32" max="32" width="9.140625" customWidth="1"/>
    <col min="33" max="33" width="11.85546875" customWidth="1"/>
    <col min="34" max="34" width="9.140625" customWidth="1"/>
    <col min="35" max="35" width="9.5703125" bestFit="1" customWidth="1"/>
    <col min="36" max="36" width="10.7109375" customWidth="1"/>
    <col min="38" max="38" width="8.7109375" style="68"/>
    <col min="39" max="39" width="40.140625" customWidth="1"/>
  </cols>
  <sheetData>
    <row r="2" spans="1:43" x14ac:dyDescent="0.25">
      <c r="B2" t="s">
        <v>169</v>
      </c>
      <c r="C2" s="169" t="s">
        <v>170</v>
      </c>
      <c r="D2" s="169"/>
      <c r="E2" s="100" t="s">
        <v>171</v>
      </c>
      <c r="F2" s="66"/>
    </row>
    <row r="3" spans="1:43" s="4" customFormat="1" x14ac:dyDescent="0.25">
      <c r="A3" s="66"/>
      <c r="F3" s="66"/>
      <c r="K3" s="66"/>
      <c r="P3" s="66"/>
      <c r="U3" s="66"/>
      <c r="Y3" s="66"/>
      <c r="AC3" s="66"/>
      <c r="AL3" s="66"/>
    </row>
    <row r="4" spans="1:43" s="32" customFormat="1" ht="26.25" x14ac:dyDescent="0.4">
      <c r="A4" s="67"/>
      <c r="B4" s="32" t="s">
        <v>172</v>
      </c>
      <c r="F4" s="67"/>
      <c r="G4" s="32" t="s">
        <v>173</v>
      </c>
      <c r="K4" s="67"/>
      <c r="L4" s="32" t="s">
        <v>174</v>
      </c>
      <c r="P4" s="67"/>
      <c r="Q4" s="32" t="s">
        <v>175</v>
      </c>
      <c r="U4" s="67"/>
      <c r="V4" s="32" t="s">
        <v>176</v>
      </c>
      <c r="Y4" s="67"/>
      <c r="Z4" s="32" t="s">
        <v>177</v>
      </c>
      <c r="AC4" s="67"/>
      <c r="AD4" s="32" t="s">
        <v>178</v>
      </c>
      <c r="AL4" s="67"/>
      <c r="AM4" s="160" t="s">
        <v>372</v>
      </c>
      <c r="AN4" s="160"/>
      <c r="AO4" s="160"/>
      <c r="AP4" s="160"/>
      <c r="AQ4" s="160"/>
    </row>
    <row r="5" spans="1:43" x14ac:dyDescent="0.25">
      <c r="B5" s="170" t="s">
        <v>179</v>
      </c>
      <c r="C5" s="171"/>
      <c r="G5" t="s">
        <v>180</v>
      </c>
      <c r="L5" t="s">
        <v>181</v>
      </c>
      <c r="Q5" t="s">
        <v>182</v>
      </c>
    </row>
    <row r="6" spans="1:43" x14ac:dyDescent="0.25">
      <c r="B6" s="34" t="s">
        <v>183</v>
      </c>
      <c r="C6" s="36">
        <f>IF('Fine Tuning'!C34=1,'sub-models'!E20,'sub-models'!C37)</f>
        <v>72.116129032258058</v>
      </c>
      <c r="G6" t="s">
        <v>184</v>
      </c>
      <c r="L6" t="s">
        <v>185</v>
      </c>
      <c r="Q6" t="s">
        <v>186</v>
      </c>
      <c r="V6" s="31" t="s">
        <v>187</v>
      </c>
      <c r="W6" t="s">
        <v>188</v>
      </c>
    </row>
    <row r="7" spans="1:43" x14ac:dyDescent="0.25">
      <c r="Q7" s="27" t="s">
        <v>189</v>
      </c>
      <c r="V7" s="31" t="s">
        <v>190</v>
      </c>
      <c r="W7" t="s">
        <v>188</v>
      </c>
      <c r="AD7" s="165" t="s">
        <v>191</v>
      </c>
      <c r="AE7" s="166"/>
      <c r="AF7" s="166"/>
      <c r="AG7" s="166"/>
      <c r="AH7" s="166"/>
      <c r="AI7" s="167"/>
      <c r="AM7" s="137" t="s">
        <v>372</v>
      </c>
    </row>
    <row r="8" spans="1:43" x14ac:dyDescent="0.25">
      <c r="Q8" t="s">
        <v>192</v>
      </c>
      <c r="R8">
        <v>2400</v>
      </c>
      <c r="S8" t="s">
        <v>193</v>
      </c>
      <c r="V8" s="31" t="s">
        <v>194</v>
      </c>
      <c r="AD8" s="50"/>
      <c r="AE8" s="35" t="s">
        <v>195</v>
      </c>
      <c r="AF8" s="35" t="s">
        <v>196</v>
      </c>
      <c r="AG8" s="35" t="s">
        <v>197</v>
      </c>
      <c r="AH8" s="35" t="s">
        <v>198</v>
      </c>
      <c r="AI8" s="36" t="s">
        <v>199</v>
      </c>
      <c r="AM8" t="s">
        <v>373</v>
      </c>
    </row>
    <row r="9" spans="1:43" x14ac:dyDescent="0.25">
      <c r="V9" t="s">
        <v>200</v>
      </c>
      <c r="AD9" s="51" t="s">
        <v>201</v>
      </c>
      <c r="AE9">
        <f>'Fine Tuning'!C42</f>
        <v>0</v>
      </c>
      <c r="AF9">
        <f>'Fine Tuning'!C40</f>
        <v>0</v>
      </c>
      <c r="AG9">
        <f>'Fine Tuning'!C41</f>
        <v>0</v>
      </c>
      <c r="AH9">
        <f>'Fine Tuning'!C3</f>
        <v>310</v>
      </c>
      <c r="AI9" s="29">
        <f>AH9</f>
        <v>310</v>
      </c>
      <c r="AM9" t="s">
        <v>377</v>
      </c>
    </row>
    <row r="10" spans="1:43" x14ac:dyDescent="0.25">
      <c r="B10" s="45" t="s">
        <v>395</v>
      </c>
      <c r="G10" s="173"/>
      <c r="H10" s="173"/>
      <c r="I10" s="173"/>
      <c r="J10" s="173"/>
      <c r="L10" s="4" t="s">
        <v>202</v>
      </c>
      <c r="M10" s="4" t="s">
        <v>203</v>
      </c>
      <c r="N10" s="4" t="s">
        <v>204</v>
      </c>
      <c r="O10" s="4" t="s">
        <v>205</v>
      </c>
      <c r="Q10" s="4" t="s">
        <v>202</v>
      </c>
      <c r="R10" s="4" t="s">
        <v>203</v>
      </c>
      <c r="S10" s="4" t="s">
        <v>204</v>
      </c>
      <c r="T10" s="4" t="s">
        <v>205</v>
      </c>
      <c r="V10" t="s">
        <v>206</v>
      </c>
      <c r="W10">
        <f>'Fine Tuning'!B32</f>
        <v>101.95200000000001</v>
      </c>
      <c r="Z10" t="s">
        <v>207</v>
      </c>
      <c r="AA10">
        <f>'Fine Tuning'!B33</f>
        <v>200</v>
      </c>
      <c r="AB10" t="s">
        <v>208</v>
      </c>
      <c r="AD10" s="51" t="s">
        <v>209</v>
      </c>
      <c r="AE10">
        <f>'Fine Tuning'!C43</f>
        <v>4</v>
      </c>
      <c r="AF10">
        <f>'Fine Tuning'!C46</f>
        <v>5</v>
      </c>
      <c r="AG10">
        <f>'Fine Tuning'!C47</f>
        <v>6</v>
      </c>
      <c r="AH10">
        <f>'Fine Tuning'!C44</f>
        <v>7</v>
      </c>
      <c r="AI10" s="29">
        <f>'Fine Tuning'!C45</f>
        <v>15</v>
      </c>
      <c r="AM10" t="s">
        <v>378</v>
      </c>
    </row>
    <row r="11" spans="1:43" x14ac:dyDescent="0.25">
      <c r="B11" t="s">
        <v>210</v>
      </c>
      <c r="G11" s="172"/>
      <c r="H11" s="178"/>
      <c r="I11" s="178"/>
      <c r="J11" s="172"/>
      <c r="L11" t="s">
        <v>211</v>
      </c>
      <c r="M11">
        <f>'Fine Tuning'!B28</f>
        <v>1000</v>
      </c>
      <c r="N11">
        <f>M11</f>
        <v>1000</v>
      </c>
      <c r="O11">
        <f>N11*N13</f>
        <v>2000</v>
      </c>
      <c r="Q11" t="s">
        <v>212</v>
      </c>
      <c r="R11">
        <f>'Fine Tuning'!B30</f>
        <v>61000</v>
      </c>
      <c r="V11" t="s">
        <v>206</v>
      </c>
      <c r="Z11" t="s">
        <v>24</v>
      </c>
      <c r="AA11" s="6">
        <f>'Fine Tuning'!B3</f>
        <v>310</v>
      </c>
      <c r="AB11" t="s">
        <v>213</v>
      </c>
      <c r="AD11" s="51" t="s">
        <v>214</v>
      </c>
      <c r="AE11">
        <v>365</v>
      </c>
      <c r="AF11">
        <v>365</v>
      </c>
      <c r="AG11">
        <v>365</v>
      </c>
      <c r="AH11">
        <f>365-AI11</f>
        <v>65</v>
      </c>
      <c r="AI11" s="29">
        <f>'Fine Tuning'!C36</f>
        <v>300</v>
      </c>
      <c r="AM11" t="s">
        <v>389</v>
      </c>
    </row>
    <row r="12" spans="1:43" x14ac:dyDescent="0.25">
      <c r="B12" t="s">
        <v>215</v>
      </c>
      <c r="C12" t="s">
        <v>216</v>
      </c>
      <c r="G12" s="172"/>
      <c r="H12" s="178"/>
      <c r="I12" s="178"/>
      <c r="J12" s="172"/>
      <c r="L12" t="s">
        <v>217</v>
      </c>
      <c r="M12">
        <f>'Fine Tuning'!B29</f>
        <v>0</v>
      </c>
      <c r="N12">
        <f>M12</f>
        <v>0</v>
      </c>
      <c r="Q12" t="s">
        <v>218</v>
      </c>
      <c r="R12">
        <f>'Fine Tuning'!B31</f>
        <v>4</v>
      </c>
      <c r="V12" t="s">
        <v>219</v>
      </c>
      <c r="AD12" s="52" t="s">
        <v>220</v>
      </c>
      <c r="AE12" s="8">
        <f>$X$23</f>
        <v>2.1600000000000001E-2</v>
      </c>
      <c r="AF12" s="8">
        <f>$X$23</f>
        <v>2.1600000000000001E-2</v>
      </c>
      <c r="AG12" s="8">
        <f>$X$23</f>
        <v>2.1600000000000001E-2</v>
      </c>
      <c r="AH12" s="8">
        <f>$X$23</f>
        <v>2.1600000000000001E-2</v>
      </c>
      <c r="AI12" s="49">
        <f>$X$23</f>
        <v>2.1600000000000001E-2</v>
      </c>
    </row>
    <row r="13" spans="1:43" x14ac:dyDescent="0.25">
      <c r="B13" t="s">
        <v>221</v>
      </c>
      <c r="C13" s="27" t="s">
        <v>222</v>
      </c>
      <c r="G13" s="172"/>
      <c r="H13" s="172"/>
      <c r="I13" s="172"/>
      <c r="J13" s="172"/>
      <c r="L13" t="s">
        <v>223</v>
      </c>
      <c r="M13">
        <f>AA13</f>
        <v>2</v>
      </c>
      <c r="N13">
        <f>M13</f>
        <v>2</v>
      </c>
      <c r="Q13" t="s">
        <v>224</v>
      </c>
      <c r="S13">
        <f>(R12*52)/R8</f>
        <v>8.666666666666667E-2</v>
      </c>
      <c r="T13">
        <f>S13</f>
        <v>8.666666666666667E-2</v>
      </c>
      <c r="Z13" s="4" t="s">
        <v>223</v>
      </c>
      <c r="AA13" s="4">
        <f>(ROUND((AA11/AA10),0))</f>
        <v>2</v>
      </c>
      <c r="AD13" s="52" t="s">
        <v>225</v>
      </c>
      <c r="AE13" s="61">
        <f>PRODUCT(AE9:AE12)</f>
        <v>0</v>
      </c>
      <c r="AF13" s="61">
        <f t="shared" ref="AF13:AI13" si="0">PRODUCT(AF9:AF12)</f>
        <v>0</v>
      </c>
      <c r="AG13" s="61">
        <f t="shared" si="0"/>
        <v>0</v>
      </c>
      <c r="AH13" s="61">
        <f t="shared" si="0"/>
        <v>3046.6800000000003</v>
      </c>
      <c r="AI13" s="62">
        <f t="shared" si="0"/>
        <v>30132</v>
      </c>
    </row>
    <row r="14" spans="1:43" x14ac:dyDescent="0.25">
      <c r="G14" s="172"/>
      <c r="H14" s="173"/>
      <c r="I14" s="173"/>
      <c r="J14" s="172"/>
      <c r="Q14" t="s">
        <v>227</v>
      </c>
      <c r="S14">
        <f>S13*R11</f>
        <v>5286.666666666667</v>
      </c>
      <c r="T14">
        <f>S14</f>
        <v>5286.666666666667</v>
      </c>
      <c r="V14" t="s">
        <v>228</v>
      </c>
      <c r="AM14" t="s">
        <v>374</v>
      </c>
      <c r="AN14">
        <v>55</v>
      </c>
      <c r="AO14">
        <f>AN14/1000</f>
        <v>5.5E-2</v>
      </c>
    </row>
    <row r="15" spans="1:43" x14ac:dyDescent="0.25">
      <c r="B15" s="4" t="s">
        <v>202</v>
      </c>
      <c r="C15" s="4" t="s">
        <v>203</v>
      </c>
      <c r="D15" s="4" t="s">
        <v>204</v>
      </c>
      <c r="E15" s="4" t="s">
        <v>205</v>
      </c>
      <c r="G15" s="172"/>
      <c r="H15" s="178"/>
      <c r="I15" s="172"/>
      <c r="J15" s="172"/>
      <c r="L15" t="s">
        <v>229</v>
      </c>
      <c r="O15">
        <f>O11</f>
        <v>2000</v>
      </c>
      <c r="Q15" t="s">
        <v>230</v>
      </c>
      <c r="T15">
        <f>S14*S16</f>
        <v>10573.333333333334</v>
      </c>
      <c r="AD15" s="165" t="s">
        <v>231</v>
      </c>
      <c r="AE15" s="166"/>
      <c r="AF15" s="166"/>
      <c r="AG15" s="166"/>
      <c r="AH15" s="166"/>
      <c r="AI15" s="167"/>
      <c r="AM15" t="s">
        <v>375</v>
      </c>
      <c r="AN15" s="26">
        <f>'Fine Tuning'!B37</f>
        <v>0.85</v>
      </c>
      <c r="AO15">
        <f>'Fine Tuning'!C37</f>
        <v>0.85</v>
      </c>
      <c r="AP15" t="s">
        <v>390</v>
      </c>
    </row>
    <row r="16" spans="1:43" x14ac:dyDescent="0.25">
      <c r="B16" t="s">
        <v>232</v>
      </c>
      <c r="C16">
        <f>'Fine Tuning'!B22</f>
        <v>1.6</v>
      </c>
      <c r="D16">
        <f>C16</f>
        <v>1.6</v>
      </c>
      <c r="G16" s="172"/>
      <c r="H16" s="179"/>
      <c r="I16" s="180"/>
      <c r="J16" s="172"/>
      <c r="L16" s="4" t="s">
        <v>233</v>
      </c>
      <c r="M16" s="4"/>
      <c r="N16" s="4"/>
      <c r="O16" s="4">
        <f>O15*12</f>
        <v>24000</v>
      </c>
      <c r="Q16" t="s">
        <v>234</v>
      </c>
      <c r="S16">
        <f>AA13</f>
        <v>2</v>
      </c>
      <c r="V16" s="27" t="s">
        <v>235</v>
      </c>
      <c r="AD16" s="55" t="s">
        <v>236</v>
      </c>
      <c r="AE16" s="35" t="s">
        <v>195</v>
      </c>
      <c r="AF16" s="35" t="s">
        <v>196</v>
      </c>
      <c r="AG16" s="35" t="s">
        <v>197</v>
      </c>
      <c r="AH16" s="35" t="s">
        <v>198</v>
      </c>
      <c r="AI16" s="36" t="s">
        <v>199</v>
      </c>
      <c r="AM16" t="s">
        <v>388</v>
      </c>
      <c r="AN16">
        <f>IF((VLOOKUP('Fine Tuning'!B15,'Fine Tuning'!N2:P8,3,))&gt;Inputs!B17,Inputs!B17,(VLOOKUP('Fine Tuning'!B15,'Fine Tuning'!N2:P8,3,)))</f>
        <v>300</v>
      </c>
    </row>
    <row r="17" spans="2:40" x14ac:dyDescent="0.25">
      <c r="B17" t="s">
        <v>237</v>
      </c>
      <c r="C17">
        <v>11.5</v>
      </c>
      <c r="D17">
        <f>C17</f>
        <v>11.5</v>
      </c>
      <c r="G17" s="172"/>
      <c r="H17" s="172"/>
      <c r="I17" s="172"/>
      <c r="J17" s="172"/>
      <c r="Q17" t="s">
        <v>238</v>
      </c>
      <c r="T17">
        <f>T14/12</f>
        <v>440.5555555555556</v>
      </c>
      <c r="V17" t="s">
        <v>239</v>
      </c>
      <c r="AD17" s="56" t="s">
        <v>34</v>
      </c>
      <c r="AE17" s="6">
        <f>AE13</f>
        <v>0</v>
      </c>
      <c r="AF17" s="6">
        <f t="shared" ref="AF17:AG17" si="1">AF13</f>
        <v>0</v>
      </c>
      <c r="AG17" s="6">
        <f t="shared" si="1"/>
        <v>0</v>
      </c>
      <c r="AH17" s="6">
        <f>AH$13*(1-'Fine Tuning'!$C$17)</f>
        <v>2132.6759999999999</v>
      </c>
      <c r="AI17" s="59">
        <f>AI$13*(1-'Fine Tuning'!$C$17)</f>
        <v>21092.399999999998</v>
      </c>
      <c r="AN17" s="4" t="s">
        <v>376</v>
      </c>
    </row>
    <row r="18" spans="2:40" x14ac:dyDescent="0.25">
      <c r="B18" t="s">
        <v>240</v>
      </c>
      <c r="C18">
        <f>'Fine Tuning'!B24</f>
        <v>1</v>
      </c>
      <c r="D18">
        <f>C18/100</f>
        <v>0.01</v>
      </c>
      <c r="G18" s="181"/>
      <c r="H18" s="182"/>
      <c r="I18" s="182"/>
      <c r="J18" s="182"/>
      <c r="L18" t="s">
        <v>241</v>
      </c>
      <c r="O18">
        <f>N12*N13</f>
        <v>0</v>
      </c>
      <c r="AD18" s="56" t="s">
        <v>38</v>
      </c>
      <c r="AE18" s="6">
        <f>AE17/2</f>
        <v>0</v>
      </c>
      <c r="AF18" s="6">
        <f t="shared" ref="AF18:AI18" si="2">AF17/2</f>
        <v>0</v>
      </c>
      <c r="AG18" s="6">
        <f t="shared" si="2"/>
        <v>0</v>
      </c>
      <c r="AH18" s="6">
        <f t="shared" si="2"/>
        <v>1066.338</v>
      </c>
      <c r="AI18" s="60">
        <f t="shared" si="2"/>
        <v>10546.199999999999</v>
      </c>
      <c r="AJ18" s="57"/>
      <c r="AM18" t="s">
        <v>382</v>
      </c>
      <c r="AN18" s="3">
        <f>(Inputs!B15-Inputs!B10)*AN16</f>
        <v>300</v>
      </c>
    </row>
    <row r="19" spans="2:40" x14ac:dyDescent="0.25">
      <c r="B19" t="s">
        <v>242</v>
      </c>
      <c r="E19" s="25">
        <f>D18*D16*D17</f>
        <v>0.184</v>
      </c>
      <c r="G19" s="182"/>
      <c r="H19" s="182"/>
      <c r="I19" s="182"/>
      <c r="J19" s="182"/>
      <c r="L19" s="4" t="s">
        <v>243</v>
      </c>
      <c r="M19" s="4"/>
      <c r="N19" s="4"/>
      <c r="O19" s="4">
        <f>O18*12</f>
        <v>0</v>
      </c>
      <c r="Q19" s="4" t="s">
        <v>244</v>
      </c>
      <c r="R19" s="4"/>
      <c r="S19" s="4"/>
      <c r="T19" s="4">
        <f>T15/12</f>
        <v>881.1111111111112</v>
      </c>
      <c r="V19" t="s">
        <v>245</v>
      </c>
      <c r="AD19" s="56" t="s">
        <v>41</v>
      </c>
      <c r="AE19" s="6">
        <f>'Fine Tuning'!$O$6*'sub-models'!AE13</f>
        <v>0</v>
      </c>
      <c r="AF19" s="6">
        <f>'Fine Tuning'!$O$6*'sub-models'!AF13</f>
        <v>0</v>
      </c>
      <c r="AG19" s="6">
        <f>'Fine Tuning'!$O$6*'sub-models'!AG13</f>
        <v>0</v>
      </c>
      <c r="AH19" s="6">
        <v>0</v>
      </c>
      <c r="AI19" s="60">
        <f>AI$13*(1-'Fine Tuning'!$C$17)</f>
        <v>21092.399999999998</v>
      </c>
    </row>
    <row r="20" spans="2:40" x14ac:dyDescent="0.25">
      <c r="B20" s="4" t="s">
        <v>246</v>
      </c>
      <c r="C20" s="4"/>
      <c r="D20" s="4"/>
      <c r="E20" s="33">
        <f>E19*'Fine Tuning'!B5/'Fine Tuning'!B3</f>
        <v>72.116129032258058</v>
      </c>
      <c r="G20" s="182"/>
      <c r="H20" s="182"/>
      <c r="I20" s="182"/>
      <c r="J20" s="182"/>
      <c r="Q20" s="4" t="s">
        <v>247</v>
      </c>
      <c r="R20" s="4"/>
      <c r="S20" s="4"/>
      <c r="T20" s="4">
        <f>T15</f>
        <v>10573.333333333334</v>
      </c>
      <c r="V20" t="s">
        <v>248</v>
      </c>
      <c r="AD20" s="50" t="s">
        <v>44</v>
      </c>
      <c r="AE20" s="38">
        <f>AE19/2</f>
        <v>0</v>
      </c>
      <c r="AF20" s="38">
        <f t="shared" ref="AF20:AI20" si="3">AF19/2</f>
        <v>0</v>
      </c>
      <c r="AG20" s="38">
        <f t="shared" si="3"/>
        <v>0</v>
      </c>
      <c r="AH20" s="38">
        <f t="shared" si="3"/>
        <v>0</v>
      </c>
      <c r="AI20" s="53">
        <f t="shared" si="3"/>
        <v>10546.199999999999</v>
      </c>
      <c r="AM20" t="s">
        <v>379</v>
      </c>
      <c r="AN20">
        <f>AO15*AN18</f>
        <v>255</v>
      </c>
    </row>
    <row r="21" spans="2:40" x14ac:dyDescent="0.25">
      <c r="G21" s="182"/>
      <c r="H21" s="182"/>
      <c r="I21" s="182"/>
      <c r="J21" s="182"/>
      <c r="L21" t="s">
        <v>249</v>
      </c>
      <c r="V21" t="s">
        <v>250</v>
      </c>
    </row>
    <row r="22" spans="2:40" x14ac:dyDescent="0.25">
      <c r="B22" t="s">
        <v>251</v>
      </c>
      <c r="G22" s="181"/>
      <c r="H22" s="181"/>
      <c r="I22" s="181"/>
      <c r="J22" s="181"/>
      <c r="AD22" s="165" t="s">
        <v>252</v>
      </c>
      <c r="AE22" s="166"/>
      <c r="AF22" s="166"/>
      <c r="AG22" s="166"/>
      <c r="AH22" s="166"/>
      <c r="AI22" s="167"/>
      <c r="AM22" t="s">
        <v>383</v>
      </c>
      <c r="AN22">
        <f>AN20*AN14</f>
        <v>14025</v>
      </c>
    </row>
    <row r="23" spans="2:40" x14ac:dyDescent="0.25">
      <c r="B23" t="s">
        <v>253</v>
      </c>
      <c r="V23" t="s">
        <v>254</v>
      </c>
      <c r="W23">
        <v>21.6</v>
      </c>
      <c r="X23">
        <f>W23/1000</f>
        <v>2.1600000000000001E-2</v>
      </c>
      <c r="AD23" s="55" t="s">
        <v>236</v>
      </c>
      <c r="AE23" s="35" t="s">
        <v>195</v>
      </c>
      <c r="AF23" s="35" t="s">
        <v>196</v>
      </c>
      <c r="AG23" s="35" t="s">
        <v>197</v>
      </c>
      <c r="AH23" s="35" t="s">
        <v>198</v>
      </c>
      <c r="AI23" s="36" t="s">
        <v>199</v>
      </c>
      <c r="AM23" t="s">
        <v>384</v>
      </c>
      <c r="AN23">
        <f>AO14*AN20</f>
        <v>14.025</v>
      </c>
    </row>
    <row r="24" spans="2:40" x14ac:dyDescent="0.25">
      <c r="G24" s="139" t="s">
        <v>355</v>
      </c>
      <c r="H24" s="139" t="s">
        <v>121</v>
      </c>
      <c r="I24" s="139" t="s">
        <v>122</v>
      </c>
      <c r="V24" t="s">
        <v>255</v>
      </c>
      <c r="AD24" s="56" t="s">
        <v>34</v>
      </c>
      <c r="AE24" s="6">
        <f>AE13-AE17</f>
        <v>0</v>
      </c>
      <c r="AF24" s="6">
        <f t="shared" ref="AF24:AG24" si="4">AF13-AF17</f>
        <v>0</v>
      </c>
      <c r="AG24" s="6">
        <f t="shared" si="4"/>
        <v>0</v>
      </c>
      <c r="AH24" s="6">
        <f>AH$13*('Fine Tuning'!$C$17)</f>
        <v>914.00400000000002</v>
      </c>
      <c r="AI24" s="59">
        <f>AI$13*('Fine Tuning'!$C$17)</f>
        <v>9039.6</v>
      </c>
    </row>
    <row r="25" spans="2:40" x14ac:dyDescent="0.25">
      <c r="B25" s="45" t="s">
        <v>394</v>
      </c>
      <c r="G25" s="124" t="s">
        <v>337</v>
      </c>
      <c r="H25" s="140">
        <f>'Fine Tuning'!B11</f>
        <v>0</v>
      </c>
      <c r="I25" s="140">
        <f>IF(H25-I27&gt;0,H25-I27,0)</f>
        <v>0</v>
      </c>
      <c r="J25" s="3">
        <f>IF((I25-J27)&lt;0,(I25-J25),0)</f>
        <v>0</v>
      </c>
      <c r="V25" s="27" t="s">
        <v>256</v>
      </c>
      <c r="W25" t="s">
        <v>257</v>
      </c>
      <c r="X25" t="s">
        <v>226</v>
      </c>
      <c r="AD25" s="56" t="s">
        <v>38</v>
      </c>
      <c r="AE25" s="6">
        <f>AE24/2</f>
        <v>0</v>
      </c>
      <c r="AF25" s="6">
        <f t="shared" ref="AF25:AI25" si="5">AF24/2</f>
        <v>0</v>
      </c>
      <c r="AG25" s="6">
        <f t="shared" si="5"/>
        <v>0</v>
      </c>
      <c r="AH25" s="6">
        <f t="shared" si="5"/>
        <v>457.00200000000001</v>
      </c>
      <c r="AI25" s="60">
        <f t="shared" si="5"/>
        <v>4519.8</v>
      </c>
      <c r="AM25" t="s">
        <v>380</v>
      </c>
      <c r="AN25" s="3">
        <f>Inputs!B5</f>
        <v>7</v>
      </c>
    </row>
    <row r="26" spans="2:40" x14ac:dyDescent="0.25">
      <c r="B26" s="27" t="s">
        <v>258</v>
      </c>
      <c r="G26" s="125" t="s">
        <v>339</v>
      </c>
      <c r="H26" s="141">
        <f>'Fine Tuning'!B12</f>
        <v>500</v>
      </c>
      <c r="I26" s="141">
        <f>H26</f>
        <v>500</v>
      </c>
      <c r="V26" t="s">
        <v>259</v>
      </c>
      <c r="W26">
        <f>C34</f>
        <v>4.72</v>
      </c>
      <c r="X26">
        <f>W26*1000</f>
        <v>4720</v>
      </c>
      <c r="AD26" s="56" t="s">
        <v>41</v>
      </c>
      <c r="AE26" s="6">
        <v>0</v>
      </c>
      <c r="AF26" s="6">
        <v>0</v>
      </c>
      <c r="AG26" s="6">
        <v>0</v>
      </c>
      <c r="AH26" s="6">
        <v>0</v>
      </c>
      <c r="AI26" s="60">
        <f>AI$13*('Fine Tuning'!$C$17)</f>
        <v>9039.6</v>
      </c>
      <c r="AJ26" s="6"/>
      <c r="AM26" t="s">
        <v>381</v>
      </c>
      <c r="AN26">
        <f>Inputs!B3</f>
        <v>310</v>
      </c>
    </row>
    <row r="27" spans="2:40" x14ac:dyDescent="0.25">
      <c r="B27" s="27" t="s">
        <v>260</v>
      </c>
      <c r="G27" s="124" t="s">
        <v>338</v>
      </c>
      <c r="H27" s="124" t="str">
        <f>"- "</f>
        <v xml:space="preserve">- </v>
      </c>
      <c r="I27" s="124">
        <f>'Fine Tuning'!B26</f>
        <v>1</v>
      </c>
      <c r="AD27" s="50" t="s">
        <v>44</v>
      </c>
      <c r="AE27" s="38">
        <f>AE26*0.5</f>
        <v>0</v>
      </c>
      <c r="AF27" s="38">
        <f t="shared" ref="AF27:AI27" si="6">AF26*0.5</f>
        <v>0</v>
      </c>
      <c r="AG27" s="38">
        <f t="shared" si="6"/>
        <v>0</v>
      </c>
      <c r="AH27" s="38">
        <f t="shared" si="6"/>
        <v>0</v>
      </c>
      <c r="AI27" s="53">
        <f t="shared" si="6"/>
        <v>4519.8</v>
      </c>
    </row>
    <row r="28" spans="2:40" x14ac:dyDescent="0.25">
      <c r="B28" t="s">
        <v>261</v>
      </c>
      <c r="G28" s="125" t="s">
        <v>340</v>
      </c>
      <c r="H28" s="125" t="str">
        <f>"- "</f>
        <v xml:space="preserve">- </v>
      </c>
      <c r="I28" s="141">
        <f>'Fine Tuning'!B27</f>
        <v>800</v>
      </c>
      <c r="V28" s="4" t="s">
        <v>262</v>
      </c>
      <c r="W28">
        <f>X23*X26</f>
        <v>101.95200000000001</v>
      </c>
      <c r="AM28" t="s">
        <v>385</v>
      </c>
      <c r="AN28" s="47">
        <f>AN23*AN26</f>
        <v>4347.75</v>
      </c>
    </row>
    <row r="29" spans="2:40" x14ac:dyDescent="0.25">
      <c r="B29" t="s">
        <v>263</v>
      </c>
      <c r="C29" t="s">
        <v>226</v>
      </c>
      <c r="G29" s="124" t="s">
        <v>341</v>
      </c>
      <c r="H29" s="124"/>
      <c r="I29" s="140">
        <f>SUM(I25+I27)-H25</f>
        <v>1</v>
      </c>
      <c r="V29" t="s">
        <v>264</v>
      </c>
      <c r="W29">
        <f>W23*W26</f>
        <v>101.952</v>
      </c>
      <c r="AD29" s="165" t="s">
        <v>265</v>
      </c>
      <c r="AE29" s="166"/>
      <c r="AF29" s="166"/>
      <c r="AG29" s="168"/>
      <c r="AH29" s="6"/>
      <c r="AI29" s="6"/>
      <c r="AM29" t="s">
        <v>386</v>
      </c>
      <c r="AN29" s="47">
        <f>AN28*AN25</f>
        <v>30434.25</v>
      </c>
    </row>
    <row r="30" spans="2:40" x14ac:dyDescent="0.25">
      <c r="B30" t="s">
        <v>266</v>
      </c>
      <c r="C30" s="25">
        <f>'Fine Tuning'!B25</f>
        <v>5</v>
      </c>
      <c r="D30" t="s">
        <v>267</v>
      </c>
      <c r="G30" s="125" t="s">
        <v>342</v>
      </c>
      <c r="H30" s="125"/>
      <c r="I30" s="141">
        <f>IF(H25=0,I28,I28-I26)</f>
        <v>800</v>
      </c>
      <c r="AD30" s="52" t="s">
        <v>236</v>
      </c>
      <c r="AE30" s="34" t="s">
        <v>269</v>
      </c>
      <c r="AF30" s="35" t="s">
        <v>270</v>
      </c>
      <c r="AG30" s="55" t="s">
        <v>271</v>
      </c>
    </row>
    <row r="31" spans="2:40" x14ac:dyDescent="0.25">
      <c r="B31" t="s">
        <v>72</v>
      </c>
      <c r="C31">
        <f>'Fine Tuning'!B23</f>
        <v>1.1100000000000001</v>
      </c>
      <c r="G31" s="124"/>
      <c r="H31" s="124"/>
      <c r="I31" s="124"/>
      <c r="V31" t="s">
        <v>273</v>
      </c>
      <c r="W31">
        <v>0</v>
      </c>
      <c r="AD31" s="56" t="s">
        <v>34</v>
      </c>
      <c r="AE31" s="6">
        <f>SUM($AE$13:$AI$13)</f>
        <v>33178.68</v>
      </c>
      <c r="AF31" s="6">
        <f>SUM(AE24:AI24)</f>
        <v>9953.6040000000012</v>
      </c>
      <c r="AG31" s="64">
        <f>AF31/AE31</f>
        <v>0.30000000000000004</v>
      </c>
    </row>
    <row r="32" spans="2:40" x14ac:dyDescent="0.25">
      <c r="B32" t="s">
        <v>274</v>
      </c>
      <c r="C32">
        <f>C30*C31</f>
        <v>5.5500000000000007</v>
      </c>
      <c r="G32" s="142" t="s">
        <v>343</v>
      </c>
      <c r="H32" s="124"/>
      <c r="I32" s="124"/>
      <c r="AD32" s="56" t="s">
        <v>38</v>
      </c>
      <c r="AE32" s="6">
        <f t="shared" ref="AE32:AE34" si="7">SUM($AE$13:$AI$13)</f>
        <v>33178.68</v>
      </c>
      <c r="AF32" s="6">
        <f t="shared" ref="AF32:AF34" si="8">SUM(AE25:AI25)</f>
        <v>4976.8020000000006</v>
      </c>
      <c r="AG32" s="64">
        <f t="shared" ref="AG32:AG34" si="9">AF32/AE32</f>
        <v>0.15000000000000002</v>
      </c>
    </row>
    <row r="33" spans="2:33" x14ac:dyDescent="0.25">
      <c r="B33" t="s">
        <v>276</v>
      </c>
      <c r="C33" s="26">
        <v>5.0000000000000001E-3</v>
      </c>
      <c r="D33" t="s">
        <v>277</v>
      </c>
      <c r="G33" s="124" t="s">
        <v>344</v>
      </c>
      <c r="H33" s="124">
        <f>H25*365/1000</f>
        <v>0</v>
      </c>
      <c r="I33" s="124">
        <f>I25*365/1000</f>
        <v>0</v>
      </c>
      <c r="AD33" s="56" t="s">
        <v>41</v>
      </c>
      <c r="AE33" s="6">
        <f t="shared" si="7"/>
        <v>33178.68</v>
      </c>
      <c r="AF33" s="6">
        <f t="shared" si="8"/>
        <v>9039.6</v>
      </c>
      <c r="AG33" s="64">
        <f t="shared" si="9"/>
        <v>0.27245206861755805</v>
      </c>
    </row>
    <row r="34" spans="2:33" x14ac:dyDescent="0.25">
      <c r="B34" t="s">
        <v>279</v>
      </c>
      <c r="C34">
        <f>'Fine Tuning'!B35</f>
        <v>4.72</v>
      </c>
      <c r="D34" t="s">
        <v>280</v>
      </c>
      <c r="G34" s="125" t="s">
        <v>345</v>
      </c>
      <c r="H34" s="125" t="str">
        <f>"- "</f>
        <v xml:space="preserve">- </v>
      </c>
      <c r="I34" s="125">
        <f>I27*365/1000</f>
        <v>0.36499999999999999</v>
      </c>
      <c r="AD34" s="50" t="s">
        <v>44</v>
      </c>
      <c r="AE34" s="38">
        <f t="shared" si="7"/>
        <v>33178.68</v>
      </c>
      <c r="AF34" s="38">
        <f t="shared" si="8"/>
        <v>4519.8</v>
      </c>
      <c r="AG34" s="65">
        <f t="shared" si="9"/>
        <v>0.13622603430877903</v>
      </c>
    </row>
    <row r="35" spans="2:33" x14ac:dyDescent="0.25">
      <c r="B35" t="s">
        <v>282</v>
      </c>
      <c r="C35">
        <f>C34*1000</f>
        <v>4720</v>
      </c>
      <c r="G35" s="124" t="s">
        <v>350</v>
      </c>
      <c r="H35" s="124">
        <f>H33</f>
        <v>0</v>
      </c>
      <c r="I35" s="124">
        <f>I33+I34</f>
        <v>0.36499999999999999</v>
      </c>
    </row>
    <row r="36" spans="2:33" x14ac:dyDescent="0.25">
      <c r="B36" t="s">
        <v>284</v>
      </c>
      <c r="C36">
        <f>C35*C33</f>
        <v>23.6</v>
      </c>
      <c r="G36" s="142" t="s">
        <v>346</v>
      </c>
      <c r="H36" s="124"/>
      <c r="I36" s="124"/>
    </row>
    <row r="37" spans="2:33" x14ac:dyDescent="0.25">
      <c r="B37" s="4" t="s">
        <v>286</v>
      </c>
      <c r="C37" s="33">
        <f>C36*C32</f>
        <v>130.98000000000002</v>
      </c>
      <c r="G37" s="124" t="s">
        <v>347</v>
      </c>
      <c r="H37" s="143">
        <f>H33*H26</f>
        <v>0</v>
      </c>
      <c r="I37" s="144">
        <f>I33*I26</f>
        <v>0</v>
      </c>
    </row>
    <row r="38" spans="2:33" x14ac:dyDescent="0.25">
      <c r="G38" s="125" t="s">
        <v>348</v>
      </c>
      <c r="H38" s="125"/>
      <c r="I38" s="141">
        <f>I34*I28</f>
        <v>292</v>
      </c>
    </row>
    <row r="39" spans="2:33" x14ac:dyDescent="0.25">
      <c r="G39" s="124" t="s">
        <v>351</v>
      </c>
      <c r="H39" s="143">
        <f>SUM(H37:H38)</f>
        <v>0</v>
      </c>
      <c r="I39" s="143">
        <f>SUM(I37:I38)</f>
        <v>292</v>
      </c>
    </row>
    <row r="40" spans="2:33" x14ac:dyDescent="0.25">
      <c r="G40" s="124" t="s">
        <v>349</v>
      </c>
      <c r="H40" s="124" t="str">
        <f>" - "</f>
        <v xml:space="preserve"> - </v>
      </c>
      <c r="I40" s="143">
        <f>I39-H39</f>
        <v>292</v>
      </c>
    </row>
    <row r="43" spans="2:33" x14ac:dyDescent="0.25">
      <c r="G43" s="4" t="s">
        <v>268</v>
      </c>
      <c r="H43" s="4" t="s">
        <v>121</v>
      </c>
      <c r="I43" s="4" t="s">
        <v>122</v>
      </c>
    </row>
    <row r="44" spans="2:33" x14ac:dyDescent="0.25">
      <c r="G44" t="s">
        <v>272</v>
      </c>
      <c r="H44" s="3">
        <f>H25*365</f>
        <v>0</v>
      </c>
      <c r="I44" s="3">
        <f>I25*365</f>
        <v>0</v>
      </c>
    </row>
    <row r="45" spans="2:33" x14ac:dyDescent="0.25">
      <c r="G45" s="8" t="s">
        <v>275</v>
      </c>
      <c r="H45" s="9"/>
      <c r="I45" s="9">
        <f>I27*365</f>
        <v>365</v>
      </c>
    </row>
    <row r="46" spans="2:33" x14ac:dyDescent="0.25">
      <c r="G46" t="s">
        <v>278</v>
      </c>
      <c r="H46" s="3">
        <f>SUM(H44:H45)</f>
        <v>0</v>
      </c>
      <c r="I46" s="3">
        <f>SUM(I44:I45)</f>
        <v>365</v>
      </c>
    </row>
    <row r="47" spans="2:33" x14ac:dyDescent="0.25">
      <c r="G47" s="8" t="s">
        <v>281</v>
      </c>
      <c r="H47" s="8">
        <f>'Fine Tuning'!$C$48*1000</f>
        <v>4955</v>
      </c>
      <c r="I47" s="8">
        <f>H47</f>
        <v>4955</v>
      </c>
    </row>
    <row r="48" spans="2:33" ht="15.75" thickBot="1" x14ac:dyDescent="0.3">
      <c r="G48" s="73" t="s">
        <v>283</v>
      </c>
      <c r="H48" s="74">
        <f>(H47-(H46*I49))/H47</f>
        <v>1</v>
      </c>
      <c r="I48" s="74">
        <f>(I47-(I46*I49))/I47</f>
        <v>0.93738647830474264</v>
      </c>
    </row>
    <row r="49" spans="7:9" ht="15.75" thickTop="1" x14ac:dyDescent="0.25">
      <c r="G49" t="s">
        <v>285</v>
      </c>
      <c r="I49" s="72">
        <f>'Fine Tuning'!C37</f>
        <v>0.85</v>
      </c>
    </row>
    <row r="52" spans="7:9" x14ac:dyDescent="0.25">
      <c r="G52" t="s">
        <v>287</v>
      </c>
    </row>
    <row r="53" spans="7:9" x14ac:dyDescent="0.25">
      <c r="G53" t="s">
        <v>288</v>
      </c>
    </row>
    <row r="57" spans="7:9" x14ac:dyDescent="0.25">
      <c r="G57" s="4" t="s">
        <v>336</v>
      </c>
      <c r="H57" s="4" t="s">
        <v>121</v>
      </c>
      <c r="I57" s="4" t="s">
        <v>122</v>
      </c>
    </row>
    <row r="58" spans="7:9" x14ac:dyDescent="0.25">
      <c r="G58" t="s">
        <v>334</v>
      </c>
      <c r="H58" s="3">
        <f>H16*365/1000</f>
        <v>0</v>
      </c>
    </row>
    <row r="59" spans="7:9" x14ac:dyDescent="0.25">
      <c r="G59" t="s">
        <v>335</v>
      </c>
    </row>
    <row r="60" spans="7:9" x14ac:dyDescent="0.25">
      <c r="G60" t="s">
        <v>333</v>
      </c>
    </row>
  </sheetData>
  <mergeCells count="7">
    <mergeCell ref="AD22:AI22"/>
    <mergeCell ref="AD29:AG29"/>
    <mergeCell ref="C2:D2"/>
    <mergeCell ref="B5:C5"/>
    <mergeCell ref="AM4:AQ4"/>
    <mergeCell ref="AD15:AI15"/>
    <mergeCell ref="AD7:AI7"/>
  </mergeCells>
  <hyperlinks>
    <hyperlink ref="Q7" r:id="rId1" display="https://www.dairynz.co.nz/media/5795450/db_op_adjustments_labour-supportblock-feed_2021-22.pdf" xr:uid="{F8BF922A-874D-4C6B-A66E-AD3A9CBCD17F}"/>
    <hyperlink ref="C13" r:id="rId2" display="https://www.smartbusinesscentre.co.nz/2015/08/dairy-by-the-numbers/" xr:uid="{2A8D539C-B09F-40A5-86C8-BE6F76F8BDAF}"/>
    <hyperlink ref="V6" r:id="rId3" display="https://www-sciencedirect-com.ezproxy.waikato.ac.nz/science/article/pii/S002203021830225X" xr:uid="{887327EE-44BC-42C9-9E4C-DE8FE63F8337}"/>
    <hyperlink ref="V7" r:id="rId4" display="https://www-sciencedirect-com.ezproxy.waikato.ac.nz/science/article/pii/S0022030220302587" xr:uid="{3C69C721-721E-4092-A759-A886E0B4B245}"/>
    <hyperlink ref="V8" r:id="rId5" display="https://www.dairynz.co.nz/environment/climate-change/climate-change-basics/" xr:uid="{7FAC6E24-FA2C-42CD-B108-04D445BA49CD}"/>
    <hyperlink ref="V16" r:id="rId6" display="https://www.dairynz.co.nz/media/5795475/he_waka_eke_noa_recommendations_summary_jun22.pdf" xr:uid="{E6FD3DE3-8E65-4F86-8FAC-DA58B3E3DC41}"/>
    <hyperlink ref="B26" r:id="rId7" display="https://www.mla.com.au/contentassets/b92da19729e4416b80452356069ccb94/b.cch.6187_final_report.pdf" xr:uid="{0D1CE758-EFEE-4347-95A4-1B1273B5F20D}"/>
    <hyperlink ref="B27" r:id="rId8" location="cite_note-24" display="https://en.wikipedia.org/wiki/FutureFeed - cite_note-24" xr:uid="{23E933EF-CED9-4323-BF55-2F3C9249B662}"/>
    <hyperlink ref="V25" r:id="rId9" display="https://www.mpi.govt.nz/dmsdocument/13906-detailed-methodologies-for-agricultural-greenhouse-gas-emission-calculation" xr:uid="{4C4E977B-B0B6-43BA-88D2-66C80EFF3C11}"/>
  </hyperlinks>
  <pageMargins left="0.7" right="0.7" top="0.75" bottom="0.75" header="0.3" footer="0.3"/>
  <pageSetup paperSize="9" orientation="portrait" verticalDpi="0" r:id="rId10"/>
  <legacyDrawing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A73F7-97C8-4E59-9703-9FC7E1B9EA1E}">
  <dimension ref="A1:J25"/>
  <sheetViews>
    <sheetView zoomScaleNormal="100" workbookViewId="0">
      <selection activeCell="E34" sqref="E34"/>
    </sheetView>
  </sheetViews>
  <sheetFormatPr defaultRowHeight="15" x14ac:dyDescent="0.25"/>
  <cols>
    <col min="2" max="2" width="44.28515625" bestFit="1" customWidth="1"/>
    <col min="3" max="10" width="23.7109375" customWidth="1"/>
  </cols>
  <sheetData>
    <row r="1" spans="1:10" x14ac:dyDescent="0.25">
      <c r="A1">
        <v>1</v>
      </c>
      <c r="B1" s="1" t="s">
        <v>289</v>
      </c>
      <c r="C1" s="2" t="s">
        <v>290</v>
      </c>
      <c r="D1" s="2" t="s">
        <v>48</v>
      </c>
      <c r="E1" s="2" t="s">
        <v>291</v>
      </c>
      <c r="F1" s="2" t="s">
        <v>292</v>
      </c>
      <c r="G1" s="2" t="s">
        <v>293</v>
      </c>
      <c r="H1" s="2" t="s">
        <v>294</v>
      </c>
      <c r="I1" s="2" t="s">
        <v>295</v>
      </c>
      <c r="J1" s="2" t="s">
        <v>296</v>
      </c>
    </row>
    <row r="2" spans="1:10" x14ac:dyDescent="0.25">
      <c r="A2">
        <v>2</v>
      </c>
      <c r="B2" s="1" t="s">
        <v>15</v>
      </c>
      <c r="C2" s="2"/>
      <c r="D2" s="2"/>
      <c r="E2" s="2"/>
      <c r="F2" s="2"/>
      <c r="G2" s="2"/>
      <c r="H2" s="2"/>
      <c r="I2" s="2"/>
      <c r="J2" s="2"/>
    </row>
    <row r="3" spans="1:10" x14ac:dyDescent="0.25">
      <c r="A3">
        <v>3</v>
      </c>
      <c r="B3" t="s">
        <v>297</v>
      </c>
      <c r="C3" s="3">
        <v>39</v>
      </c>
      <c r="D3" s="3">
        <v>69</v>
      </c>
      <c r="E3" s="3">
        <v>28</v>
      </c>
      <c r="F3" s="3">
        <v>57</v>
      </c>
      <c r="G3" s="3">
        <v>33</v>
      </c>
      <c r="H3" s="3">
        <v>24</v>
      </c>
      <c r="I3" s="3">
        <v>37</v>
      </c>
      <c r="J3" s="3">
        <v>39</v>
      </c>
    </row>
    <row r="4" spans="1:10" x14ac:dyDescent="0.25">
      <c r="A4">
        <v>4</v>
      </c>
      <c r="B4" t="s">
        <v>20</v>
      </c>
      <c r="C4" s="3">
        <v>110</v>
      </c>
      <c r="D4" s="3">
        <v>109</v>
      </c>
      <c r="E4" s="3">
        <v>129</v>
      </c>
      <c r="F4" s="3">
        <v>97</v>
      </c>
      <c r="G4" s="3">
        <v>138</v>
      </c>
      <c r="H4" s="3">
        <v>147.5</v>
      </c>
      <c r="I4" s="3">
        <v>210</v>
      </c>
      <c r="J4" s="3">
        <v>205</v>
      </c>
    </row>
    <row r="5" spans="1:10" x14ac:dyDescent="0.25">
      <c r="A5">
        <v>5</v>
      </c>
      <c r="B5" t="s">
        <v>24</v>
      </c>
      <c r="C5" s="3">
        <v>230</v>
      </c>
      <c r="D5" s="3">
        <v>310</v>
      </c>
      <c r="E5" s="3">
        <v>377</v>
      </c>
      <c r="F5" s="3">
        <v>252</v>
      </c>
      <c r="G5" s="3">
        <v>325</v>
      </c>
      <c r="H5" s="3">
        <v>390</v>
      </c>
      <c r="I5" s="3">
        <v>780</v>
      </c>
      <c r="J5" s="3">
        <v>600</v>
      </c>
    </row>
    <row r="6" spans="1:10" x14ac:dyDescent="0.25">
      <c r="A6">
        <v>6</v>
      </c>
      <c r="B6" t="s">
        <v>31</v>
      </c>
      <c r="C6" s="3">
        <v>2.4318181818181821</v>
      </c>
      <c r="D6" s="3">
        <v>2.954545454545455</v>
      </c>
      <c r="E6" s="3">
        <v>2.9083333333333332</v>
      </c>
      <c r="F6" s="3">
        <v>2.7397260273972601</v>
      </c>
      <c r="G6" s="3">
        <v>2.4920634920634921</v>
      </c>
      <c r="H6" s="3">
        <v>2.5964432284541732</v>
      </c>
      <c r="I6" s="3">
        <v>3.5882352941176472</v>
      </c>
      <c r="J6" s="3">
        <v>2.9333333333333331</v>
      </c>
    </row>
    <row r="7" spans="1:10" x14ac:dyDescent="0.25">
      <c r="A7">
        <v>7</v>
      </c>
      <c r="B7" t="s">
        <v>35</v>
      </c>
      <c r="C7" s="3">
        <v>75422.7</v>
      </c>
      <c r="D7" s="3">
        <v>121734</v>
      </c>
      <c r="E7" s="3">
        <v>127676.5</v>
      </c>
      <c r="F7" s="3">
        <v>107211</v>
      </c>
      <c r="G7" s="3">
        <v>118711</v>
      </c>
      <c r="H7" s="3">
        <v>138561.5</v>
      </c>
      <c r="I7" s="3">
        <v>362262</v>
      </c>
      <c r="J7" s="3">
        <v>263482</v>
      </c>
    </row>
    <row r="8" spans="1:10" x14ac:dyDescent="0.25">
      <c r="A8">
        <v>8</v>
      </c>
      <c r="B8" t="s">
        <v>39</v>
      </c>
      <c r="C8" s="3">
        <v>796.18867924528297</v>
      </c>
      <c r="D8" s="3">
        <v>1092.191780821918</v>
      </c>
      <c r="E8" s="3">
        <v>1084.6811313973051</v>
      </c>
      <c r="F8" s="3">
        <v>1133.607843137255</v>
      </c>
      <c r="G8" s="3">
        <v>933.11199999999997</v>
      </c>
      <c r="H8" s="3">
        <v>1023.4104826545999</v>
      </c>
      <c r="I8" s="3">
        <v>1640.4929577464791</v>
      </c>
      <c r="J8" s="3">
        <v>1224.9918032786891</v>
      </c>
    </row>
    <row r="9" spans="1:10" x14ac:dyDescent="0.25">
      <c r="A9">
        <v>9</v>
      </c>
      <c r="B9" t="s">
        <v>42</v>
      </c>
      <c r="C9" s="3">
        <v>315.86486486486478</v>
      </c>
      <c r="D9" s="3">
        <v>376.93258426966293</v>
      </c>
      <c r="E9" s="3">
        <v>369.50185519315289</v>
      </c>
      <c r="F9" s="3">
        <v>397.58181818181822</v>
      </c>
      <c r="G9" s="3">
        <v>380.81376518218622</v>
      </c>
      <c r="H9" s="3">
        <v>390.23979940733989</v>
      </c>
      <c r="I9" s="3">
        <v>465.43142857142863</v>
      </c>
      <c r="J9" s="3">
        <v>432.64696223316912</v>
      </c>
    </row>
    <row r="10" spans="1:10" x14ac:dyDescent="0.25">
      <c r="A10">
        <v>10</v>
      </c>
      <c r="B10" t="s">
        <v>45</v>
      </c>
      <c r="C10" s="3">
        <v>7.083385007780417</v>
      </c>
      <c r="D10" s="3">
        <v>7.0461304494761743</v>
      </c>
      <c r="E10" s="3">
        <v>6.9967860546952814</v>
      </c>
      <c r="F10" s="3">
        <v>7.0328152760062137</v>
      </c>
      <c r="G10" s="3">
        <v>7.0166504229135986</v>
      </c>
      <c r="H10" s="3">
        <v>6.9953558989063573</v>
      </c>
      <c r="I10" s="3">
        <v>7.0145332261255984</v>
      </c>
      <c r="J10" s="3">
        <v>7.0660575703656372</v>
      </c>
    </row>
    <row r="11" spans="1:10" x14ac:dyDescent="0.25">
      <c r="A11">
        <v>11</v>
      </c>
      <c r="B11" s="4" t="s">
        <v>123</v>
      </c>
      <c r="C11" s="3"/>
      <c r="D11" s="3"/>
      <c r="E11" s="3"/>
      <c r="F11" s="3"/>
      <c r="G11" s="3"/>
      <c r="H11" s="3"/>
      <c r="I11" s="3"/>
      <c r="J11" s="3"/>
    </row>
    <row r="12" spans="1:10" x14ac:dyDescent="0.25">
      <c r="A12">
        <v>12</v>
      </c>
      <c r="B12" t="s">
        <v>125</v>
      </c>
      <c r="C12" s="3">
        <f>C10</f>
        <v>7.083385007780417</v>
      </c>
      <c r="D12" s="3">
        <f>D10</f>
        <v>7.0461304494761743</v>
      </c>
      <c r="E12" s="3">
        <f t="shared" ref="E12:J12" si="0">E10</f>
        <v>6.9967860546952814</v>
      </c>
      <c r="F12" s="3">
        <f t="shared" si="0"/>
        <v>7.0328152760062137</v>
      </c>
      <c r="G12" s="3">
        <f t="shared" si="0"/>
        <v>7.0166504229135986</v>
      </c>
      <c r="H12" s="3">
        <f t="shared" si="0"/>
        <v>6.9953558989063573</v>
      </c>
      <c r="I12" s="3">
        <f t="shared" si="0"/>
        <v>7.0145332261255984</v>
      </c>
      <c r="J12" s="3">
        <f t="shared" si="0"/>
        <v>7.0660575703656372</v>
      </c>
    </row>
    <row r="13" spans="1:10" x14ac:dyDescent="0.25">
      <c r="A13">
        <v>13</v>
      </c>
      <c r="B13" t="s">
        <v>127</v>
      </c>
      <c r="C13" s="3">
        <v>0.81823707714003213</v>
      </c>
      <c r="D13" s="3">
        <v>0.47500355063201249</v>
      </c>
      <c r="E13" s="3">
        <v>0.56797002188614454</v>
      </c>
      <c r="F13" s="3">
        <v>0.43153554216076379</v>
      </c>
      <c r="G13" s="3">
        <v>0.52336280875779029</v>
      </c>
      <c r="H13" s="3">
        <v>0.41604164646733183</v>
      </c>
      <c r="I13" s="3">
        <v>0.42819894314350287</v>
      </c>
      <c r="J13" s="3">
        <v>0.39619200332939603</v>
      </c>
    </row>
    <row r="14" spans="1:10" x14ac:dyDescent="0.25">
      <c r="A14">
        <v>14</v>
      </c>
      <c r="B14" s="8" t="s">
        <v>129</v>
      </c>
      <c r="C14" s="9">
        <v>3.2237866377851483E-2</v>
      </c>
      <c r="D14" s="9">
        <v>2.777539648521217E-2</v>
      </c>
      <c r="E14" s="9">
        <v>9.2974989825886142E-3</v>
      </c>
      <c r="F14" s="9">
        <v>4.6163854250758293E-3</v>
      </c>
      <c r="G14" s="9">
        <v>1.0302830809743251E-2</v>
      </c>
      <c r="H14" s="9">
        <v>1.5522276415826311E-2</v>
      </c>
      <c r="I14" s="9">
        <v>9.8593964334705068E-4</v>
      </c>
      <c r="J14" s="9">
        <v>1.2496987333410699E-4</v>
      </c>
    </row>
    <row r="15" spans="1:10" x14ac:dyDescent="0.25">
      <c r="A15">
        <v>15</v>
      </c>
      <c r="B15" t="s">
        <v>131</v>
      </c>
      <c r="C15" s="3">
        <f>SUM(C12:C14)</f>
        <v>7.9338599512983006</v>
      </c>
      <c r="D15" s="3">
        <f t="shared" ref="D15:J15" si="1">SUM(D12:D14)</f>
        <v>7.5489093965933991</v>
      </c>
      <c r="E15" s="3">
        <f t="shared" si="1"/>
        <v>7.5740535755640144</v>
      </c>
      <c r="F15" s="3">
        <f t="shared" si="1"/>
        <v>7.4689672035920536</v>
      </c>
      <c r="G15" s="3">
        <f t="shared" si="1"/>
        <v>7.5503160624811319</v>
      </c>
      <c r="H15" s="3">
        <f t="shared" si="1"/>
        <v>7.4269198217895154</v>
      </c>
      <c r="I15" s="3">
        <f t="shared" si="1"/>
        <v>7.4437181089124485</v>
      </c>
      <c r="J15" s="3">
        <f t="shared" si="1"/>
        <v>7.4623745435683677</v>
      </c>
    </row>
    <row r="16" spans="1:10" x14ac:dyDescent="0.25">
      <c r="A16">
        <v>16</v>
      </c>
      <c r="B16" s="4" t="s">
        <v>133</v>
      </c>
      <c r="C16" s="3"/>
      <c r="D16" s="3"/>
      <c r="E16" s="3"/>
      <c r="F16" s="3"/>
      <c r="G16" s="3"/>
      <c r="H16" s="3"/>
      <c r="I16" s="3"/>
      <c r="J16" s="3"/>
    </row>
    <row r="17" spans="1:10" x14ac:dyDescent="0.25">
      <c r="A17">
        <v>17</v>
      </c>
      <c r="B17" t="s">
        <v>135</v>
      </c>
      <c r="C17" s="3">
        <v>0.38202951756061132</v>
      </c>
      <c r="D17" s="3">
        <v>0.61635689356287815</v>
      </c>
      <c r="E17" s="3">
        <v>0.66994575383355548</v>
      </c>
      <c r="F17" s="3">
        <v>0.32609880706380501</v>
      </c>
      <c r="G17" s="3">
        <v>0.72176233772108378</v>
      </c>
      <c r="H17" s="3">
        <v>0.59627196595694598</v>
      </c>
      <c r="I17" s="3">
        <v>0.76925084207905792</v>
      </c>
      <c r="J17" s="3">
        <v>0.77212259664453142</v>
      </c>
    </row>
    <row r="18" spans="1:10" x14ac:dyDescent="0.25">
      <c r="A18">
        <v>18</v>
      </c>
      <c r="B18" t="s">
        <v>137</v>
      </c>
      <c r="C18" s="3">
        <v>1.2796400985929339</v>
      </c>
      <c r="D18" s="3">
        <v>1.3626958950807251</v>
      </c>
      <c r="E18" s="3">
        <v>1.0767760167600191</v>
      </c>
      <c r="F18" s="3">
        <v>1.016597306620509</v>
      </c>
      <c r="G18" s="3">
        <v>0.98858132850336655</v>
      </c>
      <c r="H18" s="3">
        <v>0.77090212857585871</v>
      </c>
      <c r="I18" s="3">
        <v>0.73741973725784082</v>
      </c>
      <c r="J18" s="3">
        <v>0.92195631410285017</v>
      </c>
    </row>
    <row r="19" spans="1:10" x14ac:dyDescent="0.25">
      <c r="A19">
        <v>19</v>
      </c>
      <c r="B19" t="s">
        <v>139</v>
      </c>
      <c r="C19" s="3">
        <v>0.28208450908914751</v>
      </c>
      <c r="D19" s="3">
        <v>0.19584049665711559</v>
      </c>
      <c r="E19" s="3">
        <v>0.2062533961259792</v>
      </c>
      <c r="F19" s="3">
        <v>0.1773571490131863</v>
      </c>
      <c r="G19" s="3">
        <v>0.22154771903339321</v>
      </c>
      <c r="H19" s="3">
        <v>0.26856652601366998</v>
      </c>
      <c r="I19" s="3">
        <v>0.11579638638543489</v>
      </c>
      <c r="J19" s="3">
        <v>0.1582772149046732</v>
      </c>
    </row>
    <row r="20" spans="1:10" x14ac:dyDescent="0.25">
      <c r="A20">
        <v>20</v>
      </c>
      <c r="B20" t="s">
        <v>141</v>
      </c>
      <c r="C20" s="3">
        <v>0.51224245067044583</v>
      </c>
      <c r="D20" s="3">
        <v>0.33704692016900162</v>
      </c>
      <c r="E20" s="3">
        <v>0.31529989430686289</v>
      </c>
      <c r="F20" s="3">
        <v>0.33921434739822859</v>
      </c>
      <c r="G20" s="3">
        <v>0.31833143668245167</v>
      </c>
      <c r="H20" s="3">
        <v>0.28783182937224411</v>
      </c>
      <c r="I20" s="3">
        <v>0.27159292826015752</v>
      </c>
      <c r="J20" s="3">
        <v>0.38097027882749462</v>
      </c>
    </row>
    <row r="21" spans="1:10" x14ac:dyDescent="0.25">
      <c r="A21">
        <v>21</v>
      </c>
      <c r="B21" t="s">
        <v>143</v>
      </c>
      <c r="C21" s="3">
        <v>0</v>
      </c>
      <c r="D21" s="3">
        <v>0</v>
      </c>
      <c r="E21" s="3">
        <v>0</v>
      </c>
      <c r="F21" s="3">
        <v>0</v>
      </c>
      <c r="G21" s="3">
        <v>0</v>
      </c>
      <c r="H21" s="3">
        <v>0</v>
      </c>
      <c r="I21" s="3">
        <v>0</v>
      </c>
      <c r="J21" s="3">
        <v>0</v>
      </c>
    </row>
    <row r="22" spans="1:10" x14ac:dyDescent="0.25">
      <c r="A22">
        <v>22</v>
      </c>
      <c r="B22" s="8" t="s">
        <v>145</v>
      </c>
      <c r="C22" s="9">
        <v>1.8646036243238062</v>
      </c>
      <c r="D22" s="9">
        <v>1.8458128771216806</v>
      </c>
      <c r="E22" s="9">
        <v>1.9052432897184164</v>
      </c>
      <c r="F22" s="9">
        <v>1.7676518994309185</v>
      </c>
      <c r="G22" s="9">
        <v>1.7712799021405556</v>
      </c>
      <c r="H22" s="9">
        <v>2.1609964057505926</v>
      </c>
      <c r="I22" s="9">
        <v>2.5565448703544136</v>
      </c>
      <c r="J22" s="9">
        <v>1.9833356306935876</v>
      </c>
    </row>
    <row r="23" spans="1:10" x14ac:dyDescent="0.25">
      <c r="A23">
        <v>23</v>
      </c>
      <c r="B23" t="s">
        <v>147</v>
      </c>
      <c r="C23" s="3">
        <f t="shared" ref="C23:J23" si="2">SUM(C17:C22)</f>
        <v>4.320600200236945</v>
      </c>
      <c r="D23" s="3">
        <f t="shared" si="2"/>
        <v>4.357753082591401</v>
      </c>
      <c r="E23" s="3">
        <f t="shared" si="2"/>
        <v>4.1735183507448337</v>
      </c>
      <c r="F23" s="3">
        <f t="shared" si="2"/>
        <v>3.6269195095266475</v>
      </c>
      <c r="G23" s="3">
        <f t="shared" si="2"/>
        <v>4.0215027240808512</v>
      </c>
      <c r="H23" s="3">
        <f t="shared" si="2"/>
        <v>4.0845688556693114</v>
      </c>
      <c r="I23" s="3">
        <f t="shared" si="2"/>
        <v>4.4506047643369051</v>
      </c>
      <c r="J23" s="3">
        <f t="shared" si="2"/>
        <v>4.2166620351731368</v>
      </c>
    </row>
    <row r="24" spans="1:10" x14ac:dyDescent="0.25">
      <c r="A24">
        <v>24</v>
      </c>
      <c r="B24" s="4" t="s">
        <v>148</v>
      </c>
      <c r="C24" s="3"/>
      <c r="D24" s="3"/>
      <c r="E24" s="3"/>
      <c r="F24" s="3"/>
      <c r="G24" s="3"/>
      <c r="H24" s="3"/>
      <c r="I24" s="3"/>
      <c r="J24" s="3"/>
    </row>
    <row r="25" spans="1:10" x14ac:dyDescent="0.25">
      <c r="A25">
        <v>25</v>
      </c>
      <c r="B25" t="s">
        <v>150</v>
      </c>
      <c r="C25" s="3">
        <v>-1.448629313879346</v>
      </c>
      <c r="D25" s="3">
        <v>-0.93514051086158212</v>
      </c>
      <c r="E25" s="3">
        <v>-1.2345713139546191</v>
      </c>
      <c r="F25" s="3">
        <v>-1.170441025641026</v>
      </c>
      <c r="G25" s="3">
        <v>-1.1300965547509321</v>
      </c>
      <c r="H25" s="3">
        <v>-1.1012764880568431</v>
      </c>
      <c r="I25" s="3">
        <v>-0.68182906101686314</v>
      </c>
      <c r="J25" s="3">
        <v>-0.52274609098436364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22EAE-1085-4B3A-B8C2-2AEA5C6D0EC6}">
  <dimension ref="A1:I75"/>
  <sheetViews>
    <sheetView topLeftCell="A37" zoomScale="110" zoomScaleNormal="110" workbookViewId="0">
      <selection activeCell="I47" sqref="I47"/>
    </sheetView>
  </sheetViews>
  <sheetFormatPr defaultRowHeight="15" x14ac:dyDescent="0.25"/>
  <cols>
    <col min="1" max="1" width="44.28515625" bestFit="1" customWidth="1"/>
    <col min="2" max="9" width="15.7109375" style="3" customWidth="1"/>
  </cols>
  <sheetData>
    <row r="1" spans="1:9" s="1" customFormat="1" x14ac:dyDescent="0.25">
      <c r="A1" s="1" t="s">
        <v>289</v>
      </c>
      <c r="B1" s="2" t="s">
        <v>290</v>
      </c>
      <c r="C1" s="2" t="s">
        <v>48</v>
      </c>
      <c r="D1" s="2" t="s">
        <v>291</v>
      </c>
      <c r="E1" s="2" t="s">
        <v>292</v>
      </c>
      <c r="F1" s="2" t="s">
        <v>293</v>
      </c>
      <c r="G1" s="2" t="s">
        <v>294</v>
      </c>
      <c r="H1" s="2" t="s">
        <v>295</v>
      </c>
      <c r="I1" s="2" t="s">
        <v>296</v>
      </c>
    </row>
    <row r="2" spans="1:9" s="1" customFormat="1" x14ac:dyDescent="0.25">
      <c r="A2" s="1" t="s">
        <v>15</v>
      </c>
      <c r="B2" s="2"/>
      <c r="C2" s="2"/>
      <c r="D2" s="2"/>
      <c r="E2" s="2"/>
      <c r="F2" s="2"/>
      <c r="G2" s="2"/>
      <c r="H2" s="2"/>
      <c r="I2" s="2"/>
    </row>
    <row r="3" spans="1:9" x14ac:dyDescent="0.25">
      <c r="A3" t="s">
        <v>297</v>
      </c>
      <c r="B3" s="3">
        <v>39</v>
      </c>
      <c r="C3" s="3">
        <v>69</v>
      </c>
      <c r="D3" s="3">
        <v>28</v>
      </c>
      <c r="E3" s="3">
        <v>57</v>
      </c>
      <c r="F3" s="3">
        <v>33</v>
      </c>
      <c r="G3" s="3">
        <v>24</v>
      </c>
      <c r="H3" s="3">
        <v>37</v>
      </c>
      <c r="I3" s="3">
        <v>39</v>
      </c>
    </row>
    <row r="4" spans="1:9" x14ac:dyDescent="0.25">
      <c r="A4" t="s">
        <v>20</v>
      </c>
      <c r="B4" s="3">
        <v>110</v>
      </c>
      <c r="C4" s="3">
        <v>109</v>
      </c>
      <c r="D4" s="3">
        <v>129</v>
      </c>
      <c r="E4" s="3">
        <v>97</v>
      </c>
      <c r="F4" s="3">
        <v>138</v>
      </c>
      <c r="G4" s="3">
        <v>147.5</v>
      </c>
      <c r="H4" s="3">
        <v>210</v>
      </c>
      <c r="I4" s="3">
        <v>205</v>
      </c>
    </row>
    <row r="5" spans="1:9" x14ac:dyDescent="0.25">
      <c r="A5" t="s">
        <v>24</v>
      </c>
      <c r="B5" s="3">
        <v>230</v>
      </c>
      <c r="C5" s="3">
        <v>310</v>
      </c>
      <c r="D5" s="3">
        <v>377</v>
      </c>
      <c r="E5" s="3">
        <v>252</v>
      </c>
      <c r="F5" s="3">
        <v>325</v>
      </c>
      <c r="G5" s="3">
        <v>390</v>
      </c>
      <c r="H5" s="3">
        <v>780</v>
      </c>
      <c r="I5" s="3">
        <v>600</v>
      </c>
    </row>
    <row r="6" spans="1:9" x14ac:dyDescent="0.25">
      <c r="A6" t="s">
        <v>31</v>
      </c>
      <c r="B6" s="3">
        <v>2.4318181818181821</v>
      </c>
      <c r="C6" s="3">
        <v>2.954545454545455</v>
      </c>
      <c r="D6" s="3">
        <v>2.9083333333333332</v>
      </c>
      <c r="E6" s="3">
        <v>2.7397260273972601</v>
      </c>
      <c r="F6" s="3">
        <v>2.4920634920634921</v>
      </c>
      <c r="G6" s="3">
        <v>2.5964432284541732</v>
      </c>
      <c r="H6" s="3">
        <v>3.5882352941176472</v>
      </c>
      <c r="I6" s="3">
        <v>2.9333333333333331</v>
      </c>
    </row>
    <row r="7" spans="1:9" x14ac:dyDescent="0.25">
      <c r="A7" t="s">
        <v>35</v>
      </c>
      <c r="B7" s="3">
        <v>75422.7</v>
      </c>
      <c r="C7" s="3">
        <v>121734</v>
      </c>
      <c r="D7" s="3">
        <v>127676.5</v>
      </c>
      <c r="E7" s="3">
        <v>107211</v>
      </c>
      <c r="F7" s="3">
        <v>118711</v>
      </c>
      <c r="G7" s="3">
        <v>138561.5</v>
      </c>
      <c r="H7" s="3">
        <v>362262</v>
      </c>
      <c r="I7" s="3">
        <v>263482</v>
      </c>
    </row>
    <row r="8" spans="1:9" x14ac:dyDescent="0.25">
      <c r="A8" t="s">
        <v>39</v>
      </c>
      <c r="B8" s="3">
        <v>796.18867924528297</v>
      </c>
      <c r="C8" s="3">
        <v>1092.191780821918</v>
      </c>
      <c r="D8" s="3">
        <v>1084.6811313973051</v>
      </c>
      <c r="E8" s="3">
        <v>1133.607843137255</v>
      </c>
      <c r="F8" s="3">
        <v>933.11199999999997</v>
      </c>
      <c r="G8" s="3">
        <v>1023.4104826545999</v>
      </c>
      <c r="H8" s="3">
        <v>1640.4929577464791</v>
      </c>
      <c r="I8" s="3">
        <v>1224.9918032786891</v>
      </c>
    </row>
    <row r="9" spans="1:9" x14ac:dyDescent="0.25">
      <c r="A9" t="s">
        <v>42</v>
      </c>
      <c r="B9" s="3">
        <v>315.86486486486478</v>
      </c>
      <c r="C9" s="3">
        <v>376.93258426966293</v>
      </c>
      <c r="D9" s="3">
        <v>369.50185519315289</v>
      </c>
      <c r="E9" s="3">
        <v>397.58181818181822</v>
      </c>
      <c r="F9" s="3">
        <v>380.81376518218622</v>
      </c>
      <c r="G9" s="3">
        <v>390.23979940733989</v>
      </c>
      <c r="H9" s="3">
        <v>465.43142857142863</v>
      </c>
      <c r="I9" s="3">
        <v>432.64696223316912</v>
      </c>
    </row>
    <row r="10" spans="1:9" x14ac:dyDescent="0.25">
      <c r="A10" t="s">
        <v>45</v>
      </c>
      <c r="B10" s="3">
        <v>7.083385007780417</v>
      </c>
      <c r="C10" s="3">
        <v>7.0461304494761743</v>
      </c>
      <c r="D10" s="3">
        <v>6.9967860546952814</v>
      </c>
      <c r="E10" s="3">
        <v>7.0328152760062137</v>
      </c>
      <c r="F10" s="3">
        <v>7.0166504229135986</v>
      </c>
      <c r="G10" s="3">
        <v>6.9953558989063573</v>
      </c>
      <c r="H10" s="3">
        <v>7.0145332261255984</v>
      </c>
      <c r="I10" s="3">
        <v>7.0660575703656372</v>
      </c>
    </row>
    <row r="12" spans="1:9" x14ac:dyDescent="0.25">
      <c r="A12" s="4" t="s">
        <v>123</v>
      </c>
    </row>
    <row r="13" spans="1:9" x14ac:dyDescent="0.25">
      <c r="A13" t="s">
        <v>298</v>
      </c>
      <c r="B13" s="3">
        <v>0.20806742589914179</v>
      </c>
      <c r="C13" s="3">
        <v>0.28975237288658612</v>
      </c>
      <c r="D13" s="3">
        <v>0.30031055108478277</v>
      </c>
      <c r="E13" s="3">
        <v>0.3360592018390397</v>
      </c>
      <c r="F13" s="3">
        <v>0.27952287118757407</v>
      </c>
      <c r="G13" s="3">
        <v>0.27313323245183091</v>
      </c>
      <c r="H13" s="3">
        <v>0.32444687967328423</v>
      </c>
      <c r="I13" s="3">
        <v>0.34474123058759543</v>
      </c>
    </row>
    <row r="14" spans="1:9" x14ac:dyDescent="0.25">
      <c r="A14" t="s">
        <v>125</v>
      </c>
      <c r="B14" s="3">
        <v>7.083385007780417</v>
      </c>
      <c r="C14" s="3">
        <v>7.0461304494761743</v>
      </c>
      <c r="D14" s="3">
        <v>6.9967860546952814</v>
      </c>
      <c r="E14" s="3">
        <v>7.0328152760062137</v>
      </c>
      <c r="F14" s="3">
        <v>7.0166504229135986</v>
      </c>
      <c r="G14" s="3">
        <v>6.9953558989063573</v>
      </c>
      <c r="H14" s="3">
        <v>7.0145332261255984</v>
      </c>
      <c r="I14" s="3">
        <v>7.0660575703656372</v>
      </c>
    </row>
    <row r="15" spans="1:9" x14ac:dyDescent="0.25">
      <c r="A15" t="s">
        <v>127</v>
      </c>
      <c r="B15" s="3">
        <v>0.81823707714003213</v>
      </c>
      <c r="C15" s="3">
        <v>0.47500355063201249</v>
      </c>
      <c r="D15" s="3">
        <v>0.56797002188614454</v>
      </c>
      <c r="E15" s="3">
        <v>0.43153554216076379</v>
      </c>
      <c r="F15" s="3">
        <v>0.52336280875779029</v>
      </c>
      <c r="G15" s="3">
        <v>0.41604164646733183</v>
      </c>
      <c r="H15" s="3">
        <v>0.42819894314350287</v>
      </c>
      <c r="I15" s="3">
        <v>0.39619200332939603</v>
      </c>
    </row>
    <row r="16" spans="1:9" x14ac:dyDescent="0.25">
      <c r="A16" t="s">
        <v>129</v>
      </c>
      <c r="B16" s="3">
        <v>3.2237866377851483E-2</v>
      </c>
      <c r="C16" s="3">
        <v>2.777539648521217E-2</v>
      </c>
      <c r="D16" s="3">
        <v>9.2974989825886142E-3</v>
      </c>
      <c r="E16" s="3">
        <v>4.6163854250758293E-3</v>
      </c>
      <c r="F16" s="3">
        <v>1.0302830809743251E-2</v>
      </c>
      <c r="G16" s="3">
        <v>1.5522276415826311E-2</v>
      </c>
      <c r="H16" s="3">
        <v>9.8593964334705068E-4</v>
      </c>
      <c r="I16" s="3">
        <v>1.2496987333410699E-4</v>
      </c>
    </row>
    <row r="17" spans="1:9" x14ac:dyDescent="0.25">
      <c r="A17" t="s">
        <v>131</v>
      </c>
      <c r="B17" s="3">
        <v>7.9200139106242391</v>
      </c>
      <c r="C17" s="3">
        <v>7.605085819217968</v>
      </c>
      <c r="D17" s="3">
        <v>7.6317165619003839</v>
      </c>
      <c r="E17" s="3">
        <v>7.4908532823297138</v>
      </c>
      <c r="F17" s="3">
        <v>7.6572413585647929</v>
      </c>
      <c r="G17" s="3">
        <v>7.4858682042887974</v>
      </c>
      <c r="H17" s="3">
        <v>7.4527819301990004</v>
      </c>
      <c r="I17" s="3">
        <v>7.478566972899686</v>
      </c>
    </row>
    <row r="19" spans="1:9" x14ac:dyDescent="0.25">
      <c r="A19" s="4" t="s">
        <v>133</v>
      </c>
    </row>
    <row r="20" spans="1:9" x14ac:dyDescent="0.25">
      <c r="A20" t="s">
        <v>135</v>
      </c>
      <c r="B20" s="3">
        <v>0.38202951756061132</v>
      </c>
      <c r="C20" s="3">
        <v>0.61635689356287815</v>
      </c>
      <c r="D20" s="3">
        <v>0.66994575383355548</v>
      </c>
      <c r="E20" s="3">
        <v>0.32609880706380501</v>
      </c>
      <c r="F20" s="3">
        <v>0.72176233772108378</v>
      </c>
      <c r="G20" s="3">
        <v>0.59627196595694598</v>
      </c>
      <c r="H20" s="3">
        <v>0.76925084207905792</v>
      </c>
      <c r="I20" s="3">
        <v>0.77212259664453142</v>
      </c>
    </row>
    <row r="21" spans="1:9" x14ac:dyDescent="0.25">
      <c r="A21" s="5" t="s">
        <v>299</v>
      </c>
      <c r="B21" s="7">
        <v>0.25303306763980921</v>
      </c>
      <c r="C21" s="7">
        <v>0.25273564176528868</v>
      </c>
      <c r="D21" s="7">
        <v>0.26025169866678072</v>
      </c>
      <c r="E21" s="7">
        <v>0.21903624797119561</v>
      </c>
      <c r="F21" s="7">
        <v>0.2282768297060071</v>
      </c>
      <c r="G21" s="7">
        <v>0.20526849004633629</v>
      </c>
      <c r="H21" s="7">
        <v>0.23283229350570789</v>
      </c>
      <c r="I21" s="7">
        <v>0.21749113791454441</v>
      </c>
    </row>
    <row r="22" spans="1:9" x14ac:dyDescent="0.25">
      <c r="A22" s="5" t="s">
        <v>300</v>
      </c>
      <c r="B22" s="7">
        <v>0.16833192947805631</v>
      </c>
      <c r="C22" s="7">
        <v>0.1788102031256654</v>
      </c>
      <c r="D22" s="7">
        <v>0.1511687025373622</v>
      </c>
      <c r="E22" s="7">
        <v>0.16007737018983509</v>
      </c>
      <c r="F22" s="7">
        <v>0.137516380174208</v>
      </c>
      <c r="G22" s="7">
        <v>0.15302149154105421</v>
      </c>
      <c r="H22" s="7">
        <v>0.16400963366298141</v>
      </c>
      <c r="I22" s="7">
        <v>0.1661851533919764</v>
      </c>
    </row>
    <row r="23" spans="1:9" x14ac:dyDescent="0.25">
      <c r="A23" s="5" t="s">
        <v>301</v>
      </c>
      <c r="B23" s="7">
        <v>5.7951917011284777E-2</v>
      </c>
      <c r="C23" s="7">
        <v>5.5016334453861088E-2</v>
      </c>
      <c r="D23" s="7">
        <v>4.5354905767488532E-2</v>
      </c>
      <c r="E23" s="7">
        <v>6.4165502084303813E-2</v>
      </c>
      <c r="F23" s="7">
        <v>6.9462314927239449E-2</v>
      </c>
      <c r="G23" s="7">
        <v>6.2693602423690056E-2</v>
      </c>
      <c r="H23" s="7">
        <v>4.1890922138500181E-2</v>
      </c>
      <c r="I23" s="7">
        <v>5.336085257114305E-2</v>
      </c>
    </row>
    <row r="24" spans="1:9" x14ac:dyDescent="0.25">
      <c r="A24" s="5" t="s">
        <v>302</v>
      </c>
      <c r="B24" s="7">
        <v>0.14597790133014291</v>
      </c>
      <c r="C24" s="7">
        <v>0.1222439933798771</v>
      </c>
      <c r="D24" s="7">
        <v>0.1108033340737672</v>
      </c>
      <c r="E24" s="7">
        <v>0.1031933794220803</v>
      </c>
      <c r="F24" s="7">
        <v>0.13622898615122569</v>
      </c>
      <c r="G24" s="7">
        <v>0.10318414836173791</v>
      </c>
      <c r="H24" s="7">
        <v>8.868632982524062E-2</v>
      </c>
      <c r="I24" s="7">
        <v>9.4649097574559499E-2</v>
      </c>
    </row>
    <row r="25" spans="1:9" x14ac:dyDescent="0.25">
      <c r="A25" t="s">
        <v>137</v>
      </c>
      <c r="B25" s="3">
        <v>1.2796400985929339</v>
      </c>
      <c r="C25" s="3">
        <v>1.3626958950807251</v>
      </c>
      <c r="D25" s="3">
        <v>1.0767760167600191</v>
      </c>
      <c r="E25" s="3">
        <v>1.016597306620509</v>
      </c>
      <c r="F25" s="3">
        <v>0.98858132850336655</v>
      </c>
      <c r="G25" s="3">
        <v>0.77090212857585871</v>
      </c>
      <c r="H25" s="3">
        <v>0.73741973725784082</v>
      </c>
      <c r="I25" s="3">
        <v>0.92195631410285017</v>
      </c>
    </row>
    <row r="26" spans="1:9" x14ac:dyDescent="0.25">
      <c r="A26" s="5" t="s">
        <v>303</v>
      </c>
      <c r="B26" s="7">
        <v>9.2372777737021003E-2</v>
      </c>
      <c r="C26" s="7">
        <v>0.31804543506215172</v>
      </c>
      <c r="D26" s="7">
        <v>0.2668723061387045</v>
      </c>
      <c r="E26" s="7">
        <v>0.31913745418568568</v>
      </c>
      <c r="F26" s="7">
        <v>0.1389246298544789</v>
      </c>
      <c r="G26" s="7">
        <v>0.30526437592191469</v>
      </c>
      <c r="H26" s="7">
        <v>0.93658199240942763</v>
      </c>
      <c r="I26" s="7">
        <v>0.57236933739672069</v>
      </c>
    </row>
    <row r="27" spans="1:9" x14ac:dyDescent="0.25">
      <c r="A27" s="5" t="s">
        <v>304</v>
      </c>
      <c r="B27" s="7">
        <v>0</v>
      </c>
      <c r="C27" s="7">
        <v>0</v>
      </c>
      <c r="D27" s="7">
        <v>0</v>
      </c>
      <c r="E27" s="7">
        <v>0</v>
      </c>
      <c r="F27" s="7">
        <v>9.7862767154105731E-2</v>
      </c>
      <c r="G27" s="7">
        <v>0</v>
      </c>
      <c r="H27" s="7">
        <v>0</v>
      </c>
      <c r="I27" s="7">
        <v>0</v>
      </c>
    </row>
    <row r="28" spans="1:9" x14ac:dyDescent="0.25">
      <c r="A28" s="5" t="s">
        <v>305</v>
      </c>
      <c r="B28" s="7">
        <v>0.552368860858375</v>
      </c>
      <c r="C28" s="7">
        <v>0.4134155495978552</v>
      </c>
      <c r="D28" s="7">
        <v>0.47186742612281218</v>
      </c>
      <c r="E28" s="7">
        <v>0.41013422354447021</v>
      </c>
      <c r="F28" s="7">
        <v>0.36461677262331887</v>
      </c>
      <c r="G28" s="7">
        <v>0.78616643930809804</v>
      </c>
      <c r="H28" s="7">
        <v>0.42380796698270251</v>
      </c>
      <c r="I28" s="7">
        <v>0.49091199512631828</v>
      </c>
    </row>
    <row r="29" spans="1:9" x14ac:dyDescent="0.25">
      <c r="A29" s="5" t="s">
        <v>306</v>
      </c>
      <c r="B29" s="7">
        <v>0</v>
      </c>
      <c r="C29" s="7">
        <v>0</v>
      </c>
      <c r="D29" s="7">
        <v>0</v>
      </c>
      <c r="E29" s="7">
        <v>0</v>
      </c>
      <c r="F29" s="7">
        <v>0</v>
      </c>
      <c r="G29" s="7">
        <v>0</v>
      </c>
      <c r="H29" s="7">
        <v>0.30877861409920587</v>
      </c>
      <c r="I29" s="7">
        <v>0</v>
      </c>
    </row>
    <row r="30" spans="1:9" x14ac:dyDescent="0.25">
      <c r="A30" s="5" t="s">
        <v>307</v>
      </c>
      <c r="B30" s="7">
        <v>0.1206982060300648</v>
      </c>
      <c r="C30" s="7">
        <v>6.4231637059180613E-2</v>
      </c>
      <c r="D30" s="7">
        <v>8.8434614275255563E-2</v>
      </c>
      <c r="E30" s="7">
        <v>3.2444094096170599E-2</v>
      </c>
      <c r="F30" s="7">
        <v>7.636155606407323E-2</v>
      </c>
      <c r="G30" s="7">
        <v>6.3618766299226526E-2</v>
      </c>
      <c r="H30" s="7">
        <v>4.9725434870996017E-2</v>
      </c>
      <c r="I30" s="7">
        <v>4.1111587416738107E-2</v>
      </c>
    </row>
    <row r="31" spans="1:9" x14ac:dyDescent="0.25">
      <c r="A31" s="5" t="s">
        <v>308</v>
      </c>
      <c r="B31" s="7">
        <v>3.8596937693514868E-2</v>
      </c>
      <c r="C31" s="7">
        <v>2.2735342290027369E-2</v>
      </c>
      <c r="D31" s="7">
        <v>1.9494914573760989E-2</v>
      </c>
      <c r="E31" s="7">
        <v>2.256563684537468E-2</v>
      </c>
      <c r="F31" s="7">
        <v>3.4942007970308719E-2</v>
      </c>
      <c r="G31" s="7">
        <v>3.1351374347687901E-2</v>
      </c>
      <c r="H31" s="7">
        <v>1.619272327003668E-2</v>
      </c>
      <c r="I31" s="7">
        <v>1.5739769150052461E-2</v>
      </c>
    </row>
    <row r="32" spans="1:9" x14ac:dyDescent="0.25">
      <c r="A32" t="s">
        <v>139</v>
      </c>
      <c r="B32" s="3">
        <v>0.28208450908914751</v>
      </c>
      <c r="C32" s="3">
        <v>0.19584049665711559</v>
      </c>
      <c r="D32" s="3">
        <v>0.2062533961259792</v>
      </c>
      <c r="E32" s="3">
        <v>0.1773571490131863</v>
      </c>
      <c r="F32" s="3">
        <v>0.22154771903339321</v>
      </c>
      <c r="G32" s="3">
        <v>0.26856652601366998</v>
      </c>
      <c r="H32" s="3">
        <v>0.11579638638543489</v>
      </c>
      <c r="I32" s="3">
        <v>0.1582772149046732</v>
      </c>
    </row>
    <row r="33" spans="1:9" x14ac:dyDescent="0.25">
      <c r="A33" t="s">
        <v>141</v>
      </c>
      <c r="B33" s="3">
        <v>0.51224245067044583</v>
      </c>
      <c r="C33" s="3">
        <v>0.33704692016900162</v>
      </c>
      <c r="D33" s="3">
        <v>0.31529989430686289</v>
      </c>
      <c r="E33" s="3">
        <v>0.33921434739822859</v>
      </c>
      <c r="F33" s="3">
        <v>0.31833143668245167</v>
      </c>
      <c r="G33" s="3">
        <v>0.28783182937224411</v>
      </c>
      <c r="H33" s="3">
        <v>0.27159292826015752</v>
      </c>
      <c r="I33" s="3">
        <v>0.38097027882749462</v>
      </c>
    </row>
    <row r="34" spans="1:9" x14ac:dyDescent="0.25">
      <c r="A34" s="5" t="s">
        <v>309</v>
      </c>
      <c r="B34" s="7">
        <v>6.1020044746815223E-2</v>
      </c>
      <c r="C34" s="7">
        <v>6.9119327023603142E-2</v>
      </c>
      <c r="D34" s="7">
        <v>9.417638704919766E-2</v>
      </c>
      <c r="E34" s="7">
        <v>7.6803355057563402E-2</v>
      </c>
      <c r="F34" s="7">
        <v>6.6950876086146069E-2</v>
      </c>
      <c r="G34" s="7">
        <v>0.13442126165747409</v>
      </c>
      <c r="H34" s="7">
        <v>5.46540217627631E-2</v>
      </c>
      <c r="I34" s="7">
        <v>5.3403214013139987E-2</v>
      </c>
    </row>
    <row r="35" spans="1:9" x14ac:dyDescent="0.25">
      <c r="A35" s="5" t="s">
        <v>310</v>
      </c>
      <c r="B35" s="7">
        <v>0.1244059685620285</v>
      </c>
      <c r="C35" s="7">
        <v>0.1200849855112302</v>
      </c>
      <c r="D35" s="7">
        <v>0.13163299474149251</v>
      </c>
      <c r="E35" s="7">
        <v>0.13086973578726521</v>
      </c>
      <c r="F35" s="7">
        <v>0.13968599335366469</v>
      </c>
      <c r="G35" s="7">
        <v>0.1126671142615579</v>
      </c>
      <c r="H35" s="7">
        <v>0.1031108104184293</v>
      </c>
      <c r="I35" s="7">
        <v>0.13057895795270269</v>
      </c>
    </row>
    <row r="36" spans="1:9" x14ac:dyDescent="0.25">
      <c r="A36" s="5" t="s">
        <v>311</v>
      </c>
      <c r="B36" s="7">
        <v>0.1048457736206333</v>
      </c>
      <c r="C36" s="7">
        <v>8.6571155682903536E-2</v>
      </c>
      <c r="D36" s="7">
        <v>0.1000384671106532</v>
      </c>
      <c r="E36" s="7">
        <v>9.8264215310958414E-2</v>
      </c>
      <c r="F36" s="7">
        <v>0.1068295111689456</v>
      </c>
      <c r="G36" s="7">
        <v>0.1094485571047935</v>
      </c>
      <c r="H36" s="7">
        <v>7.0282093152162509E-2</v>
      </c>
      <c r="I36" s="7">
        <v>6.7017268069072281E-2</v>
      </c>
    </row>
    <row r="37" spans="1:9" x14ac:dyDescent="0.25">
      <c r="A37" s="5" t="s">
        <v>312</v>
      </c>
      <c r="B37" s="7">
        <v>1.714965076534403E-2</v>
      </c>
      <c r="C37" s="7">
        <v>1.433573390667057E-2</v>
      </c>
      <c r="D37" s="7">
        <v>1.2402792891700379E-2</v>
      </c>
      <c r="E37" s="7">
        <v>7.7822183841102163E-3</v>
      </c>
      <c r="F37" s="7">
        <v>1.9625925082810299E-2</v>
      </c>
      <c r="G37" s="7">
        <v>2.0468132478963268E-2</v>
      </c>
      <c r="H37" s="7">
        <v>1.8989038332074899E-2</v>
      </c>
      <c r="I37" s="7">
        <v>1.6775930403569561E-2</v>
      </c>
    </row>
    <row r="38" spans="1:9" x14ac:dyDescent="0.25">
      <c r="A38" s="5" t="s">
        <v>313</v>
      </c>
      <c r="B38" s="7">
        <v>0.1278505888507161</v>
      </c>
      <c r="C38" s="7">
        <v>0.12846753826336549</v>
      </c>
      <c r="D38" s="7">
        <v>0.152744745769441</v>
      </c>
      <c r="E38" s="7">
        <v>0.12317846655190511</v>
      </c>
      <c r="F38" s="7">
        <v>0.15399535182402321</v>
      </c>
      <c r="G38" s="7">
        <v>7.3422651998058738E-2</v>
      </c>
      <c r="H38" s="7">
        <v>4.7002995924185532E-2</v>
      </c>
      <c r="I38" s="7">
        <v>6.3741329713050215E-2</v>
      </c>
    </row>
    <row r="40" spans="1:9" x14ac:dyDescent="0.25">
      <c r="A40" s="4" t="s">
        <v>148</v>
      </c>
    </row>
    <row r="41" spans="1:9" x14ac:dyDescent="0.25">
      <c r="A41" s="5" t="s">
        <v>150</v>
      </c>
      <c r="B41" s="7">
        <v>-1.448629313879346</v>
      </c>
      <c r="C41" s="7">
        <v>-0.93514051086158212</v>
      </c>
      <c r="D41" s="7">
        <v>-1.2345713139546191</v>
      </c>
      <c r="E41" s="7">
        <v>-1.170441025641026</v>
      </c>
      <c r="F41" s="7">
        <v>-1.1300965547509321</v>
      </c>
      <c r="G41" s="7">
        <v>-1.1012764880568431</v>
      </c>
      <c r="H41" s="7">
        <v>-0.68182906101686314</v>
      </c>
      <c r="I41" s="7">
        <v>-0.52274609098436364</v>
      </c>
    </row>
    <row r="43" spans="1:9" x14ac:dyDescent="0.25">
      <c r="B43"/>
      <c r="C43"/>
      <c r="D43"/>
      <c r="E43"/>
      <c r="F43"/>
      <c r="G43"/>
      <c r="H43"/>
      <c r="I43"/>
    </row>
    <row r="44" spans="1:9" x14ac:dyDescent="0.25">
      <c r="B44"/>
      <c r="C44"/>
      <c r="D44"/>
      <c r="E44"/>
      <c r="F44"/>
      <c r="G44"/>
      <c r="H44"/>
      <c r="I44"/>
    </row>
    <row r="45" spans="1:9" x14ac:dyDescent="0.25">
      <c r="A45" s="161" t="s">
        <v>330</v>
      </c>
      <c r="B45" s="161"/>
      <c r="C45" s="161"/>
      <c r="D45" s="161"/>
      <c r="E45" s="161"/>
      <c r="F45" s="161"/>
      <c r="G45" s="161"/>
      <c r="H45" s="161"/>
      <c r="I45" s="161"/>
    </row>
    <row r="46" spans="1:9" x14ac:dyDescent="0.25">
      <c r="A46" s="161"/>
      <c r="B46" s="161"/>
      <c r="C46" s="161"/>
      <c r="D46" s="161"/>
      <c r="E46" s="161"/>
      <c r="F46" s="161"/>
      <c r="G46" s="161"/>
      <c r="H46" s="161"/>
      <c r="I46" s="161"/>
    </row>
    <row r="47" spans="1:9" x14ac:dyDescent="0.25">
      <c r="A47" s="1" t="s">
        <v>289</v>
      </c>
      <c r="B47" s="2" t="s">
        <v>290</v>
      </c>
      <c r="C47" s="2" t="s">
        <v>48</v>
      </c>
      <c r="D47" s="2" t="s">
        <v>291</v>
      </c>
      <c r="E47" s="2" t="s">
        <v>292</v>
      </c>
      <c r="F47" s="2" t="s">
        <v>293</v>
      </c>
      <c r="G47" s="2" t="s">
        <v>294</v>
      </c>
      <c r="H47" s="2" t="s">
        <v>295</v>
      </c>
      <c r="I47" s="2" t="s">
        <v>296</v>
      </c>
    </row>
    <row r="48" spans="1:9" x14ac:dyDescent="0.25">
      <c r="A48" s="1" t="s">
        <v>15</v>
      </c>
      <c r="B48" s="2"/>
      <c r="C48" s="2"/>
      <c r="D48" s="2"/>
      <c r="E48" s="2"/>
      <c r="F48" s="2"/>
      <c r="G48" s="2"/>
      <c r="H48" s="2"/>
      <c r="I48" s="2"/>
    </row>
    <row r="49" spans="1:9" x14ac:dyDescent="0.25">
      <c r="A49" t="s">
        <v>297</v>
      </c>
      <c r="B49" s="3">
        <v>39</v>
      </c>
      <c r="C49" s="3">
        <v>69</v>
      </c>
      <c r="D49" s="3">
        <v>28</v>
      </c>
      <c r="E49" s="3">
        <v>57</v>
      </c>
      <c r="F49" s="3">
        <v>33</v>
      </c>
      <c r="G49" s="3">
        <v>24</v>
      </c>
      <c r="H49" s="3">
        <v>37</v>
      </c>
      <c r="I49" s="3">
        <v>39</v>
      </c>
    </row>
    <row r="50" spans="1:9" x14ac:dyDescent="0.25">
      <c r="A50" t="s">
        <v>20</v>
      </c>
      <c r="B50" s="3">
        <v>110</v>
      </c>
      <c r="C50" s="3">
        <v>109</v>
      </c>
      <c r="D50" s="3">
        <v>129</v>
      </c>
      <c r="E50" s="3">
        <v>97</v>
      </c>
      <c r="F50" s="3">
        <v>138</v>
      </c>
      <c r="G50" s="3">
        <v>147.5</v>
      </c>
      <c r="H50" s="3">
        <v>210</v>
      </c>
      <c r="I50" s="3">
        <v>205</v>
      </c>
    </row>
    <row r="51" spans="1:9" x14ac:dyDescent="0.25">
      <c r="A51" t="s">
        <v>24</v>
      </c>
      <c r="B51" s="3">
        <v>230</v>
      </c>
      <c r="C51" s="3">
        <v>310</v>
      </c>
      <c r="D51" s="3">
        <v>377</v>
      </c>
      <c r="E51" s="3">
        <v>252</v>
      </c>
      <c r="F51" s="3">
        <v>325</v>
      </c>
      <c r="G51" s="3">
        <v>390</v>
      </c>
      <c r="H51" s="3">
        <v>780</v>
      </c>
      <c r="I51" s="3">
        <v>600</v>
      </c>
    </row>
    <row r="52" spans="1:9" x14ac:dyDescent="0.25">
      <c r="A52" t="s">
        <v>31</v>
      </c>
      <c r="B52" s="3">
        <v>2.4318181818181821</v>
      </c>
      <c r="C52" s="3">
        <v>2.954545454545455</v>
      </c>
      <c r="D52" s="3">
        <v>2.9083333333333332</v>
      </c>
      <c r="E52" s="3">
        <v>2.7397260273972601</v>
      </c>
      <c r="F52" s="3">
        <v>2.4920634920634921</v>
      </c>
      <c r="G52" s="3">
        <v>2.5964432284541732</v>
      </c>
      <c r="H52" s="3">
        <v>3.5882352941176472</v>
      </c>
      <c r="I52" s="3">
        <v>2.9333333333333331</v>
      </c>
    </row>
    <row r="53" spans="1:9" x14ac:dyDescent="0.25">
      <c r="A53" t="s">
        <v>35</v>
      </c>
      <c r="B53" s="3">
        <v>75422.7</v>
      </c>
      <c r="C53" s="3">
        <v>121734</v>
      </c>
      <c r="D53" s="3">
        <v>127676.5</v>
      </c>
      <c r="E53" s="3">
        <v>107211</v>
      </c>
      <c r="F53" s="3">
        <v>118711</v>
      </c>
      <c r="G53" s="3">
        <v>138561.5</v>
      </c>
      <c r="H53" s="3">
        <v>362262</v>
      </c>
      <c r="I53" s="3">
        <v>263482</v>
      </c>
    </row>
    <row r="54" spans="1:9" x14ac:dyDescent="0.25">
      <c r="A54" t="s">
        <v>39</v>
      </c>
      <c r="B54" s="3">
        <v>796.18867924528297</v>
      </c>
      <c r="C54" s="3">
        <v>1092.191780821918</v>
      </c>
      <c r="D54" s="3">
        <v>1084.6811313973051</v>
      </c>
      <c r="E54" s="3">
        <v>1133.607843137255</v>
      </c>
      <c r="F54" s="3">
        <v>933.11199999999997</v>
      </c>
      <c r="G54" s="3">
        <v>1023.4104826545999</v>
      </c>
      <c r="H54" s="3">
        <v>1640.4929577464791</v>
      </c>
      <c r="I54" s="3">
        <v>1224.9918032786891</v>
      </c>
    </row>
    <row r="55" spans="1:9" x14ac:dyDescent="0.25">
      <c r="A55" t="s">
        <v>42</v>
      </c>
      <c r="B55" s="3">
        <v>315.86486486486478</v>
      </c>
      <c r="C55" s="3">
        <v>376.93258426966293</v>
      </c>
      <c r="D55" s="3">
        <v>369.50185519315289</v>
      </c>
      <c r="E55" s="3">
        <v>397.58181818181822</v>
      </c>
      <c r="F55" s="3">
        <v>380.81376518218622</v>
      </c>
      <c r="G55" s="3">
        <v>390.23979940733989</v>
      </c>
      <c r="H55" s="3">
        <v>465.43142857142863</v>
      </c>
      <c r="I55" s="3">
        <v>432.64696223316912</v>
      </c>
    </row>
    <row r="56" spans="1:9" x14ac:dyDescent="0.25">
      <c r="A56" t="s">
        <v>45</v>
      </c>
      <c r="B56" s="3">
        <v>7.083385007780417</v>
      </c>
      <c r="C56" s="3">
        <v>7.0461304494761743</v>
      </c>
      <c r="D56" s="3">
        <v>6.9967860546952814</v>
      </c>
      <c r="E56" s="3">
        <v>7.0328152760062137</v>
      </c>
      <c r="F56" s="3">
        <v>7.0166504229135986</v>
      </c>
      <c r="G56" s="3">
        <v>6.9953558989063573</v>
      </c>
      <c r="H56" s="3">
        <v>7.0145332261255984</v>
      </c>
      <c r="I56" s="3">
        <v>7.0660575703656372</v>
      </c>
    </row>
    <row r="58" spans="1:9" x14ac:dyDescent="0.25">
      <c r="A58" s="4" t="s">
        <v>123</v>
      </c>
    </row>
    <row r="59" spans="1:9" x14ac:dyDescent="0.25">
      <c r="A59" t="s">
        <v>125</v>
      </c>
      <c r="B59" s="3">
        <v>7.083385007780417</v>
      </c>
      <c r="C59" s="3">
        <v>7.0461304494761743</v>
      </c>
      <c r="D59" s="3">
        <v>6.9967860546952814</v>
      </c>
      <c r="E59" s="3">
        <v>7.0328152760062137</v>
      </c>
      <c r="F59" s="3">
        <v>7.0166504229135986</v>
      </c>
      <c r="G59" s="3">
        <v>6.9953558989063573</v>
      </c>
      <c r="H59" s="3">
        <v>7.0145332261255984</v>
      </c>
      <c r="I59" s="3">
        <v>7.0660575703656372</v>
      </c>
    </row>
    <row r="60" spans="1:9" x14ac:dyDescent="0.25">
      <c r="A60" t="s">
        <v>127</v>
      </c>
      <c r="B60" s="3">
        <v>0.81823707714003213</v>
      </c>
      <c r="C60" s="3">
        <v>0.47500355063201249</v>
      </c>
      <c r="D60" s="3">
        <v>0.56797002188614454</v>
      </c>
      <c r="E60" s="3">
        <v>0.43153554216076379</v>
      </c>
      <c r="F60" s="3">
        <v>0.52336280875779029</v>
      </c>
      <c r="G60" s="3">
        <v>0.41604164646733183</v>
      </c>
      <c r="H60" s="3">
        <v>0.42819894314350287</v>
      </c>
      <c r="I60" s="3">
        <v>0.39619200332939603</v>
      </c>
    </row>
    <row r="61" spans="1:9" x14ac:dyDescent="0.25">
      <c r="A61" s="8" t="s">
        <v>129</v>
      </c>
      <c r="B61" s="9">
        <v>3.2237866377851483E-2</v>
      </c>
      <c r="C61" s="9">
        <v>2.777539648521217E-2</v>
      </c>
      <c r="D61" s="9">
        <v>9.2974989825886142E-3</v>
      </c>
      <c r="E61" s="9">
        <v>4.6163854250758293E-3</v>
      </c>
      <c r="F61" s="9">
        <v>1.0302830809743251E-2</v>
      </c>
      <c r="G61" s="9">
        <v>1.5522276415826311E-2</v>
      </c>
      <c r="H61" s="9">
        <v>9.8593964334705068E-4</v>
      </c>
      <c r="I61" s="9">
        <v>1.2496987333410699E-4</v>
      </c>
    </row>
    <row r="62" spans="1:9" x14ac:dyDescent="0.25">
      <c r="A62" t="s">
        <v>131</v>
      </c>
      <c r="B62" s="3">
        <v>7.9200139106242391</v>
      </c>
      <c r="C62" s="3">
        <v>7.605085819217968</v>
      </c>
      <c r="D62" s="3">
        <v>7.6317165619003839</v>
      </c>
      <c r="E62" s="3">
        <v>7.4908532823297138</v>
      </c>
      <c r="F62" s="3">
        <v>7.6572413585647929</v>
      </c>
      <c r="G62" s="3">
        <v>7.4858682042887974</v>
      </c>
      <c r="H62" s="3">
        <v>7.4527819301990004</v>
      </c>
      <c r="I62" s="3">
        <v>7.478566972899686</v>
      </c>
    </row>
    <row r="64" spans="1:9" x14ac:dyDescent="0.25">
      <c r="A64" s="4" t="s">
        <v>133</v>
      </c>
    </row>
    <row r="65" spans="1:9" x14ac:dyDescent="0.25">
      <c r="A65" t="s">
        <v>135</v>
      </c>
      <c r="B65" s="3">
        <v>0.38202951756061132</v>
      </c>
      <c r="C65" s="3">
        <v>0.61635689356287815</v>
      </c>
      <c r="D65" s="3">
        <v>0.66994575383355548</v>
      </c>
      <c r="E65" s="3">
        <v>0.32609880706380501</v>
      </c>
      <c r="F65" s="3">
        <v>0.72176233772108378</v>
      </c>
      <c r="G65" s="3">
        <v>0.59627196595694598</v>
      </c>
      <c r="H65" s="3">
        <v>0.76925084207905792</v>
      </c>
      <c r="I65" s="3">
        <v>0.77212259664453142</v>
      </c>
    </row>
    <row r="66" spans="1:9" x14ac:dyDescent="0.25">
      <c r="A66" t="s">
        <v>137</v>
      </c>
      <c r="B66" s="3">
        <v>1.2796400985929339</v>
      </c>
      <c r="C66" s="3">
        <v>1.3626958950807251</v>
      </c>
      <c r="D66" s="3">
        <v>1.0767760167600191</v>
      </c>
      <c r="E66" s="3">
        <v>1.016597306620509</v>
      </c>
      <c r="F66" s="3">
        <v>0.98858132850336655</v>
      </c>
      <c r="G66" s="3">
        <v>0.77090212857585871</v>
      </c>
      <c r="H66" s="3">
        <v>0.73741973725784082</v>
      </c>
      <c r="I66" s="3">
        <v>0.92195631410285017</v>
      </c>
    </row>
    <row r="67" spans="1:9" x14ac:dyDescent="0.25">
      <c r="A67" t="s">
        <v>139</v>
      </c>
      <c r="B67" s="3">
        <v>0.28208450908914751</v>
      </c>
      <c r="C67" s="3">
        <v>0.19584049665711559</v>
      </c>
      <c r="D67" s="3">
        <v>0.2062533961259792</v>
      </c>
      <c r="E67" s="3">
        <v>0.1773571490131863</v>
      </c>
      <c r="F67" s="3">
        <v>0.22154771903339321</v>
      </c>
      <c r="G67" s="3">
        <v>0.26856652601366998</v>
      </c>
      <c r="H67" s="3">
        <v>0.11579638638543489</v>
      </c>
      <c r="I67" s="3">
        <v>0.1582772149046732</v>
      </c>
    </row>
    <row r="68" spans="1:9" x14ac:dyDescent="0.25">
      <c r="A68" t="s">
        <v>141</v>
      </c>
      <c r="B68" s="3">
        <v>0.51224245067044583</v>
      </c>
      <c r="C68" s="3">
        <v>0.33704692016900162</v>
      </c>
      <c r="D68" s="3">
        <v>0.31529989430686289</v>
      </c>
      <c r="E68" s="3">
        <v>0.33921434739822859</v>
      </c>
      <c r="F68" s="3">
        <v>0.31833143668245167</v>
      </c>
      <c r="G68" s="3">
        <v>0.28783182937224411</v>
      </c>
      <c r="H68" s="3">
        <v>0.27159292826015752</v>
      </c>
      <c r="I68" s="3">
        <v>0.38097027882749462</v>
      </c>
    </row>
    <row r="69" spans="1:9" x14ac:dyDescent="0.25">
      <c r="A69" t="s">
        <v>143</v>
      </c>
    </row>
    <row r="70" spans="1:9" x14ac:dyDescent="0.25">
      <c r="A70" t="s">
        <v>331</v>
      </c>
    </row>
    <row r="71" spans="1:9" x14ac:dyDescent="0.25">
      <c r="A71" s="8" t="s">
        <v>145</v>
      </c>
      <c r="B71" s="9">
        <f t="shared" ref="B71:I71" si="0">SUM(B21:B24,B26:B31,B34:B38)</f>
        <v>1.8646036243238062</v>
      </c>
      <c r="C71" s="9">
        <f t="shared" si="0"/>
        <v>1.8458128771216806</v>
      </c>
      <c r="D71" s="9">
        <f t="shared" si="0"/>
        <v>1.9052432897184164</v>
      </c>
      <c r="E71" s="9">
        <f t="shared" si="0"/>
        <v>1.7676518994309185</v>
      </c>
      <c r="F71" s="9">
        <f t="shared" si="0"/>
        <v>1.7712799021405556</v>
      </c>
      <c r="G71" s="9">
        <f t="shared" si="0"/>
        <v>2.1609964057505926</v>
      </c>
      <c r="H71" s="9">
        <f t="shared" si="0"/>
        <v>2.5565448703544136</v>
      </c>
      <c r="I71" s="9">
        <f t="shared" si="0"/>
        <v>1.9833356306935876</v>
      </c>
    </row>
    <row r="72" spans="1:9" x14ac:dyDescent="0.25">
      <c r="A72" t="s">
        <v>147</v>
      </c>
    </row>
    <row r="74" spans="1:9" x14ac:dyDescent="0.25">
      <c r="A74" s="4" t="s">
        <v>148</v>
      </c>
    </row>
    <row r="75" spans="1:9" x14ac:dyDescent="0.25">
      <c r="A75" t="s">
        <v>150</v>
      </c>
      <c r="B75" s="3">
        <v>-1.448629313879346</v>
      </c>
      <c r="C75" s="3">
        <v>-0.93514051086158212</v>
      </c>
      <c r="D75" s="3">
        <v>-1.2345713139546191</v>
      </c>
      <c r="E75" s="3">
        <v>-1.170441025641026</v>
      </c>
      <c r="F75" s="3">
        <v>-1.1300965547509321</v>
      </c>
      <c r="G75" s="3">
        <v>-1.1012764880568431</v>
      </c>
      <c r="H75" s="3">
        <v>-0.68182906101686314</v>
      </c>
      <c r="I75" s="3">
        <v>-0.52274609098436364</v>
      </c>
    </row>
  </sheetData>
  <mergeCells count="1">
    <mergeCell ref="A45:I46"/>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Assumptions</vt:lpstr>
      <vt:lpstr>Instructions</vt:lpstr>
      <vt:lpstr>Inputs</vt:lpstr>
      <vt:lpstr>Output</vt:lpstr>
      <vt:lpstr>Fine Tuning</vt:lpstr>
      <vt:lpstr>Financials</vt:lpstr>
      <vt:lpstr>sub-models</vt:lpstr>
      <vt:lpstr>financial input</vt:lpstr>
      <vt:lpstr>grouped input data</vt:lpstr>
      <vt:lpstr>raw input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 Marmont</cp:lastModifiedBy>
  <cp:revision/>
  <dcterms:created xsi:type="dcterms:W3CDTF">2021-07-27T00:46:33Z</dcterms:created>
  <dcterms:modified xsi:type="dcterms:W3CDTF">2022-11-24T02:04:52Z</dcterms:modified>
  <cp:category/>
  <cp:contentStatus/>
</cp:coreProperties>
</file>