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aaudk.sharepoint.com/sites/P5-Robotics/Delte dokumenter/General/Projekt/"/>
    </mc:Choice>
  </mc:AlternateContent>
  <xr:revisionPtr revIDLastSave="645" documentId="13_ncr:1_{B47F79B0-3653-401D-A47E-BEA7D4C7EDA5}" xr6:coauthVersionLast="47" xr6:coauthVersionMax="47" xr10:uidLastSave="{E6E16D96-63A0-42A0-9E09-C93DA3272FE6}"/>
  <bookViews>
    <workbookView xWindow="-108" yWindow="-108" windowWidth="23256" windowHeight="12576" xr2:uid="{00000000-000D-0000-FFFF-FFFF00000000}"/>
  </bookViews>
  <sheets>
    <sheet name="Sizing" sheetId="1" r:id="rId1"/>
    <sheet name="Data" sheetId="2" r:id="rId2"/>
    <sheet name="Tests" sheetId="3" r:id="rId3"/>
    <sheet name="Focus comparison" sheetId="5" r:id="rId4"/>
    <sheet name="Calibration formula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2" i="3"/>
  <c r="E30" i="1"/>
  <c r="J22" i="1"/>
  <c r="J23" i="1"/>
  <c r="C29" i="2" l="1"/>
  <c r="B8" i="1" s="1"/>
  <c r="B21" i="2"/>
  <c r="H30" i="1" l="1"/>
  <c r="C20" i="1" l="1"/>
  <c r="D20" i="1"/>
  <c r="E20" i="1"/>
  <c r="F20" i="1"/>
  <c r="G20" i="1"/>
  <c r="B20" i="1"/>
  <c r="H20" i="1"/>
  <c r="H14" i="2"/>
  <c r="I12" i="1"/>
  <c r="I21" i="1"/>
  <c r="I22" i="1"/>
  <c r="I23" i="1"/>
  <c r="I25" i="1"/>
  <c r="I26" i="1"/>
  <c r="B33" i="1" l="1"/>
  <c r="B34" i="1"/>
  <c r="B49" i="1"/>
  <c r="C12" i="1" l="1"/>
  <c r="D12" i="1"/>
  <c r="E12" i="1"/>
  <c r="F12" i="1"/>
  <c r="G12" i="1"/>
  <c r="G13" i="1" s="1"/>
  <c r="B12" i="1"/>
  <c r="B13" i="1" l="1"/>
  <c r="C13" i="1"/>
  <c r="F13" i="1"/>
  <c r="E13" i="1"/>
  <c r="H13" i="1" s="1"/>
  <c r="H12" i="1"/>
  <c r="D13" i="1"/>
  <c r="B7" i="1"/>
  <c r="B6" i="1"/>
  <c r="B4" i="1"/>
  <c r="B3" i="1"/>
  <c r="D6" i="2"/>
  <c r="C6" i="2"/>
  <c r="B11" i="2"/>
  <c r="C11" i="2"/>
  <c r="D11" i="2"/>
  <c r="B15" i="1" l="1"/>
  <c r="B16" i="1" s="1"/>
  <c r="D16" i="1" s="1"/>
  <c r="E17" i="1" s="1"/>
  <c r="D4" i="1"/>
  <c r="C23" i="1" l="1"/>
  <c r="C26" i="1" s="1"/>
  <c r="D22" i="1"/>
  <c r="D25" i="1" s="1"/>
  <c r="F23" i="1"/>
  <c r="F26" i="1" s="1"/>
  <c r="B23" i="1"/>
  <c r="B26" i="1" s="1"/>
  <c r="B22" i="1"/>
  <c r="B25" i="1" s="1"/>
  <c r="D23" i="1"/>
  <c r="D26" i="1" s="1"/>
  <c r="E22" i="1"/>
  <c r="E25" i="1" s="1"/>
  <c r="G23" i="1"/>
  <c r="G26" i="1" s="1"/>
  <c r="G22" i="1"/>
  <c r="G25" i="1" s="1"/>
  <c r="F22" i="1"/>
  <c r="F25" i="1" s="1"/>
  <c r="E23" i="1"/>
  <c r="E26" i="1" s="1"/>
  <c r="C22" i="1"/>
  <c r="C25" i="1" s="1"/>
  <c r="H17" i="1"/>
  <c r="E18" i="1"/>
  <c r="H18" i="1" s="1"/>
  <c r="E19" i="1"/>
  <c r="H19" i="1" s="1"/>
  <c r="G17" i="1"/>
  <c r="C17" i="1"/>
  <c r="D17" i="1"/>
  <c r="B17" i="1"/>
  <c r="F17" i="1"/>
  <c r="H25" i="1" l="1"/>
  <c r="H26" i="1"/>
  <c r="H23" i="1"/>
  <c r="H22" i="1"/>
  <c r="D19" i="1"/>
  <c r="D18" i="1"/>
  <c r="G18" i="1"/>
  <c r="G19" i="1"/>
  <c r="B18" i="1"/>
  <c r="B19" i="1"/>
  <c r="C18" i="1"/>
  <c r="C19" i="1"/>
  <c r="F19" i="1"/>
  <c r="F18" i="1"/>
  <c r="D21" i="1" l="1"/>
  <c r="F21" i="1"/>
  <c r="G21" i="1"/>
  <c r="B21" i="1"/>
  <c r="C21" i="1"/>
  <c r="E21" i="1"/>
  <c r="H21" i="1" s="1"/>
</calcChain>
</file>

<file path=xl/sharedStrings.xml><?xml version="1.0" encoding="utf-8"?>
<sst xmlns="http://schemas.openxmlformats.org/spreadsheetml/2006/main" count="78" uniqueCount="55">
  <si>
    <t>Sensor</t>
  </si>
  <si>
    <t>MP</t>
  </si>
  <si>
    <t>Sensor Size</t>
  </si>
  <si>
    <t>Inch</t>
  </si>
  <si>
    <t>Sensor Pixel Size</t>
  </si>
  <si>
    <t>µm</t>
  </si>
  <si>
    <t>mm</t>
  </si>
  <si>
    <t>Resolution X</t>
  </si>
  <si>
    <t>Px</t>
  </si>
  <si>
    <t>Resolution Y</t>
  </si>
  <si>
    <t>Distance</t>
  </si>
  <si>
    <t>Distance between the object and camera/sensor (optics)</t>
  </si>
  <si>
    <t>Distance between the object and camera/sensor (front glass)</t>
  </si>
  <si>
    <t>Binning</t>
  </si>
  <si>
    <t>OFF</t>
  </si>
  <si>
    <t>Focal Length</t>
  </si>
  <si>
    <t>Aperture</t>
  </si>
  <si>
    <t>f-number</t>
  </si>
  <si>
    <t>Pixel Size with Binning</t>
  </si>
  <si>
    <t>For Binnig the pixel size will be the double size</t>
  </si>
  <si>
    <t>Circle of Confusion</t>
  </si>
  <si>
    <t>Used: Pixel Diagonal. The Circle of Confusion is the maximum size that a spot of light can be to be indistinguishable from a single point to the final viewer - bigger than the circle of confusion and we see a blur - smaller and we see what looks like a focused single dot.</t>
  </si>
  <si>
    <t>Hyperfocal Distance</t>
  </si>
  <si>
    <t>Hyperfocal distance is a distance beyond which all objects can be brought into an "acceptable" focus. In other words, it is the closest distance at which a lens can be focused while keeping objects acceptably sharp.</t>
  </si>
  <si>
    <t>Far Distance</t>
  </si>
  <si>
    <t>Near Distance</t>
  </si>
  <si>
    <t>Valid distance</t>
  </si>
  <si>
    <t>Depth of Field</t>
  </si>
  <si>
    <t>The depth of field (DOF) is the range within which the object can move away towards the camera without resulting in a blurred image.</t>
  </si>
  <si>
    <t>Width FoV at  Distance</t>
  </si>
  <si>
    <t>Height FoV at  Distance</t>
  </si>
  <si>
    <t>Resolution X  in Image</t>
  </si>
  <si>
    <t>Resolution Y in Image</t>
  </si>
  <si>
    <t>Python 1300</t>
  </si>
  <si>
    <t>IMX265(1/1,8")</t>
  </si>
  <si>
    <t>IMX264 (2/3")</t>
  </si>
  <si>
    <t>Focal length</t>
  </si>
  <si>
    <t>f-Number</t>
  </si>
  <si>
    <t>Minimum Object distance</t>
  </si>
  <si>
    <t>Maximum Object distance</t>
  </si>
  <si>
    <t>ON</t>
  </si>
  <si>
    <t>Pixel multiplier</t>
  </si>
  <si>
    <t>used Pixel multiplier</t>
  </si>
  <si>
    <t>Distance Optics - Front glass</t>
  </si>
  <si>
    <t>Unit</t>
  </si>
  <si>
    <t>Value</t>
  </si>
  <si>
    <t>cm</t>
  </si>
  <si>
    <t>inch</t>
  </si>
  <si>
    <t>Used Value</t>
  </si>
  <si>
    <t>Real</t>
  </si>
  <si>
    <t>AutoFocus</t>
  </si>
  <si>
    <t>PAPIR</t>
  </si>
  <si>
    <t>iPad</t>
  </si>
  <si>
    <t>Real distance</t>
  </si>
  <si>
    <t>Auto-focus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</si>
</sst>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5" borderId="2" applyNumberFormat="0" applyAlignment="0" applyProtection="0"/>
  </cellStyleXfs>
  <cellXfs count="48">
    <xf numFmtId="0" fontId="0" fillId="0" borderId="0" xfId="0"/>
    <xf numFmtId="0" fontId="0" fillId="0" borderId="0" xfId="0" applyBorder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12" fontId="0" fillId="0" borderId="1" xfId="0" quotePrefix="1" applyNumberFormat="1" applyBorder="1" applyAlignment="1">
      <alignment horizontal="right"/>
    </xf>
    <xf numFmtId="0" fontId="0" fillId="0" borderId="1" xfId="0" applyFill="1" applyBorder="1"/>
    <xf numFmtId="0" fontId="0" fillId="4" borderId="1" xfId="0" applyFill="1" applyBorder="1"/>
    <xf numFmtId="0" fontId="3" fillId="0" borderId="0" xfId="0" applyFont="1" applyBorder="1"/>
    <xf numFmtId="12" fontId="0" fillId="0" borderId="0" xfId="0" quotePrefix="1" applyNumberFormat="1" applyBorder="1" applyAlignment="1">
      <alignment horizontal="right"/>
    </xf>
    <xf numFmtId="0" fontId="0" fillId="0" borderId="0" xfId="0" applyFill="1" applyBorder="1"/>
    <xf numFmtId="0" fontId="0" fillId="0" borderId="1" xfId="0" applyBorder="1" applyAlignment="1">
      <alignment horizontal="right"/>
    </xf>
    <xf numFmtId="0" fontId="2" fillId="2" borderId="0" xfId="1" applyBorder="1"/>
    <xf numFmtId="0" fontId="1" fillId="3" borderId="0" xfId="2" applyBorder="1"/>
    <xf numFmtId="0" fontId="4" fillId="0" borderId="0" xfId="0" quotePrefix="1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2" fillId="2" borderId="0" xfId="1"/>
    <xf numFmtId="0" fontId="5" fillId="5" borderId="2" xfId="3" applyAlignment="1">
      <alignment horizontal="right"/>
    </xf>
    <xf numFmtId="0" fontId="2" fillId="2" borderId="1" xfId="1" applyBorder="1" applyAlignment="1">
      <alignment horizontal="right"/>
    </xf>
    <xf numFmtId="0" fontId="2" fillId="2" borderId="1" xfId="1" applyBorder="1"/>
    <xf numFmtId="0" fontId="1" fillId="3" borderId="1" xfId="2" applyBorder="1"/>
    <xf numFmtId="0" fontId="0" fillId="0" borderId="1" xfId="0" applyBorder="1" applyAlignment="1">
      <alignment horizontal="center"/>
    </xf>
    <xf numFmtId="164" fontId="2" fillId="2" borderId="1" xfId="1" applyNumberFormat="1" applyBorder="1"/>
    <xf numFmtId="0" fontId="2" fillId="2" borderId="3" xfId="1" applyBorder="1"/>
    <xf numFmtId="0" fontId="0" fillId="0" borderId="3" xfId="0" applyBorder="1"/>
    <xf numFmtId="0" fontId="1" fillId="3" borderId="3" xfId="2" applyBorder="1"/>
    <xf numFmtId="0" fontId="0" fillId="0" borderId="3" xfId="0" applyBorder="1" applyAlignment="1">
      <alignment horizontal="center"/>
    </xf>
    <xf numFmtId="164" fontId="2" fillId="2" borderId="3" xfId="1" applyNumberFormat="1" applyBorder="1"/>
    <xf numFmtId="0" fontId="2" fillId="2" borderId="4" xfId="1" applyBorder="1"/>
    <xf numFmtId="0" fontId="0" fillId="0" borderId="4" xfId="0" applyBorder="1"/>
    <xf numFmtId="0" fontId="1" fillId="3" borderId="4" xfId="2" applyBorder="1"/>
    <xf numFmtId="0" fontId="0" fillId="0" borderId="4" xfId="0" applyBorder="1" applyAlignment="1">
      <alignment horizontal="center"/>
    </xf>
    <xf numFmtId="164" fontId="2" fillId="2" borderId="4" xfId="1" applyNumberFormat="1" applyBorder="1"/>
    <xf numFmtId="0" fontId="2" fillId="2" borderId="5" xfId="1" applyBorder="1"/>
    <xf numFmtId="0" fontId="2" fillId="2" borderId="6" xfId="1" applyBorder="1"/>
    <xf numFmtId="0" fontId="0" fillId="0" borderId="6" xfId="0" applyBorder="1"/>
    <xf numFmtId="0" fontId="0" fillId="0" borderId="7" xfId="0" applyBorder="1"/>
    <xf numFmtId="0" fontId="1" fillId="3" borderId="7" xfId="2" applyBorder="1"/>
    <xf numFmtId="0" fontId="0" fillId="0" borderId="7" xfId="0" applyBorder="1" applyAlignment="1">
      <alignment horizontal="center"/>
    </xf>
    <xf numFmtId="0" fontId="2" fillId="2" borderId="7" xfId="1" applyBorder="1"/>
    <xf numFmtId="164" fontId="2" fillId="2" borderId="7" xfId="1" applyNumberFormat="1" applyBorder="1"/>
    <xf numFmtId="164" fontId="2" fillId="2" borderId="8" xfId="1" applyNumberFormat="1" applyBorder="1"/>
    <xf numFmtId="0" fontId="0" fillId="0" borderId="0" xfId="0" applyAlignment="1">
      <alignment horizontal="center" vertical="top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</cellXfs>
  <cellStyles count="4">
    <cellStyle name="20 % - Farve6" xfId="2" builtinId="50"/>
    <cellStyle name="God" xfId="1" builtinId="26"/>
    <cellStyle name="Input" xfId="3" builtinId="20"/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D7D31"/>
      <color rgb="FFEC7320"/>
      <color rgb="FFEA6B14"/>
      <color rgb="FFD76213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Focus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Tests!$B$1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370078740157481E-2"/>
                  <c:y val="-0.183754612002489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5B9BD5"/>
                        </a:solidFill>
                      </a:rPr>
                      <a:t>y = 50x + 150</a:t>
                    </a:r>
                    <a:br>
                      <a:rPr lang="en-US" baseline="0">
                        <a:solidFill>
                          <a:srgbClr val="5B9BD5"/>
                        </a:solidFill>
                      </a:rPr>
                    </a:br>
                    <a:r>
                      <a:rPr lang="en-US" baseline="0">
                        <a:solidFill>
                          <a:srgbClr val="5B9BD5"/>
                        </a:solidFill>
                      </a:rPr>
                      <a:t>R² = 1</a:t>
                    </a:r>
                    <a:endParaRPr lang="en-US">
                      <a:solidFill>
                        <a:srgbClr val="5B9BD5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Tests!$A$2:$A$6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Tests!$B$2:$B$6</c:f>
              <c:numCache>
                <c:formatCode>General</c:formatCode>
                <c:ptCount val="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F-428C-ADAB-2840818ED890}"/>
            </c:ext>
          </c:extLst>
        </c:ser>
        <c:ser>
          <c:idx val="1"/>
          <c:order val="1"/>
          <c:tx>
            <c:strRef>
              <c:f>Tests!$C$1</c:f>
              <c:strCache>
                <c:ptCount val="1"/>
                <c:pt idx="0">
                  <c:v>AutoFocus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ED7D3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219947506561689"/>
                  <c:y val="-0.32894806816924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rgbClr val="ED7D31"/>
                        </a:solidFill>
                      </a:rPr>
                      <a:t>y = 38x + 139,8</a:t>
                    </a:r>
                    <a:br>
                      <a:rPr lang="en-US" baseline="0">
                        <a:solidFill>
                          <a:srgbClr val="ED7D31"/>
                        </a:solidFill>
                      </a:rPr>
                    </a:br>
                    <a:r>
                      <a:rPr lang="en-US" baseline="0">
                        <a:solidFill>
                          <a:srgbClr val="ED7D31"/>
                        </a:solidFill>
                      </a:rPr>
                      <a:t>R² = 0,9998</a:t>
                    </a:r>
                    <a:endParaRPr lang="en-US">
                      <a:solidFill>
                        <a:srgbClr val="ED7D3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Tests!$A$2:$A$6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Tests!$C$2:$C$6</c:f>
              <c:numCache>
                <c:formatCode>General</c:formatCode>
                <c:ptCount val="5"/>
                <c:pt idx="0">
                  <c:v>177</c:v>
                </c:pt>
                <c:pt idx="1">
                  <c:v>217</c:v>
                </c:pt>
                <c:pt idx="2">
                  <c:v>254</c:v>
                </c:pt>
                <c:pt idx="3">
                  <c:v>291</c:v>
                </c:pt>
                <c:pt idx="4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F-428C-ADAB-2840818ED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309423"/>
        <c:axId val="1485877535"/>
      </c:scatterChart>
      <c:valAx>
        <c:axId val="153830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85877535"/>
        <c:crosses val="autoZero"/>
        <c:crossBetween val="midCat"/>
      </c:valAx>
      <c:valAx>
        <c:axId val="1485877535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3830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Tests!$C$1</c:f>
              <c:strCache>
                <c:ptCount val="1"/>
                <c:pt idx="0">
                  <c:v>AutoFocus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013998250218722E-2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Tests!$B$2:$B$6</c:f>
              <c:numCache>
                <c:formatCode>General</c:formatCode>
                <c:ptCount val="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Tests!$C$2:$C$6</c:f>
              <c:numCache>
                <c:formatCode>General</c:formatCode>
                <c:ptCount val="5"/>
                <c:pt idx="0">
                  <c:v>177</c:v>
                </c:pt>
                <c:pt idx="1">
                  <c:v>217</c:v>
                </c:pt>
                <c:pt idx="2">
                  <c:v>254</c:v>
                </c:pt>
                <c:pt idx="3">
                  <c:v>291</c:v>
                </c:pt>
                <c:pt idx="4">
                  <c:v>330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8-43C2-843D-4D6A859DA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365871"/>
        <c:axId val="1660367535"/>
      </c:scatterChart>
      <c:valAx>
        <c:axId val="1660365871"/>
        <c:scaling>
          <c:orientation val="minMax"/>
          <c:max val="400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0367535"/>
        <c:crosses val="autoZero"/>
        <c:crossBetween val="midCat"/>
      </c:valAx>
      <c:valAx>
        <c:axId val="1660367535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6036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Tests!$G$1</c:f>
              <c:strCache>
                <c:ptCount val="1"/>
                <c:pt idx="0">
                  <c:v>Auto-focus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3.4037549187984101E-2"/>
                  <c:y val="-0.16119355528103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Tests!$F$2:$F$9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xVal>
          <c:yVal>
            <c:numRef>
              <c:f>Tests!$G$2:$G$9</c:f>
              <c:numCache>
                <c:formatCode>General</c:formatCode>
                <c:ptCount val="8"/>
                <c:pt idx="0">
                  <c:v>94</c:v>
                </c:pt>
                <c:pt idx="1">
                  <c:v>136</c:v>
                </c:pt>
                <c:pt idx="2">
                  <c:v>179</c:v>
                </c:pt>
                <c:pt idx="3">
                  <c:v>219</c:v>
                </c:pt>
                <c:pt idx="4">
                  <c:v>258</c:v>
                </c:pt>
                <c:pt idx="5">
                  <c:v>297</c:v>
                </c:pt>
                <c:pt idx="6">
                  <c:v>334</c:v>
                </c:pt>
                <c:pt idx="7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7-4F3D-B0BE-237E2BF0D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749903"/>
        <c:axId val="1533752815"/>
      </c:scatterChart>
      <c:valAx>
        <c:axId val="1533749903"/>
        <c:scaling>
          <c:orientation val="minMax"/>
          <c:max val="45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33752815"/>
        <c:crosses val="autoZero"/>
        <c:crossBetween val="midCat"/>
      </c:valAx>
      <c:valAx>
        <c:axId val="15337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3374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ysClr val="windowText" lastClr="000000"/>
                </a:solidFill>
                <a:latin typeface="Palatino" pitchFamily="2" charset="0"/>
                <a:ea typeface="Cambria Math" panose="02040503050406030204" pitchFamily="18" charset="0"/>
                <a:cs typeface="Adobe Devanagari" panose="02040503050201020203" pitchFamily="18" charset="0"/>
              </a:defRPr>
            </a:pPr>
            <a:r>
              <a:rPr lang="en-US" sz="1800">
                <a:solidFill>
                  <a:sysClr val="windowText" lastClr="000000"/>
                </a:solidFill>
                <a:latin typeface="Palatino" pitchFamily="2" charset="0"/>
                <a:ea typeface="Cambria Math" panose="02040503050406030204" pitchFamily="18" charset="0"/>
                <a:cs typeface="Adobe Devanagari" panose="02040503050201020203" pitchFamily="18" charset="0"/>
              </a:rPr>
              <a:t>Focus comparison</a:t>
            </a:r>
          </a:p>
        </c:rich>
      </c:tx>
      <c:layout>
        <c:manualLayout>
          <c:xMode val="edge"/>
          <c:yMode val="edge"/>
          <c:x val="0.31837934029002707"/>
          <c:y val="2.508176198940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ysClr val="windowText" lastClr="000000"/>
              </a:solidFill>
              <a:latin typeface="Palatino" pitchFamily="2" charset="0"/>
              <a:ea typeface="Cambria Math" panose="02040503050406030204" pitchFamily="18" charset="0"/>
              <a:cs typeface="Adobe Devanagari" panose="02040503050201020203" pitchFamily="18" charset="0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1661579657844327"/>
          <c:y val="0.1705353610294984"/>
          <c:w val="0.83669728686082012"/>
          <c:h val="0.62963231165130928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Tests!$F$1</c:f>
              <c:strCache>
                <c:ptCount val="1"/>
                <c:pt idx="0">
                  <c:v>Real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Tests!$E$2:$E$9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Tests!$F$2:$F$9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4-40BE-9AB2-BC71C7E276C2}"/>
            </c:ext>
          </c:extLst>
        </c:ser>
        <c:ser>
          <c:idx val="1"/>
          <c:order val="1"/>
          <c:tx>
            <c:strRef>
              <c:f>Tests!$G$1</c:f>
              <c:strCache>
                <c:ptCount val="1"/>
                <c:pt idx="0">
                  <c:v>Auto-focus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Tests!$E$2:$E$9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Tests!$G$2:$G$9</c:f>
              <c:numCache>
                <c:formatCode>General</c:formatCode>
                <c:ptCount val="8"/>
                <c:pt idx="0">
                  <c:v>94</c:v>
                </c:pt>
                <c:pt idx="1">
                  <c:v>136</c:v>
                </c:pt>
                <c:pt idx="2">
                  <c:v>179</c:v>
                </c:pt>
                <c:pt idx="3">
                  <c:v>219</c:v>
                </c:pt>
                <c:pt idx="4">
                  <c:v>258</c:v>
                </c:pt>
                <c:pt idx="5">
                  <c:v>297</c:v>
                </c:pt>
                <c:pt idx="6">
                  <c:v>334</c:v>
                </c:pt>
                <c:pt idx="7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4-40BE-9AB2-BC71C7E27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110735"/>
        <c:axId val="1598111567"/>
      </c:scatterChart>
      <c:valAx>
        <c:axId val="159811073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Palatino" pitchFamily="2" charset="0"/>
                    <a:ea typeface="+mn-ea"/>
                    <a:cs typeface="Adobe Devanagari" panose="02040503050201020203" pitchFamily="18" charset="0"/>
                  </a:defRPr>
                </a:pPr>
                <a:r>
                  <a:rPr lang="da-DK" sz="1200">
                    <a:solidFill>
                      <a:sysClr val="windowText" lastClr="000000"/>
                    </a:solidFill>
                    <a:latin typeface="Palatino" pitchFamily="2" charset="0"/>
                    <a:ea typeface="Cambria Math" panose="02040503050406030204" pitchFamily="18" charset="0"/>
                    <a:cs typeface="Adobe Devanagari" panose="02040503050201020203" pitchFamily="18" charset="0"/>
                  </a:rPr>
                  <a:t>Test</a:t>
                </a:r>
                <a:r>
                  <a:rPr lang="da-DK" sz="1200" baseline="0">
                    <a:solidFill>
                      <a:sysClr val="windowText" lastClr="000000"/>
                    </a:solidFill>
                    <a:latin typeface="Palatino" pitchFamily="2" charset="0"/>
                    <a:ea typeface="Cambria Math" panose="02040503050406030204" pitchFamily="18" charset="0"/>
                    <a:cs typeface="Adobe Devanagari" panose="02040503050201020203" pitchFamily="18" charset="0"/>
                  </a:rPr>
                  <a:t> number (#)</a:t>
                </a:r>
                <a:endParaRPr lang="da-DK" sz="1200">
                  <a:solidFill>
                    <a:sysClr val="windowText" lastClr="000000"/>
                  </a:solidFill>
                  <a:latin typeface="Palatino" pitchFamily="2" charset="0"/>
                  <a:ea typeface="Cambria Math" panose="02040503050406030204" pitchFamily="18" charset="0"/>
                  <a:cs typeface="Adobe Devanagari" panose="02040503050201020203" pitchFamily="18" charset="0"/>
                </a:endParaRPr>
              </a:p>
            </c:rich>
          </c:tx>
          <c:layout>
            <c:manualLayout>
              <c:xMode val="edge"/>
              <c:yMode val="edge"/>
              <c:x val="0.39230816895433174"/>
              <c:y val="0.89700439265810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Palatino" pitchFamily="2" charset="0"/>
                  <a:ea typeface="+mn-ea"/>
                  <a:cs typeface="Adobe Devanagari" panose="02040503050201020203" pitchFamily="18" charset="0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" pitchFamily="2" charset="0"/>
                <a:ea typeface="Cambria Math" panose="02040503050406030204" pitchFamily="18" charset="0"/>
                <a:cs typeface="Adobe Devanagari" panose="02040503050201020203" pitchFamily="18" charset="0"/>
              </a:defRPr>
            </a:pPr>
            <a:endParaRPr lang="da-DK"/>
          </a:p>
        </c:txPr>
        <c:crossAx val="1598111567"/>
        <c:crosses val="autoZero"/>
        <c:crossBetween val="midCat"/>
      </c:valAx>
      <c:valAx>
        <c:axId val="1598111567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Palatino" pitchFamily="2" charset="0"/>
                    <a:ea typeface="Cambria Math" panose="02040503050406030204" pitchFamily="18" charset="0"/>
                    <a:cs typeface="Adobe Devanagari" panose="02040503050201020203" pitchFamily="18" charset="0"/>
                  </a:defRPr>
                </a:pPr>
                <a:r>
                  <a:rPr lang="da-DK" sz="1200">
                    <a:solidFill>
                      <a:sysClr val="windowText" lastClr="000000"/>
                    </a:solidFill>
                    <a:latin typeface="Palatino" pitchFamily="2" charset="0"/>
                    <a:ea typeface="Cambria Math" panose="02040503050406030204" pitchFamily="18" charset="0"/>
                    <a:cs typeface="Adobe Devanagari" panose="02040503050201020203" pitchFamily="18" charset="0"/>
                  </a:rPr>
                  <a:t>Distance (mm)</a:t>
                </a:r>
              </a:p>
            </c:rich>
          </c:tx>
          <c:layout>
            <c:manualLayout>
              <c:xMode val="edge"/>
              <c:yMode val="edge"/>
              <c:x val="4.6558580559174362E-3"/>
              <c:y val="0.2998194243567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Palatino" pitchFamily="2" charset="0"/>
                  <a:ea typeface="Cambria Math" panose="02040503050406030204" pitchFamily="18" charset="0"/>
                  <a:cs typeface="Adobe Devanagari" panose="02040503050201020203" pitchFamily="18" charset="0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" pitchFamily="2" charset="0"/>
                <a:ea typeface="Cambria Math" panose="02040503050406030204" pitchFamily="18" charset="0"/>
                <a:cs typeface="Adobe Devanagari" panose="02040503050201020203" pitchFamily="18" charset="0"/>
              </a:defRPr>
            </a:pPr>
            <a:endParaRPr lang="da-DK"/>
          </a:p>
        </c:txPr>
        <c:crossAx val="1598110735"/>
        <c:crossesAt val="1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475323794946736"/>
          <c:y val="0.63317718403586076"/>
          <c:w val="0.26125360522505309"/>
          <c:h val="0.12514707704771894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" pitchFamily="2" charset="0"/>
              <a:ea typeface="Cambria Math" panose="02040503050406030204" pitchFamily="18" charset="0"/>
              <a:cs typeface="Adobe Devanagari" panose="02040503050201020203" pitchFamily="18" charset="0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Eksponentiel</a:t>
            </a:r>
          </a:p>
        </c:rich>
      </c:tx>
      <c:layout>
        <c:manualLayout>
          <c:xMode val="edge"/>
          <c:yMode val="edge"/>
          <c:x val="0.39429855643044615"/>
          <c:y val="3.5503670151786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900328083989502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yVal>
            <c:numRef>
              <c:f>Tests!$H$2:$H$9</c:f>
              <c:numCache>
                <c:formatCode>General</c:formatCode>
                <c:ptCount val="8"/>
                <c:pt idx="0">
                  <c:v>6</c:v>
                </c:pt>
                <c:pt idx="1">
                  <c:v>14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53</c:v>
                </c:pt>
                <c:pt idx="6">
                  <c:v>66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6-4B8C-AA02-1ADF10CB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77119"/>
        <c:axId val="1485879615"/>
      </c:scatterChart>
      <c:valAx>
        <c:axId val="148587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85879615"/>
        <c:crosses val="autoZero"/>
        <c:crossBetween val="midCat"/>
      </c:valAx>
      <c:valAx>
        <c:axId val="14858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8587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Palatino" pitchFamily="2" charset="0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  <a:latin typeface="Palatino" pitchFamily="2" charset="0"/>
              </a:rPr>
              <a:t>Calibration formula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Palatino" pitchFamily="2" charset="0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1662409854339763"/>
          <c:y val="0.15799421777758016"/>
          <c:w val="0.83669728686082012"/>
          <c:h val="0.62963231165130928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Tests!$F$1</c:f>
              <c:strCache>
                <c:ptCount val="1"/>
                <c:pt idx="0">
                  <c:v>Real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907673587345069E-2"/>
                  <c:y val="-5.8196680290266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763-4FD7-B355-0EB3A9EA729C}"/>
                </c:ext>
              </c:extLst>
            </c:dLbl>
            <c:dLbl>
              <c:idx val="1"/>
              <c:layout>
                <c:manualLayout>
                  <c:x val="-6.2442200927827256E-2"/>
                  <c:y val="-5.8196680290266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63-4FD7-B355-0EB3A9EA729C}"/>
                </c:ext>
              </c:extLst>
            </c:dLbl>
            <c:dLbl>
              <c:idx val="2"/>
              <c:layout>
                <c:manualLayout>
                  <c:x val="-6.2442200927827214E-2"/>
                  <c:y val="-5.8196680290266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763-4FD7-B355-0EB3A9EA729C}"/>
                </c:ext>
              </c:extLst>
            </c:dLbl>
            <c:dLbl>
              <c:idx val="3"/>
              <c:layout>
                <c:manualLayout>
                  <c:x val="-6.2442200927827214E-2"/>
                  <c:y val="-5.8196680290266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63-4FD7-B355-0EB3A9EA729C}"/>
                </c:ext>
              </c:extLst>
            </c:dLbl>
            <c:dLbl>
              <c:idx val="4"/>
              <c:layout>
                <c:manualLayout>
                  <c:x val="-6.0027568636398208E-2"/>
                  <c:y val="-6.2433897739594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763-4FD7-B355-0EB3A9EA729C}"/>
                </c:ext>
              </c:extLst>
            </c:dLbl>
            <c:dLbl>
              <c:idx val="5"/>
              <c:layout>
                <c:manualLayout>
                  <c:x val="-6.0027568636398292E-2"/>
                  <c:y val="-5.8196680290266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63-4FD7-B355-0EB3A9EA729C}"/>
                </c:ext>
              </c:extLst>
            </c:dLbl>
            <c:dLbl>
              <c:idx val="6"/>
              <c:layout>
                <c:manualLayout>
                  <c:x val="-6.0027568636398208E-2"/>
                  <c:y val="-6.2433897739594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763-4FD7-B355-0EB3A9EA729C}"/>
                </c:ext>
              </c:extLst>
            </c:dLbl>
            <c:dLbl>
              <c:idx val="7"/>
              <c:layout>
                <c:manualLayout>
                  <c:x val="-4.8224389687428704E-2"/>
                  <c:y val="-6.6671115188923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763-4FD7-B355-0EB3A9EA729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Palatino" pitchFamily="2" charset="0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2633083576476492E-3"/>
                  <c:y val="0.383446154604263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Palatino" pitchFamily="2" charset="0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ysClr val="windowText" lastClr="000000"/>
                        </a:solidFill>
                        <a:latin typeface="Palatino" pitchFamily="2" charset="0"/>
                      </a:rPr>
                      <a:t>y = -0.00021x</a:t>
                    </a:r>
                    <a:r>
                      <a:rPr lang="da-DK" sz="1100" baseline="30000">
                        <a:effectLst/>
                      </a:rPr>
                      <a:t>2 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  <a:latin typeface="Palatino" pitchFamily="2" charset="0"/>
                      </a:rPr>
                      <a:t>+ 0.908x + 4.6845</a:t>
                    </a:r>
                    <a:br>
                      <a:rPr lang="en-US" sz="1100">
                        <a:solidFill>
                          <a:sysClr val="windowText" lastClr="000000"/>
                        </a:solidFill>
                        <a:latin typeface="Palatino" pitchFamily="2" charset="0"/>
                      </a:rPr>
                    </a:br>
                    <a:r>
                      <a:rPr lang="en-US" sz="1100">
                        <a:solidFill>
                          <a:sysClr val="windowText" lastClr="000000"/>
                        </a:solidFill>
                        <a:latin typeface="Palatino" pitchFamily="2" charset="0"/>
                      </a:rPr>
                      <a:t>R</a:t>
                    </a:r>
                    <a:r>
                      <a:rPr lang="da-DK" sz="1100" baseline="30000">
                        <a:effectLst/>
                      </a:rPr>
                      <a:t>2</a:t>
                    </a:r>
                    <a:r>
                      <a:rPr lang="da-DK" sz="1100" baseline="0">
                        <a:effectLst/>
                      </a:rPr>
                      <a:t> 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  <a:latin typeface="Palatino" pitchFamily="2" charset="0"/>
                      </a:rPr>
                      <a:t>= 1</a:t>
                    </a: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Palatino" pitchFamily="2" charset="0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Tests!$F$2:$F$9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xVal>
          <c:yVal>
            <c:numRef>
              <c:f>Tests!$G$2:$G$9</c:f>
              <c:numCache>
                <c:formatCode>General</c:formatCode>
                <c:ptCount val="8"/>
                <c:pt idx="0">
                  <c:v>94</c:v>
                </c:pt>
                <c:pt idx="1">
                  <c:v>136</c:v>
                </c:pt>
                <c:pt idx="2">
                  <c:v>179</c:v>
                </c:pt>
                <c:pt idx="3">
                  <c:v>219</c:v>
                </c:pt>
                <c:pt idx="4">
                  <c:v>258</c:v>
                </c:pt>
                <c:pt idx="5">
                  <c:v>297</c:v>
                </c:pt>
                <c:pt idx="6">
                  <c:v>334</c:v>
                </c:pt>
                <c:pt idx="7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3C-44EE-B336-80E223B44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110735"/>
        <c:axId val="1598111567"/>
      </c:scatterChart>
      <c:valAx>
        <c:axId val="1598110735"/>
        <c:scaling>
          <c:orientation val="minMax"/>
          <c:max val="450"/>
          <c:min val="5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Palatino" pitchFamily="2" charset="0"/>
                    <a:ea typeface="+mn-ea"/>
                    <a:cs typeface="+mn-cs"/>
                  </a:defRPr>
                </a:pPr>
                <a:r>
                  <a:rPr lang="da-DK" sz="1100">
                    <a:solidFill>
                      <a:sysClr val="windowText" lastClr="000000"/>
                    </a:solidFill>
                    <a:latin typeface="Palatino" pitchFamily="2" charset="0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37784109397603011"/>
              <c:y val="0.8928241783690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Palatino" pitchFamily="2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" pitchFamily="2" charset="0"/>
                <a:ea typeface="+mn-ea"/>
                <a:cs typeface="+mn-cs"/>
              </a:defRPr>
            </a:pPr>
            <a:endParaRPr lang="da-DK"/>
          </a:p>
        </c:txPr>
        <c:crossAx val="1598111567"/>
        <c:crosses val="autoZero"/>
        <c:crossBetween val="midCat"/>
      </c:valAx>
      <c:valAx>
        <c:axId val="1598111567"/>
        <c:scaling>
          <c:orientation val="minMax"/>
          <c:max val="450"/>
          <c:min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200">
                    <a:solidFill>
                      <a:sysClr val="windowText" lastClr="000000"/>
                    </a:solidFill>
                    <a:latin typeface="Palatino" pitchFamily="2" charset="0"/>
                  </a:rPr>
                  <a:t>Auto-focus value (mm)</a:t>
                </a:r>
              </a:p>
            </c:rich>
          </c:tx>
          <c:layout>
            <c:manualLayout>
              <c:xMode val="edge"/>
              <c:yMode val="edge"/>
              <c:x val="2.2307780059320102E-3"/>
              <c:y val="0.22892066729792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" pitchFamily="2" charset="0"/>
                <a:ea typeface="+mn-ea"/>
                <a:cs typeface="+mn-cs"/>
              </a:defRPr>
            </a:pPr>
            <a:endParaRPr lang="da-DK"/>
          </a:p>
        </c:txPr>
        <c:crossAx val="1598110735"/>
        <c:crossesAt val="1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ysClr val="windowText" lastClr="000000"/>
                </a:solidFill>
                <a:latin typeface="Palatino" pitchFamily="2" charset="0"/>
                <a:ea typeface="Cambria Math" panose="02040503050406030204" pitchFamily="18" charset="0"/>
                <a:cs typeface="Adobe Devanagari" panose="02040503050201020203" pitchFamily="18" charset="0"/>
              </a:defRPr>
            </a:pPr>
            <a:r>
              <a:rPr lang="en-US" sz="1800">
                <a:solidFill>
                  <a:sysClr val="windowText" lastClr="000000"/>
                </a:solidFill>
                <a:latin typeface="Palatino" pitchFamily="2" charset="0"/>
                <a:ea typeface="Cambria Math" panose="02040503050406030204" pitchFamily="18" charset="0"/>
                <a:cs typeface="Adobe Devanagari" panose="02040503050201020203" pitchFamily="18" charset="0"/>
              </a:rPr>
              <a:t>Focus comparison</a:t>
            </a:r>
          </a:p>
        </c:rich>
      </c:tx>
      <c:layout>
        <c:manualLayout>
          <c:xMode val="edge"/>
          <c:yMode val="edge"/>
          <c:x val="0.31837934029002707"/>
          <c:y val="2.5081761989400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ysClr val="windowText" lastClr="000000"/>
              </a:solidFill>
              <a:latin typeface="Palatino" pitchFamily="2" charset="0"/>
              <a:ea typeface="Cambria Math" panose="02040503050406030204" pitchFamily="18" charset="0"/>
              <a:cs typeface="Adobe Devanagari" panose="02040503050201020203" pitchFamily="18" charset="0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1661579657844327"/>
          <c:y val="0.1705353610294984"/>
          <c:w val="0.83669728686082012"/>
          <c:h val="0.62963231165130928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Tests!$F$1</c:f>
              <c:strCache>
                <c:ptCount val="1"/>
                <c:pt idx="0">
                  <c:v>Real 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Tests!$E$2:$E$9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Tests!$F$2:$F$9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3B-44DF-9FDB-796C470A99AC}"/>
            </c:ext>
          </c:extLst>
        </c:ser>
        <c:ser>
          <c:idx val="1"/>
          <c:order val="1"/>
          <c:tx>
            <c:strRef>
              <c:f>Tests!$G$1</c:f>
              <c:strCache>
                <c:ptCount val="1"/>
                <c:pt idx="0">
                  <c:v>Auto-focus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Tests!$E$2:$E$9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Tests!$G$2:$G$9</c:f>
              <c:numCache>
                <c:formatCode>General</c:formatCode>
                <c:ptCount val="8"/>
                <c:pt idx="0">
                  <c:v>94</c:v>
                </c:pt>
                <c:pt idx="1">
                  <c:v>136</c:v>
                </c:pt>
                <c:pt idx="2">
                  <c:v>179</c:v>
                </c:pt>
                <c:pt idx="3">
                  <c:v>219</c:v>
                </c:pt>
                <c:pt idx="4">
                  <c:v>258</c:v>
                </c:pt>
                <c:pt idx="5">
                  <c:v>297</c:v>
                </c:pt>
                <c:pt idx="6">
                  <c:v>334</c:v>
                </c:pt>
                <c:pt idx="7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3B-44DF-9FDB-796C470A9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110735"/>
        <c:axId val="1598111567"/>
      </c:scatterChart>
      <c:valAx>
        <c:axId val="1598110735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Palatino" pitchFamily="2" charset="0"/>
                    <a:ea typeface="+mn-ea"/>
                    <a:cs typeface="Adobe Devanagari" panose="02040503050201020203" pitchFamily="18" charset="0"/>
                  </a:defRPr>
                </a:pPr>
                <a:r>
                  <a:rPr lang="da-DK" sz="1200">
                    <a:solidFill>
                      <a:sysClr val="windowText" lastClr="000000"/>
                    </a:solidFill>
                    <a:latin typeface="Palatino" pitchFamily="2" charset="0"/>
                    <a:ea typeface="Cambria Math" panose="02040503050406030204" pitchFamily="18" charset="0"/>
                    <a:cs typeface="Adobe Devanagari" panose="02040503050201020203" pitchFamily="18" charset="0"/>
                  </a:rPr>
                  <a:t>Test</a:t>
                </a:r>
                <a:r>
                  <a:rPr lang="da-DK" sz="1200" baseline="0">
                    <a:solidFill>
                      <a:sysClr val="windowText" lastClr="000000"/>
                    </a:solidFill>
                    <a:latin typeface="Palatino" pitchFamily="2" charset="0"/>
                    <a:ea typeface="Cambria Math" panose="02040503050406030204" pitchFamily="18" charset="0"/>
                    <a:cs typeface="Adobe Devanagari" panose="02040503050201020203" pitchFamily="18" charset="0"/>
                  </a:rPr>
                  <a:t> number (#)</a:t>
                </a:r>
                <a:endParaRPr lang="da-DK" sz="1200">
                  <a:solidFill>
                    <a:sysClr val="windowText" lastClr="000000"/>
                  </a:solidFill>
                  <a:latin typeface="Palatino" pitchFamily="2" charset="0"/>
                  <a:ea typeface="Cambria Math" panose="02040503050406030204" pitchFamily="18" charset="0"/>
                  <a:cs typeface="Adobe Devanagari" panose="02040503050201020203" pitchFamily="18" charset="0"/>
                </a:endParaRPr>
              </a:p>
            </c:rich>
          </c:tx>
          <c:layout>
            <c:manualLayout>
              <c:xMode val="edge"/>
              <c:yMode val="edge"/>
              <c:x val="0.39230816895433174"/>
              <c:y val="0.89700439265810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Palatino" pitchFamily="2" charset="0"/>
                  <a:ea typeface="+mn-ea"/>
                  <a:cs typeface="Adobe Devanagari" panose="02040503050201020203" pitchFamily="18" charset="0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" pitchFamily="2" charset="0"/>
                <a:ea typeface="Cambria Math" panose="02040503050406030204" pitchFamily="18" charset="0"/>
                <a:cs typeface="Adobe Devanagari" panose="02040503050201020203" pitchFamily="18" charset="0"/>
              </a:defRPr>
            </a:pPr>
            <a:endParaRPr lang="da-DK"/>
          </a:p>
        </c:txPr>
        <c:crossAx val="1598111567"/>
        <c:crosses val="autoZero"/>
        <c:crossBetween val="midCat"/>
      </c:valAx>
      <c:valAx>
        <c:axId val="1598111567"/>
        <c:scaling>
          <c:orientation val="minMax"/>
          <c:max val="4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miter lim="800000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Palatino" pitchFamily="2" charset="0"/>
                    <a:ea typeface="Cambria Math" panose="02040503050406030204" pitchFamily="18" charset="0"/>
                    <a:cs typeface="Adobe Devanagari" panose="02040503050201020203" pitchFamily="18" charset="0"/>
                  </a:defRPr>
                </a:pPr>
                <a:r>
                  <a:rPr lang="da-DK" sz="1200">
                    <a:solidFill>
                      <a:sysClr val="windowText" lastClr="000000"/>
                    </a:solidFill>
                    <a:latin typeface="Palatino" pitchFamily="2" charset="0"/>
                    <a:ea typeface="Cambria Math" panose="02040503050406030204" pitchFamily="18" charset="0"/>
                    <a:cs typeface="Adobe Devanagari" panose="02040503050201020203" pitchFamily="18" charset="0"/>
                  </a:rPr>
                  <a:t>Distance (mm)</a:t>
                </a:r>
              </a:p>
            </c:rich>
          </c:tx>
          <c:layout>
            <c:manualLayout>
              <c:xMode val="edge"/>
              <c:yMode val="edge"/>
              <c:x val="4.6558580559174362E-3"/>
              <c:y val="0.29981942435671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Palatino" pitchFamily="2" charset="0"/>
                  <a:ea typeface="Cambria Math" panose="02040503050406030204" pitchFamily="18" charset="0"/>
                  <a:cs typeface="Adobe Devanagari" panose="02040503050201020203" pitchFamily="18" charset="0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" pitchFamily="2" charset="0"/>
                <a:ea typeface="Cambria Math" panose="02040503050406030204" pitchFamily="18" charset="0"/>
                <a:cs typeface="Adobe Devanagari" panose="02040503050201020203" pitchFamily="18" charset="0"/>
              </a:defRPr>
            </a:pPr>
            <a:endParaRPr lang="da-DK"/>
          </a:p>
        </c:txPr>
        <c:crossAx val="1598110735"/>
        <c:crossesAt val="1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475323794946736"/>
          <c:y val="0.63317718403586076"/>
          <c:w val="0.26125360522505309"/>
          <c:h val="0.12514707704771894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" pitchFamily="2" charset="0"/>
              <a:ea typeface="Cambria Math" panose="02040503050406030204" pitchFamily="18" charset="0"/>
              <a:cs typeface="Adobe Devanagari" panose="02040503050201020203" pitchFamily="18" charset="0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Palatino" pitchFamily="2" charset="0"/>
                <a:ea typeface="+mn-ea"/>
                <a:cs typeface="+mn-cs"/>
              </a:defRPr>
            </a:pPr>
            <a:r>
              <a:rPr lang="en-US" sz="1800">
                <a:solidFill>
                  <a:sysClr val="windowText" lastClr="000000"/>
                </a:solidFill>
                <a:latin typeface="Palatino" pitchFamily="2" charset="0"/>
              </a:rPr>
              <a:t>Calibration formula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Palatino" pitchFamily="2" charset="0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1662409854339763"/>
          <c:y val="0.15799421777758016"/>
          <c:w val="0.83669728686082012"/>
          <c:h val="0.62963231165130928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Tests!$F$1</c:f>
              <c:strCache>
                <c:ptCount val="1"/>
                <c:pt idx="0">
                  <c:v>Real 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0907673587345069E-2"/>
                  <c:y val="-5.8196680290266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95-4C45-AAC7-0CA01A0DC58F}"/>
                </c:ext>
              </c:extLst>
            </c:dLbl>
            <c:dLbl>
              <c:idx val="1"/>
              <c:layout>
                <c:manualLayout>
                  <c:x val="-6.2442200927827256E-2"/>
                  <c:y val="-5.8196680290266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95-4C45-AAC7-0CA01A0DC58F}"/>
                </c:ext>
              </c:extLst>
            </c:dLbl>
            <c:dLbl>
              <c:idx val="2"/>
              <c:layout>
                <c:manualLayout>
                  <c:x val="-6.2442200927827214E-2"/>
                  <c:y val="-5.8196680290266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95-4C45-AAC7-0CA01A0DC58F}"/>
                </c:ext>
              </c:extLst>
            </c:dLbl>
            <c:dLbl>
              <c:idx val="3"/>
              <c:layout>
                <c:manualLayout>
                  <c:x val="-6.2442200927827214E-2"/>
                  <c:y val="-5.81966802902660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95-4C45-AAC7-0CA01A0DC58F}"/>
                </c:ext>
              </c:extLst>
            </c:dLbl>
            <c:dLbl>
              <c:idx val="4"/>
              <c:layout>
                <c:manualLayout>
                  <c:x val="-6.0027568636398208E-2"/>
                  <c:y val="-6.2433897739594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095-4C45-AAC7-0CA01A0DC58F}"/>
                </c:ext>
              </c:extLst>
            </c:dLbl>
            <c:dLbl>
              <c:idx val="5"/>
              <c:layout>
                <c:manualLayout>
                  <c:x val="-6.0027568636398292E-2"/>
                  <c:y val="-5.81966802902661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95-4C45-AAC7-0CA01A0DC58F}"/>
                </c:ext>
              </c:extLst>
            </c:dLbl>
            <c:dLbl>
              <c:idx val="6"/>
              <c:layout>
                <c:manualLayout>
                  <c:x val="-6.0027568636398208E-2"/>
                  <c:y val="-6.2433897739594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095-4C45-AAC7-0CA01A0DC58F}"/>
                </c:ext>
              </c:extLst>
            </c:dLbl>
            <c:dLbl>
              <c:idx val="7"/>
              <c:layout>
                <c:manualLayout>
                  <c:x val="-4.8224389687428704E-2"/>
                  <c:y val="-6.66711151889231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095-4C45-AAC7-0CA01A0DC58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Palatino" pitchFamily="2" charset="0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2633083576476492E-3"/>
                  <c:y val="0.383446154604263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Palatino" pitchFamily="2" charset="0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ysClr val="windowText" lastClr="000000"/>
                        </a:solidFill>
                        <a:latin typeface="Palatino" pitchFamily="2" charset="0"/>
                      </a:rPr>
                      <a:t>y = -0.00021x</a:t>
                    </a:r>
                    <a:r>
                      <a:rPr lang="da-DK" sz="1100" baseline="30000">
                        <a:effectLst/>
                      </a:rPr>
                      <a:t>2 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  <a:latin typeface="Palatino" pitchFamily="2" charset="0"/>
                      </a:rPr>
                      <a:t>+ 0.908x + 4.6845</a:t>
                    </a:r>
                    <a:br>
                      <a:rPr lang="en-US" sz="1100">
                        <a:solidFill>
                          <a:sysClr val="windowText" lastClr="000000"/>
                        </a:solidFill>
                        <a:latin typeface="Palatino" pitchFamily="2" charset="0"/>
                      </a:rPr>
                    </a:br>
                    <a:r>
                      <a:rPr lang="en-US" sz="1100">
                        <a:solidFill>
                          <a:sysClr val="windowText" lastClr="000000"/>
                        </a:solidFill>
                        <a:latin typeface="Palatino" pitchFamily="2" charset="0"/>
                      </a:rPr>
                      <a:t>R</a:t>
                    </a:r>
                    <a:r>
                      <a:rPr lang="da-DK" sz="1100" baseline="30000">
                        <a:effectLst/>
                      </a:rPr>
                      <a:t>2</a:t>
                    </a:r>
                    <a:r>
                      <a:rPr lang="da-DK" sz="1100" baseline="0">
                        <a:effectLst/>
                      </a:rPr>
                      <a:t> 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  <a:latin typeface="Palatino" pitchFamily="2" charset="0"/>
                      </a:rPr>
                      <a:t>= 1</a:t>
                    </a: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Palatino" pitchFamily="2" charset="0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Tests!$F$2:$F$9</c:f>
              <c:numCache>
                <c:formatCode>General</c:formatCode>
                <c:ptCount val="8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</c:numCache>
            </c:numRef>
          </c:xVal>
          <c:yVal>
            <c:numRef>
              <c:f>Tests!$G$2:$G$9</c:f>
              <c:numCache>
                <c:formatCode>General</c:formatCode>
                <c:ptCount val="8"/>
                <c:pt idx="0">
                  <c:v>94</c:v>
                </c:pt>
                <c:pt idx="1">
                  <c:v>136</c:v>
                </c:pt>
                <c:pt idx="2">
                  <c:v>179</c:v>
                </c:pt>
                <c:pt idx="3">
                  <c:v>219</c:v>
                </c:pt>
                <c:pt idx="4">
                  <c:v>258</c:v>
                </c:pt>
                <c:pt idx="5">
                  <c:v>297</c:v>
                </c:pt>
                <c:pt idx="6">
                  <c:v>334</c:v>
                </c:pt>
                <c:pt idx="7">
                  <c:v>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095-4C45-AAC7-0CA01A0D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110735"/>
        <c:axId val="1598111567"/>
      </c:scatterChart>
      <c:valAx>
        <c:axId val="1598110735"/>
        <c:scaling>
          <c:orientation val="minMax"/>
          <c:max val="450"/>
          <c:min val="5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Palatino" pitchFamily="2" charset="0"/>
                    <a:ea typeface="+mn-ea"/>
                    <a:cs typeface="+mn-cs"/>
                  </a:defRPr>
                </a:pPr>
                <a:r>
                  <a:rPr lang="da-DK" sz="1200">
                    <a:solidFill>
                      <a:sysClr val="windowText" lastClr="000000"/>
                    </a:solidFill>
                    <a:latin typeface="Palatino" pitchFamily="2" charset="0"/>
                  </a:rPr>
                  <a:t>Real distance (mm)</a:t>
                </a:r>
              </a:p>
            </c:rich>
          </c:tx>
          <c:layout>
            <c:manualLayout>
              <c:xMode val="edge"/>
              <c:yMode val="edge"/>
              <c:x val="0.37784109397603011"/>
              <c:y val="0.8928241783690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Palatino" pitchFamily="2" charset="0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" pitchFamily="2" charset="0"/>
                <a:ea typeface="+mn-ea"/>
                <a:cs typeface="+mn-cs"/>
              </a:defRPr>
            </a:pPr>
            <a:endParaRPr lang="da-DK"/>
          </a:p>
        </c:txPr>
        <c:crossAx val="1598111567"/>
        <c:crosses val="autoZero"/>
        <c:crossBetween val="midCat"/>
      </c:valAx>
      <c:valAx>
        <c:axId val="1598111567"/>
        <c:scaling>
          <c:orientation val="minMax"/>
          <c:max val="450"/>
          <c:min val="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200">
                    <a:solidFill>
                      <a:sysClr val="windowText" lastClr="000000"/>
                    </a:solidFill>
                    <a:latin typeface="Palatino" pitchFamily="2" charset="0"/>
                  </a:rPr>
                  <a:t>Auto-focus value (mm)</a:t>
                </a:r>
              </a:p>
            </c:rich>
          </c:tx>
          <c:layout>
            <c:manualLayout>
              <c:xMode val="edge"/>
              <c:yMode val="edge"/>
              <c:x val="2.2307780059320102E-3"/>
              <c:y val="0.22892066729792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" pitchFamily="2" charset="0"/>
                <a:ea typeface="+mn-ea"/>
                <a:cs typeface="+mn-cs"/>
              </a:defRPr>
            </a:pPr>
            <a:endParaRPr lang="da-DK"/>
          </a:p>
        </c:txPr>
        <c:crossAx val="1598110735"/>
        <c:crossesAt val="1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923925</xdr:colOff>
      <xdr:row>28</xdr:row>
      <xdr:rowOff>133350</xdr:rowOff>
    </xdr:from>
    <xdr:to>
      <xdr:col>1</xdr:col>
      <xdr:colOff>933450</xdr:colOff>
      <xdr:row>46</xdr:row>
      <xdr:rowOff>123825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371725" y="2990850"/>
          <a:ext cx="9525" cy="3419475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695324</xdr:colOff>
      <xdr:row>31</xdr:row>
      <xdr:rowOff>55706</xdr:rowOff>
    </xdr:from>
    <xdr:to>
      <xdr:col>9</xdr:col>
      <xdr:colOff>1095373</xdr:colOff>
      <xdr:row>45</xdr:row>
      <xdr:rowOff>142875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810374" y="4818206"/>
          <a:ext cx="2876549" cy="2754169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552449</xdr:colOff>
      <xdr:row>36</xdr:row>
      <xdr:rowOff>66676</xdr:rowOff>
    </xdr:from>
    <xdr:to>
      <xdr:col>7</xdr:col>
      <xdr:colOff>442936</xdr:colOff>
      <xdr:row>41</xdr:row>
      <xdr:rowOff>76201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5400000">
          <a:off x="6598455" y="5850720"/>
          <a:ext cx="962025" cy="823937"/>
        </a:xfrm>
        <a:prstGeom prst="triangle">
          <a:avLst>
            <a:gd name="adj" fmla="val 48333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625274</xdr:colOff>
      <xdr:row>34</xdr:row>
      <xdr:rowOff>104775</xdr:rowOff>
    </xdr:from>
    <xdr:to>
      <xdr:col>8</xdr:col>
      <xdr:colOff>283758</xdr:colOff>
      <xdr:row>43</xdr:row>
      <xdr:rowOff>152400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71894" y="5423535"/>
          <a:ext cx="618604" cy="1693545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100924</xdr:colOff>
      <xdr:row>37</xdr:row>
      <xdr:rowOff>171450</xdr:rowOff>
    </xdr:from>
    <xdr:to>
      <xdr:col>9</xdr:col>
      <xdr:colOff>491599</xdr:colOff>
      <xdr:row>39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flipH="1">
          <a:off x="8945379" y="6067753"/>
          <a:ext cx="390675" cy="377388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700"/>
        </a:p>
      </xdr:txBody>
    </xdr:sp>
    <xdr:clientData/>
  </xdr:twoCellAnchor>
  <xdr:twoCellAnchor>
    <xdr:from>
      <xdr:col>1</xdr:col>
      <xdr:colOff>600078</xdr:colOff>
      <xdr:row>33</xdr:row>
      <xdr:rowOff>21356</xdr:rowOff>
    </xdr:from>
    <xdr:to>
      <xdr:col>2</xdr:col>
      <xdr:colOff>266705</xdr:colOff>
      <xdr:row>43</xdr:row>
      <xdr:rowOff>123822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2088219" y="5059521"/>
          <a:ext cx="625851" cy="1895407"/>
          <a:chOff x="2066928" y="3936131"/>
          <a:chExt cx="619127" cy="2007466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 rot="16200000">
            <a:off x="1372759" y="4630300"/>
            <a:ext cx="2007466" cy="619127"/>
          </a:xfrm>
          <a:prstGeom prst="rect">
            <a:avLst/>
          </a:prstGeom>
          <a:solidFill>
            <a:schemeClr val="accent3"/>
          </a:solidFill>
          <a:ln w="38100"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 rot="16200000">
            <a:off x="1876426" y="4810123"/>
            <a:ext cx="1019175" cy="314326"/>
          </a:xfrm>
          <a:prstGeom prst="rect">
            <a:avLst/>
          </a:prstGeom>
          <a:ln w="38100"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Object</a:t>
            </a:r>
          </a:p>
        </xdr:txBody>
      </xdr:sp>
    </xdr:grpSp>
    <xdr:clientData/>
  </xdr:twoCellAnchor>
  <xdr:twoCellAnchor>
    <xdr:from>
      <xdr:col>2</xdr:col>
      <xdr:colOff>266700</xdr:colOff>
      <xdr:row>33</xdr:row>
      <xdr:rowOff>28576</xdr:rowOff>
    </xdr:from>
    <xdr:to>
      <xdr:col>9</xdr:col>
      <xdr:colOff>619125</xdr:colOff>
      <xdr:row>39</xdr:row>
      <xdr:rowOff>161925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2667000" y="4791076"/>
          <a:ext cx="5724525" cy="127634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33</xdr:row>
      <xdr:rowOff>28575</xdr:rowOff>
    </xdr:from>
    <xdr:to>
      <xdr:col>9</xdr:col>
      <xdr:colOff>333375</xdr:colOff>
      <xdr:row>39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H="1" flipV="1">
          <a:off x="2047875" y="4791075"/>
          <a:ext cx="6057900" cy="12954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266701</xdr:colOff>
      <xdr:row>37</xdr:row>
      <xdr:rowOff>180975</xdr:rowOff>
    </xdr:from>
    <xdr:to>
      <xdr:col>9</xdr:col>
      <xdr:colOff>628650</xdr:colOff>
      <xdr:row>43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H="1">
          <a:off x="2667001" y="5705475"/>
          <a:ext cx="5734049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38</xdr:row>
      <xdr:rowOff>0</xdr:rowOff>
    </xdr:from>
    <xdr:to>
      <xdr:col>9</xdr:col>
      <xdr:colOff>333375</xdr:colOff>
      <xdr:row>43</xdr:row>
      <xdr:rowOff>104775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H="1">
          <a:off x="2038350" y="5715000"/>
          <a:ext cx="6067425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619125</xdr:colOff>
      <xdr:row>28</xdr:row>
      <xdr:rowOff>57150</xdr:rowOff>
    </xdr:from>
    <xdr:to>
      <xdr:col>6</xdr:col>
      <xdr:colOff>628650</xdr:colOff>
      <xdr:row>46</xdr:row>
      <xdr:rowOff>47625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 flipH="1">
          <a:off x="6734175" y="4248150"/>
          <a:ext cx="9525" cy="3419475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</xdr:row>
      <xdr:rowOff>171450</xdr:rowOff>
    </xdr:from>
    <xdr:to>
      <xdr:col>6</xdr:col>
      <xdr:colOff>609600</xdr:colOff>
      <xdr:row>29</xdr:row>
      <xdr:rowOff>180975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/>
      </xdr:nvCxnSpPr>
      <xdr:spPr>
        <a:xfrm>
          <a:off x="2381250" y="4552950"/>
          <a:ext cx="4343400" cy="95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19050</xdr:colOff>
      <xdr:row>28</xdr:row>
      <xdr:rowOff>152400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4324350" y="300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180975</xdr:colOff>
      <xdr:row>30</xdr:row>
      <xdr:rowOff>104775</xdr:rowOff>
    </xdr:from>
    <xdr:to>
      <xdr:col>1</xdr:col>
      <xdr:colOff>190500</xdr:colOff>
      <xdr:row>48</xdr:row>
      <xdr:rowOff>95250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H="1">
          <a:off x="1628775" y="3343275"/>
          <a:ext cx="9525" cy="3419475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781050</xdr:colOff>
      <xdr:row>30</xdr:row>
      <xdr:rowOff>85725</xdr:rowOff>
    </xdr:from>
    <xdr:to>
      <xdr:col>2</xdr:col>
      <xdr:colOff>790575</xdr:colOff>
      <xdr:row>48</xdr:row>
      <xdr:rowOff>76200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 flipH="1">
          <a:off x="3181350" y="3324225"/>
          <a:ext cx="9525" cy="3419475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171450</xdr:colOff>
      <xdr:row>47</xdr:row>
      <xdr:rowOff>85725</xdr:rowOff>
    </xdr:from>
    <xdr:to>
      <xdr:col>2</xdr:col>
      <xdr:colOff>781050</xdr:colOff>
      <xdr:row>47</xdr:row>
      <xdr:rowOff>85725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1619250" y="6562725"/>
          <a:ext cx="15621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927735</xdr:colOff>
      <xdr:row>29</xdr:row>
      <xdr:rowOff>28575</xdr:rowOff>
    </xdr:from>
    <xdr:to>
      <xdr:col>7</xdr:col>
      <xdr:colOff>937260</xdr:colOff>
      <xdr:row>47</xdr:row>
      <xdr:rowOff>19050</xdr:rowOff>
    </xdr:to>
    <xdr:cxnSp macro="">
      <xdr:nvCxnSpPr>
        <xdr:cNvPr id="23" name="Straight Connector 25">
          <a:extLst>
            <a:ext uri="{FF2B5EF4-FFF2-40B4-BE49-F238E27FC236}">
              <a16:creationId xmlns:a16="http://schemas.microsoft.com/office/drawing/2014/main" id="{7FBCF649-29DA-46EE-89B2-1111E036BB5A}"/>
            </a:ext>
          </a:extLst>
        </xdr:cNvPr>
        <xdr:cNvCxnSpPr/>
      </xdr:nvCxnSpPr>
      <xdr:spPr>
        <a:xfrm flipH="1">
          <a:off x="8174355" y="4432935"/>
          <a:ext cx="9525" cy="3282315"/>
        </a:xfrm>
        <a:prstGeom prst="line">
          <a:avLst/>
        </a:prstGeom>
        <a:ln>
          <a:prstDash val="sys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628650</xdr:colOff>
      <xdr:row>30</xdr:row>
      <xdr:rowOff>1</xdr:rowOff>
    </xdr:from>
    <xdr:to>
      <xdr:col>7</xdr:col>
      <xdr:colOff>923925</xdr:colOff>
      <xdr:row>30</xdr:row>
      <xdr:rowOff>9525</xdr:rowOff>
    </xdr:to>
    <xdr:cxnSp macro="">
      <xdr:nvCxnSpPr>
        <xdr:cNvPr id="24" name="Straight Arrow Connector 26">
          <a:extLst>
            <a:ext uri="{FF2B5EF4-FFF2-40B4-BE49-F238E27FC236}">
              <a16:creationId xmlns:a16="http://schemas.microsoft.com/office/drawing/2014/main" id="{1E95DB73-6525-44D3-B282-0A79AD8B50F5}"/>
            </a:ext>
          </a:extLst>
        </xdr:cNvPr>
        <xdr:cNvCxnSpPr/>
      </xdr:nvCxnSpPr>
      <xdr:spPr>
        <a:xfrm flipV="1">
          <a:off x="6743700" y="4572001"/>
          <a:ext cx="1228725" cy="952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19</xdr:row>
      <xdr:rowOff>0</xdr:rowOff>
    </xdr:from>
    <xdr:to>
      <xdr:col>20</xdr:col>
      <xdr:colOff>284742</xdr:colOff>
      <xdr:row>29</xdr:row>
      <xdr:rowOff>171190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07CB860-9D3E-4466-9B55-599C413A1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5075" y="3619500"/>
          <a:ext cx="9222367" cy="2076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175004</xdr:colOff>
      <xdr:row>16</xdr:row>
      <xdr:rowOff>130918</xdr:rowOff>
    </xdr:from>
    <xdr:to>
      <xdr:col>15</xdr:col>
      <xdr:colOff>479804</xdr:colOff>
      <xdr:row>31</xdr:row>
      <xdr:rowOff>130918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2854528-EA4F-40B2-AD46-F44195862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45779</xdr:rowOff>
    </xdr:from>
    <xdr:to>
      <xdr:col>7</xdr:col>
      <xdr:colOff>258417</xdr:colOff>
      <xdr:row>24</xdr:row>
      <xdr:rowOff>6023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C6F72E4-CED7-43D1-BC49-F0073387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162339</xdr:rowOff>
    </xdr:from>
    <xdr:to>
      <xdr:col>7</xdr:col>
      <xdr:colOff>258417</xdr:colOff>
      <xdr:row>38</xdr:row>
      <xdr:rowOff>122582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99416DF1-D8D7-437C-825F-2A80E3010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139148</xdr:colOff>
      <xdr:row>0</xdr:row>
      <xdr:rowOff>35172</xdr:rowOff>
    </xdr:from>
    <xdr:to>
      <xdr:col>16</xdr:col>
      <xdr:colOff>523462</xdr:colOff>
      <xdr:row>16</xdr:row>
      <xdr:rowOff>104747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F493D6B7-0C52-423A-9847-C37105267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130126</xdr:colOff>
      <xdr:row>31</xdr:row>
      <xdr:rowOff>83233</xdr:rowOff>
    </xdr:from>
    <xdr:to>
      <xdr:col>15</xdr:col>
      <xdr:colOff>434926</xdr:colOff>
      <xdr:row>46</xdr:row>
      <xdr:rowOff>100818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F7AA2628-3C5C-42B6-B231-09423C1BC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199293</xdr:colOff>
      <xdr:row>17</xdr:row>
      <xdr:rowOff>82281</xdr:rowOff>
    </xdr:from>
    <xdr:to>
      <xdr:col>16</xdr:col>
      <xdr:colOff>582093</xdr:colOff>
      <xdr:row>33</xdr:row>
      <xdr:rowOff>153451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A9690CEF-F36C-4683-9D6E-83FCE499E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15765</xdr:colOff>
      <xdr:row>0</xdr:row>
      <xdr:rowOff>15765</xdr:rowOff>
    </xdr:from>
    <xdr:to>
      <xdr:col>8</xdr:col>
      <xdr:colOff>383027</xdr:colOff>
      <xdr:row>16</xdr:row>
      <xdr:rowOff>41240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EC8235B-FCE2-4039-ACA9-84BD1C91B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22860</xdr:rowOff>
    </xdr:from>
    <xdr:to>
      <xdr:col>8</xdr:col>
      <xdr:colOff>405660</xdr:colOff>
      <xdr:row>16</xdr:row>
      <xdr:rowOff>94030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EEB85E6-31D8-45C9-B212-3ED48B99F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9"/>
  <sheetViews>
    <sheetView tabSelected="1" zoomScale="85" zoomScaleNormal="85" workbookViewId="0">
      <selection activeCell="B10" sqref="B10"/>
    </sheetView>
  </sheetViews>
  <sheetFormatPr defaultColWidth="9.109375" defaultRowHeight="14.4" outlineLevelRow="1" x14ac:dyDescent="0.3"/>
  <cols>
    <col min="1" max="1" width="21.6640625" bestFit="1" customWidth="1"/>
    <col min="2" max="8" width="14" customWidth="1"/>
    <col min="10" max="10" width="19.44140625" style="17" bestFit="1" customWidth="1"/>
    <col min="11" max="12" width="0.6640625" customWidth="1"/>
    <col min="14" max="14" width="11.6640625" bestFit="1" customWidth="1"/>
    <col min="15" max="15" width="14.33203125" bestFit="1" customWidth="1"/>
    <col min="16" max="16" width="13.109375" bestFit="1" customWidth="1"/>
  </cols>
  <sheetData>
    <row r="1" spans="1:19" x14ac:dyDescent="0.3">
      <c r="A1" s="1"/>
      <c r="B1" s="1"/>
      <c r="C1" s="1"/>
      <c r="D1" s="1"/>
      <c r="E1" s="1"/>
      <c r="F1" s="1"/>
      <c r="G1" s="1"/>
      <c r="H1" s="1"/>
      <c r="I1" s="1"/>
      <c r="J1" s="15"/>
    </row>
    <row r="2" spans="1:19" x14ac:dyDescent="0.3">
      <c r="A2" t="s">
        <v>0</v>
      </c>
      <c r="B2" s="20">
        <v>1.3</v>
      </c>
      <c r="C2" t="s">
        <v>1</v>
      </c>
      <c r="D2" s="15"/>
      <c r="E2" s="15"/>
      <c r="F2" s="15"/>
      <c r="G2" s="15"/>
      <c r="H2" s="15"/>
      <c r="I2" s="15"/>
      <c r="J2" s="15"/>
      <c r="M2" s="1"/>
      <c r="O2" s="1"/>
      <c r="P2" s="1"/>
      <c r="Q2" s="1"/>
      <c r="R2" s="1"/>
      <c r="S2" s="1"/>
    </row>
    <row r="3" spans="1:19" outlineLevel="1" x14ac:dyDescent="0.3">
      <c r="A3" t="s">
        <v>2</v>
      </c>
      <c r="B3" s="18">
        <f>INDEX(Data!B6:D6,MATCH(B2,Data!B5:D5,0))</f>
        <v>0.5</v>
      </c>
      <c r="C3" t="s">
        <v>3</v>
      </c>
      <c r="D3" s="18"/>
      <c r="E3" s="18"/>
      <c r="F3" s="18"/>
      <c r="G3" s="18"/>
      <c r="H3" s="18"/>
      <c r="J3" s="15"/>
      <c r="M3" s="1"/>
      <c r="O3" s="1"/>
      <c r="P3" s="1"/>
      <c r="Q3" s="1"/>
      <c r="R3" s="1"/>
      <c r="S3" s="1"/>
    </row>
    <row r="4" spans="1:19" outlineLevel="1" x14ac:dyDescent="0.3">
      <c r="A4" t="s">
        <v>4</v>
      </c>
      <c r="B4">
        <f>INDEX(Data!B7:D7,MATCH(B2,Data!B5:D5,0))</f>
        <v>4.8</v>
      </c>
      <c r="C4" t="s">
        <v>5</v>
      </c>
      <c r="D4">
        <f>B4/1000</f>
        <v>4.7999999999999996E-3</v>
      </c>
      <c r="E4" t="s">
        <v>6</v>
      </c>
      <c r="J4" s="15"/>
      <c r="M4" s="1"/>
      <c r="O4" s="8"/>
      <c r="P4" s="9"/>
      <c r="Q4" s="9"/>
      <c r="R4" s="9"/>
      <c r="S4" s="1"/>
    </row>
    <row r="5" spans="1:19" outlineLevel="1" x14ac:dyDescent="0.3">
      <c r="J5" s="15"/>
      <c r="M5" s="1"/>
      <c r="O5" s="8"/>
      <c r="P5" s="1"/>
      <c r="Q5" s="1"/>
      <c r="R5" s="1"/>
      <c r="S5" s="1"/>
    </row>
    <row r="6" spans="1:19" outlineLevel="1" x14ac:dyDescent="0.3">
      <c r="A6" t="s">
        <v>7</v>
      </c>
      <c r="B6">
        <f>INDEX(Data!B9:D9,MATCH(B2,Data!B5:D5,0))</f>
        <v>1280</v>
      </c>
      <c r="C6" t="s">
        <v>8</v>
      </c>
      <c r="J6" s="15"/>
      <c r="M6" s="1"/>
      <c r="O6" s="8"/>
      <c r="P6" s="1"/>
      <c r="Q6" s="1"/>
      <c r="R6" s="1"/>
      <c r="S6" s="1"/>
    </row>
    <row r="7" spans="1:19" outlineLevel="1" x14ac:dyDescent="0.3">
      <c r="A7" t="s">
        <v>9</v>
      </c>
      <c r="B7">
        <f>INDEX(Data!B10:D10,MATCH(B2,Data!B5:D5,0))</f>
        <v>1024</v>
      </c>
      <c r="C7" t="s">
        <v>8</v>
      </c>
      <c r="J7" s="15"/>
      <c r="O7" s="8"/>
      <c r="P7" s="10"/>
      <c r="Q7" s="10"/>
      <c r="R7" s="10"/>
      <c r="S7" s="1"/>
    </row>
    <row r="8" spans="1:19" outlineLevel="1" x14ac:dyDescent="0.3">
      <c r="A8" t="s">
        <v>10</v>
      </c>
      <c r="B8">
        <f>B9*Data!C29 + Data!B23</f>
        <v>215</v>
      </c>
      <c r="C8" s="18" t="s">
        <v>6</v>
      </c>
      <c r="D8" t="s">
        <v>11</v>
      </c>
      <c r="J8" s="14"/>
    </row>
    <row r="9" spans="1:19" x14ac:dyDescent="0.3">
      <c r="A9" t="s">
        <v>10</v>
      </c>
      <c r="B9" s="20">
        <v>200</v>
      </c>
      <c r="C9" s="18" t="s">
        <v>6</v>
      </c>
      <c r="D9" t="s">
        <v>12</v>
      </c>
      <c r="J9" s="14"/>
    </row>
    <row r="10" spans="1:19" x14ac:dyDescent="0.3">
      <c r="A10" t="s">
        <v>13</v>
      </c>
      <c r="B10" s="20" t="s">
        <v>14</v>
      </c>
      <c r="J10" s="15"/>
    </row>
    <row r="11" spans="1:19" ht="15" thickBot="1" x14ac:dyDescent="0.35">
      <c r="A11" s="8"/>
      <c r="B11" s="1"/>
      <c r="J11" s="15"/>
      <c r="M11" s="2"/>
      <c r="O11" s="8"/>
      <c r="P11" s="10"/>
      <c r="Q11" s="10"/>
      <c r="R11" s="10"/>
      <c r="S11" s="1"/>
    </row>
    <row r="12" spans="1:19" x14ac:dyDescent="0.3">
      <c r="A12" s="22" t="s">
        <v>15</v>
      </c>
      <c r="B12" s="22">
        <f>Data!B14</f>
        <v>4.5999999999999996</v>
      </c>
      <c r="C12" s="22">
        <f>Data!C14</f>
        <v>6</v>
      </c>
      <c r="D12" s="26">
        <f>Data!D14</f>
        <v>8</v>
      </c>
      <c r="E12" s="36">
        <f>Data!E14</f>
        <v>12</v>
      </c>
      <c r="F12" s="31">
        <f>Data!F14</f>
        <v>16</v>
      </c>
      <c r="G12" s="22">
        <f>Data!G14</f>
        <v>25</v>
      </c>
      <c r="H12" s="21" t="str">
        <f>E12&amp;" macro"</f>
        <v>12 macro</v>
      </c>
      <c r="I12" t="str">
        <f>Data!I14</f>
        <v>mm</v>
      </c>
      <c r="J12"/>
    </row>
    <row r="13" spans="1:19" outlineLevel="1" x14ac:dyDescent="0.3">
      <c r="A13" s="12" t="s">
        <v>16</v>
      </c>
      <c r="B13" s="19">
        <f>INDEX(Data!B15:G15,MATCH(B12,Data!B14:G14,0))</f>
        <v>3.5</v>
      </c>
      <c r="C13" s="19">
        <f>INDEX(Data!C15:I15,MATCH(C12,Data!C14:I14,0))</f>
        <v>3.5</v>
      </c>
      <c r="D13" s="19">
        <f>INDEX(Data!D15:I15,MATCH(D12,Data!D14:I14,0))</f>
        <v>3.5</v>
      </c>
      <c r="E13" s="37">
        <f>INDEX(Data!E15:J15,MATCH(E12,Data!E14:J14,0))</f>
        <v>4</v>
      </c>
      <c r="F13" s="19">
        <f>INDEX(Data!F15:K15,MATCH(F12,Data!F14:K14,0))</f>
        <v>4</v>
      </c>
      <c r="G13" s="19">
        <f>INDEX(Data!G15:L15,MATCH(G12,Data!G14:L14,0))</f>
        <v>4</v>
      </c>
      <c r="H13" s="19">
        <f t="shared" ref="H13:H26" si="0">E13</f>
        <v>4</v>
      </c>
      <c r="I13" t="s">
        <v>17</v>
      </c>
      <c r="J13" s="15"/>
    </row>
    <row r="14" spans="1:19" x14ac:dyDescent="0.3">
      <c r="A14" s="8"/>
      <c r="B14" s="1"/>
      <c r="C14" s="1"/>
      <c r="D14" s="1"/>
      <c r="E14" s="38"/>
      <c r="F14" s="1"/>
      <c r="G14" s="1"/>
      <c r="H14" s="1"/>
      <c r="I14" s="1"/>
      <c r="J14" s="16"/>
    </row>
    <row r="15" spans="1:19" hidden="1" outlineLevel="1" x14ac:dyDescent="0.3">
      <c r="A15" s="23" t="s">
        <v>18</v>
      </c>
      <c r="B15" s="23">
        <f>$B$4*Data!B21</f>
        <v>4.8</v>
      </c>
      <c r="C15" s="3" t="s">
        <v>5</v>
      </c>
      <c r="D15" s="27"/>
      <c r="E15" s="39"/>
      <c r="F15" s="32"/>
      <c r="G15" s="3"/>
      <c r="H15" s="3"/>
      <c r="J15" s="15" t="s">
        <v>19</v>
      </c>
    </row>
    <row r="16" spans="1:19" hidden="1" outlineLevel="1" x14ac:dyDescent="0.3">
      <c r="A16" s="23" t="s">
        <v>20</v>
      </c>
      <c r="B16" s="23">
        <f>B15*SQRT(2)</f>
        <v>6.7882250993908562</v>
      </c>
      <c r="C16" s="3" t="s">
        <v>5</v>
      </c>
      <c r="D16" s="28">
        <f>B16/1000</f>
        <v>6.788225099390856E-3</v>
      </c>
      <c r="E16" s="39" t="s">
        <v>6</v>
      </c>
      <c r="F16" s="32"/>
      <c r="G16" s="3"/>
      <c r="H16" s="3"/>
      <c r="J16" s="16" t="s">
        <v>21</v>
      </c>
    </row>
    <row r="17" spans="1:10" hidden="1" outlineLevel="1" x14ac:dyDescent="0.3">
      <c r="A17" s="23" t="s">
        <v>22</v>
      </c>
      <c r="B17" s="23">
        <f t="shared" ref="B17:G17" si="1">((B12*B12)/(B13*$D$16)+B12)</f>
        <v>895.21782678019906</v>
      </c>
      <c r="C17" s="23">
        <f t="shared" si="1"/>
        <v>1521.2288168283162</v>
      </c>
      <c r="D17" s="28">
        <f t="shared" si="1"/>
        <v>2701.7401188058957</v>
      </c>
      <c r="E17" s="40">
        <f t="shared" si="1"/>
        <v>5315.300858899107</v>
      </c>
      <c r="F17" s="33">
        <f t="shared" si="1"/>
        <v>9444.090415820634</v>
      </c>
      <c r="G17" s="23">
        <f t="shared" si="1"/>
        <v>23042.798866749596</v>
      </c>
      <c r="H17" s="23">
        <f>E17</f>
        <v>5315.300858899107</v>
      </c>
      <c r="I17" s="13" t="s">
        <v>6</v>
      </c>
      <c r="J17" s="15" t="s">
        <v>23</v>
      </c>
    </row>
    <row r="18" spans="1:10" hidden="1" outlineLevel="1" x14ac:dyDescent="0.3">
      <c r="A18" s="23" t="s">
        <v>24</v>
      </c>
      <c r="B18" s="23">
        <f>IF($B$8&lt;B17,$B$8*(B17-B12)/((B17-B12)+(B12-$B$8)),"Infinite")-Data!$B$23</f>
        <v>266.50222652076604</v>
      </c>
      <c r="C18" s="23">
        <f>IF($B$8&lt;C17,$B$8*(C17-C12)/((C17-C12)+(C12-$B$8)),"Infinite")-Data!$B$23</f>
        <v>234.40055786635278</v>
      </c>
      <c r="D18" s="28">
        <f>IF($B$8&lt;D17,$B$8*(D17-D12)/((D17-D12)+(D12-$B$8)),"Infinite")-Data!$B$23</f>
        <v>217.89692443670825</v>
      </c>
      <c r="E18" s="40">
        <f>IF($B$8&lt;E17,$B$8*(E17-E12)/((E17-E12)+(E12-$B$8)),"Infinite")-Data!$B$23</f>
        <v>208.55733832325743</v>
      </c>
      <c r="F18" s="33">
        <f>IF($B$8&lt;F17,$B$8*(F17-F12)/((F17-F12)+(F12-$B$8)),"Infinite")-Data!$B$23</f>
        <v>204.63588480254322</v>
      </c>
      <c r="G18" s="23">
        <f>IF($B$8&lt;G17,$B$8*(G17-G12)/((G17-G12)+(G12-$B$8)),"Infinite")-Data!$B$23</f>
        <v>201.78948483988532</v>
      </c>
      <c r="H18" s="23">
        <f t="shared" si="0"/>
        <v>208.55733832325743</v>
      </c>
      <c r="I18" s="13" t="s">
        <v>6</v>
      </c>
      <c r="J18" s="15"/>
    </row>
    <row r="19" spans="1:10" hidden="1" outlineLevel="1" x14ac:dyDescent="0.3">
      <c r="A19" s="23" t="s">
        <v>25</v>
      </c>
      <c r="B19" s="23">
        <f>$B$8*(B17-B12)/((B17-B12)+($B$8-B12))-Data!$B$23</f>
        <v>158.91438004025099</v>
      </c>
      <c r="C19" s="23">
        <f>$B$8*(C17-C12)/((C17-C12)+($B$8-C12))-Data!$B$23</f>
        <v>173.93907376942175</v>
      </c>
      <c r="D19" s="28">
        <f>$B$8*(D17-D12)/((D17-D12)+($B$8-D12))-Data!$B$23</f>
        <v>184.65736392189427</v>
      </c>
      <c r="E19" s="40">
        <f>$B$8*(E17-E12)/((E17-E12)+($B$8-E12))-Data!$B$23</f>
        <v>192.07362599349031</v>
      </c>
      <c r="F19" s="33">
        <f>$B$8*(F17-F12)/((F17-F12)+($B$8-F12))-Data!$B$23</f>
        <v>195.55577041951435</v>
      </c>
      <c r="G19" s="23">
        <f>$B$8*(G17-G12)/((G17-G12)+($B$8-G12))-Data!$B$23</f>
        <v>198.23981583800577</v>
      </c>
      <c r="H19" s="23">
        <f t="shared" si="0"/>
        <v>192.07362599349031</v>
      </c>
      <c r="I19" s="13" t="s">
        <v>6</v>
      </c>
      <c r="J19" s="15"/>
    </row>
    <row r="20" spans="1:10" collapsed="1" x14ac:dyDescent="0.3">
      <c r="A20" s="4" t="s">
        <v>26</v>
      </c>
      <c r="B20" s="24" t="str">
        <f>IF(AND(($B$8-Data!$B$23)&gt;=Data!B16,($B$8-Data!$B$23)&lt;=Data!B17), "YES", "NO")</f>
        <v>YES</v>
      </c>
      <c r="C20" s="24" t="str">
        <f>IF(AND(($B$8-Data!$B$23)&gt;=Data!C16,($B$8-Data!$B$23)&lt;=Data!C17), "YES", "NO")</f>
        <v>YES</v>
      </c>
      <c r="D20" s="29" t="str">
        <f>IF(AND(($B$8-Data!$B$23)&gt;=Data!D16,($B$8-Data!$B$23)&lt;=Data!D17), "YES", "NO")</f>
        <v>YES</v>
      </c>
      <c r="E20" s="41" t="str">
        <f>IF(AND(($B$8-Data!$B$23)&gt;=Data!E16,($B$8-Data!$B$23)&lt;=Data!E17), "YES", "NO")</f>
        <v>YES</v>
      </c>
      <c r="F20" s="34" t="str">
        <f>IF(AND(($B$8-Data!$B$23)&gt;=Data!F16,($B$8-Data!$B$23)&lt;=Data!F17), "YES", "NO")</f>
        <v>YES</v>
      </c>
      <c r="G20" s="24" t="str">
        <f>IF(AND(($B$8-Data!$B$23)&gt;=Data!G16,($B$8-Data!$B$23)&lt;=Data!G17), "YES", "NO")</f>
        <v>NO</v>
      </c>
      <c r="H20" s="24" t="str">
        <f>IF(AND(($B$8-Data!$B$23)&gt;=Data!H16,($B$8-Data!$B$23)&lt;=Data!H17), "YES", "NO")</f>
        <v>NO</v>
      </c>
      <c r="I20" s="1"/>
      <c r="J20" s="15"/>
    </row>
    <row r="21" spans="1:10" x14ac:dyDescent="0.3">
      <c r="A21" s="22" t="s">
        <v>27</v>
      </c>
      <c r="B21" s="22">
        <f>IF(B8&lt;B17,(B18-B19)/LOOKUP(C9,Data!B26:B28,Data!C26:C28),"Infinite")</f>
        <v>107.58784648051505</v>
      </c>
      <c r="C21" s="22">
        <f>IF(B8/1000&lt;C17,(C18-C19)/LOOKUP(C9,Data!B26:B28,Data!C26:C28),"Infinite")</f>
        <v>60.461484096931031</v>
      </c>
      <c r="D21" s="26">
        <f>IF(B8/1000&lt;D17,(D18-D19)/LOOKUP(C9,Data!B26:B28,Data!C26:C28),"Infinite")</f>
        <v>33.239560514813974</v>
      </c>
      <c r="E21" s="42">
        <f>IF(B8/1000&lt;E17,(E18-E19)/LOOKUP(C9,Data!B26:B28,Data!C26:C28),"Infinite")</f>
        <v>16.483712329767116</v>
      </c>
      <c r="F21" s="31">
        <f>IF(B8/1000&lt;F17,(F18-F19)/LOOKUP(C9,Data!B26:B28,Data!C26:C28),"Infinite")</f>
        <v>9.0801143830288709</v>
      </c>
      <c r="G21" s="22">
        <f>IF(B8/1000&lt;G17,(G18-G19)/LOOKUP(C9,Data!B26:B28,Data!C26:C28),"Infinite")</f>
        <v>3.5496690018795505</v>
      </c>
      <c r="H21" s="22">
        <f t="shared" si="0"/>
        <v>16.483712329767116</v>
      </c>
      <c r="I21" s="12" t="str">
        <f>C9</f>
        <v>mm</v>
      </c>
      <c r="J21" s="15" t="s">
        <v>28</v>
      </c>
    </row>
    <row r="22" spans="1:10" x14ac:dyDescent="0.3">
      <c r="A22" s="22" t="s">
        <v>29</v>
      </c>
      <c r="B22" s="22">
        <f>$D$4*$B6*($B$8/B$12-1)/Data!$C$29</f>
        <v>281.02121739130433</v>
      </c>
      <c r="C22" s="22">
        <f>$D$4*$B6*($B$8/C$12-1)/Data!$C$29</f>
        <v>214.01599999999999</v>
      </c>
      <c r="D22" s="26">
        <f>$D$4*$B6*($B$8/D$12-1)/Data!$C$29</f>
        <v>158.97599999999997</v>
      </c>
      <c r="E22" s="42">
        <f>$D$4*$B6*($B$8/E$12-1)/Data!$C$29</f>
        <v>103.93599999999999</v>
      </c>
      <c r="F22" s="31">
        <f>$D$4*$B6*($B$8/F$12-1)/Data!$C$29</f>
        <v>76.415999999999997</v>
      </c>
      <c r="G22" s="22">
        <f>$D$4*$B6*($B$8/G$12-1)/Data!$C$29</f>
        <v>46.694399999999995</v>
      </c>
      <c r="H22" s="22">
        <f t="shared" si="0"/>
        <v>103.93599999999999</v>
      </c>
      <c r="I22" s="12" t="str">
        <f>C9</f>
        <v>mm</v>
      </c>
      <c r="J22" s="15" t="str">
        <f>"Field of view at distance "&amp; ($B$9)&amp;" "&amp;$C$9</f>
        <v>Field of view at distance 200 mm</v>
      </c>
    </row>
    <row r="23" spans="1:10" x14ac:dyDescent="0.3">
      <c r="A23" s="22" t="s">
        <v>30</v>
      </c>
      <c r="B23" s="22">
        <f>$D$4*$B7*($B$8/B$12-1)/Data!$C$29</f>
        <v>224.81697391304346</v>
      </c>
      <c r="C23" s="22">
        <f>$D$4*$B7*($B$8/C$12-1)/Data!$C$29</f>
        <v>171.21279999999999</v>
      </c>
      <c r="D23" s="26">
        <f>$D$4*$B7*($B$8/D$12-1)/Data!$C$29</f>
        <v>127.18079999999999</v>
      </c>
      <c r="E23" s="42">
        <f>$D$4*$B7*($B$8/E$12-1)/Data!$C$29</f>
        <v>83.148799999999994</v>
      </c>
      <c r="F23" s="31">
        <f>$D$4*$B7*($B$8/F$12-1)/Data!$C$29</f>
        <v>61.132799999999996</v>
      </c>
      <c r="G23" s="22">
        <f>$D$4*$B7*($B$8/G$12-1)/Data!$C$29</f>
        <v>37.355519999999999</v>
      </c>
      <c r="H23" s="22">
        <f t="shared" si="0"/>
        <v>83.148799999999994</v>
      </c>
      <c r="I23" s="12" t="str">
        <f>C9</f>
        <v>mm</v>
      </c>
      <c r="J23" s="15" t="str">
        <f>"Field of view at distance "&amp; ($B$9)&amp;" "&amp;$C$9</f>
        <v>Field of view at distance 200 mm</v>
      </c>
    </row>
    <row r="24" spans="1:10" x14ac:dyDescent="0.3">
      <c r="A24" s="22"/>
      <c r="B24" s="22"/>
      <c r="C24" s="22"/>
      <c r="D24" s="26"/>
      <c r="E24" s="42"/>
      <c r="F24" s="31"/>
      <c r="G24" s="22"/>
      <c r="H24" s="22"/>
      <c r="I24" s="12"/>
      <c r="J24" s="15"/>
    </row>
    <row r="25" spans="1:10" x14ac:dyDescent="0.3">
      <c r="A25" s="22" t="s">
        <v>31</v>
      </c>
      <c r="B25" s="25">
        <f>B22/$B6*Data!$B$21</f>
        <v>0.2195478260869565</v>
      </c>
      <c r="C25" s="25">
        <f>C22/$B6*Data!$B$21</f>
        <v>0.16719999999999999</v>
      </c>
      <c r="D25" s="30">
        <f>D22/$B6*Data!$B$21</f>
        <v>0.12419999999999998</v>
      </c>
      <c r="E25" s="43">
        <f>E22/$B6*Data!$B$21</f>
        <v>8.1199999999999994E-2</v>
      </c>
      <c r="F25" s="35">
        <f>F22/$B6*Data!$B$21</f>
        <v>5.9699999999999996E-2</v>
      </c>
      <c r="G25" s="25">
        <f>G22/$B6*Data!$B$21</f>
        <v>3.6479999999999999E-2</v>
      </c>
      <c r="H25" s="25">
        <f t="shared" si="0"/>
        <v>8.1199999999999994E-2</v>
      </c>
      <c r="I25" s="12" t="str">
        <f>C9 &amp;"/pixel"</f>
        <v>mm/pixel</v>
      </c>
      <c r="J25" s="15"/>
    </row>
    <row r="26" spans="1:10" ht="15" thickBot="1" x14ac:dyDescent="0.35">
      <c r="A26" s="22" t="s">
        <v>32</v>
      </c>
      <c r="B26" s="25">
        <f>B23/$B7*Data!$B$21</f>
        <v>0.2195478260869565</v>
      </c>
      <c r="C26" s="25">
        <f>C23/$B7*Data!$B$21</f>
        <v>0.16719999999999999</v>
      </c>
      <c r="D26" s="30">
        <f>D23/$B7*Data!$B$21</f>
        <v>0.12419999999999999</v>
      </c>
      <c r="E26" s="44">
        <f>E23/$B7*Data!$B$21</f>
        <v>8.1199999999999994E-2</v>
      </c>
      <c r="F26" s="35">
        <f>F23/$B7*Data!$B$21</f>
        <v>5.9699999999999996E-2</v>
      </c>
      <c r="G26" s="25">
        <f>G23/$B7*Data!$B$21</f>
        <v>3.6479999999999999E-2</v>
      </c>
      <c r="H26" s="25">
        <f t="shared" si="0"/>
        <v>8.1199999999999994E-2</v>
      </c>
      <c r="I26" s="12" t="str">
        <f>C9 &amp;"/pixel"</f>
        <v>mm/pixel</v>
      </c>
      <c r="J26" s="15"/>
    </row>
    <row r="30" spans="1:10" x14ac:dyDescent="0.3">
      <c r="E30" t="str">
        <f>CONCATENATE($B$9, " ",$C$9)</f>
        <v>200 mm</v>
      </c>
      <c r="H30" t="str">
        <f>CONCATENATE(Data!B23, " mm")</f>
        <v>15 mm</v>
      </c>
    </row>
    <row r="33" spans="2:3" x14ac:dyDescent="0.3">
      <c r="B33" s="47" t="str">
        <f>A23</f>
        <v>Height FoV at  Distance</v>
      </c>
      <c r="C33" s="47"/>
    </row>
    <row r="34" spans="2:3" x14ac:dyDescent="0.3">
      <c r="B34" s="46" t="str">
        <f>"                "&amp;A22</f>
        <v xml:space="preserve">                Width FoV at  Distance</v>
      </c>
    </row>
    <row r="35" spans="2:3" x14ac:dyDescent="0.3">
      <c r="B35" s="46"/>
    </row>
    <row r="36" spans="2:3" x14ac:dyDescent="0.3">
      <c r="B36" s="46"/>
    </row>
    <row r="37" spans="2:3" x14ac:dyDescent="0.3">
      <c r="B37" s="46"/>
    </row>
    <row r="38" spans="2:3" x14ac:dyDescent="0.3">
      <c r="B38" s="46"/>
    </row>
    <row r="39" spans="2:3" x14ac:dyDescent="0.3">
      <c r="B39" s="46"/>
    </row>
    <row r="40" spans="2:3" x14ac:dyDescent="0.3">
      <c r="B40" s="46"/>
    </row>
    <row r="41" spans="2:3" x14ac:dyDescent="0.3">
      <c r="B41" s="46"/>
    </row>
    <row r="42" spans="2:3" x14ac:dyDescent="0.3">
      <c r="B42" s="46"/>
    </row>
    <row r="43" spans="2:3" x14ac:dyDescent="0.3">
      <c r="B43" s="46"/>
    </row>
    <row r="44" spans="2:3" x14ac:dyDescent="0.3">
      <c r="B44" s="46"/>
    </row>
    <row r="49" spans="2:3" x14ac:dyDescent="0.3">
      <c r="B49" s="45" t="str">
        <f>A21</f>
        <v>Depth of Field</v>
      </c>
      <c r="C49" s="4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B2 B10 B9:C9" name="Range1"/>
  </protectedRanges>
  <mergeCells count="3">
    <mergeCell ref="B49:C49"/>
    <mergeCell ref="B34:B44"/>
    <mergeCell ref="B33:C33"/>
  </mergeCells>
  <conditionalFormatting sqref="B20:H20">
    <cfRule type="containsText" dxfId="1" priority="1" operator="containsText" text="NO">
      <formula>NOT(ISERROR(SEARCH("NO",B20)))</formula>
    </cfRule>
    <cfRule type="containsText" dxfId="0" priority="2" operator="containsText" text="YES">
      <formula>NOT(ISERROR(SEARCH("YES",B20)))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Data!$B$5:$D$5</xm:f>
          </x14:formula1>
          <xm:sqref>B2</xm:sqref>
        </x14:dataValidation>
        <x14:dataValidation type="list" allowBlank="1" showInputMessage="1" showErrorMessage="1" xr:uid="{00000000-0002-0000-0000-000001000000}">
          <x14:formula1>
            <xm:f>Data!$B$19:$C$19</xm:f>
          </x14:formula1>
          <xm:sqref>B10</xm:sqref>
        </x14:dataValidation>
        <x14:dataValidation type="list" allowBlank="1" showInputMessage="1" showErrorMessage="1" xr:uid="{00000000-0002-0000-0000-000002000000}">
          <x14:formula1>
            <xm:f>Data!$B$26:$B$28</xm:f>
          </x14:formula1>
          <xm:sqref>C9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I29"/>
  <sheetViews>
    <sheetView topLeftCell="A10" workbookViewId="0">
      <selection activeCell="E16" sqref="E16"/>
    </sheetView>
  </sheetViews>
  <sheetFormatPr defaultColWidth="9.109375" defaultRowHeight="14.4" x14ac:dyDescent="0.3"/>
  <cols>
    <col min="1" max="1" width="16" bestFit="1" customWidth="1"/>
    <col min="2" max="2" width="11.44140625" customWidth="1"/>
    <col min="3" max="3" width="13.109375" customWidth="1"/>
    <col min="4" max="4" width="12.6640625" customWidth="1"/>
  </cols>
  <sheetData>
    <row r="4" spans="1:9" x14ac:dyDescent="0.3">
      <c r="A4" s="3"/>
      <c r="B4" s="3" t="s">
        <v>33</v>
      </c>
      <c r="C4" s="3" t="s">
        <v>34</v>
      </c>
      <c r="D4" s="3" t="s">
        <v>35</v>
      </c>
      <c r="E4" s="3"/>
    </row>
    <row r="5" spans="1:9" x14ac:dyDescent="0.3">
      <c r="A5" s="3"/>
      <c r="B5" s="3">
        <v>1.3</v>
      </c>
      <c r="C5" s="3">
        <v>3.1</v>
      </c>
      <c r="D5" s="3">
        <v>5</v>
      </c>
      <c r="E5" s="3" t="s">
        <v>1</v>
      </c>
    </row>
    <row r="6" spans="1:9" x14ac:dyDescent="0.3">
      <c r="A6" s="4" t="s">
        <v>2</v>
      </c>
      <c r="B6" s="5">
        <v>0.5</v>
      </c>
      <c r="C6" s="5">
        <f>1/1.8</f>
        <v>0.55555555555555558</v>
      </c>
      <c r="D6" s="5">
        <f>2/3</f>
        <v>0.66666666666666663</v>
      </c>
      <c r="E6" s="3" t="s">
        <v>3</v>
      </c>
    </row>
    <row r="7" spans="1:9" x14ac:dyDescent="0.3">
      <c r="A7" s="4" t="s">
        <v>4</v>
      </c>
      <c r="B7" s="3">
        <v>4.8</v>
      </c>
      <c r="C7" s="3">
        <v>3.45</v>
      </c>
      <c r="D7" s="3">
        <v>3.45</v>
      </c>
      <c r="E7" s="3" t="s">
        <v>5</v>
      </c>
    </row>
    <row r="8" spans="1:9" x14ac:dyDescent="0.3">
      <c r="A8" s="4"/>
      <c r="B8" s="3"/>
      <c r="C8" s="3"/>
      <c r="D8" s="3"/>
      <c r="E8" s="3"/>
    </row>
    <row r="9" spans="1:9" x14ac:dyDescent="0.3">
      <c r="A9" s="4" t="s">
        <v>7</v>
      </c>
      <c r="B9" s="6">
        <v>1280</v>
      </c>
      <c r="C9" s="6">
        <v>2048</v>
      </c>
      <c r="D9" s="6">
        <v>2448</v>
      </c>
      <c r="E9" s="3" t="s">
        <v>8</v>
      </c>
    </row>
    <row r="10" spans="1:9" x14ac:dyDescent="0.3">
      <c r="A10" s="4" t="s">
        <v>9</v>
      </c>
      <c r="B10" s="6">
        <v>1024</v>
      </c>
      <c r="C10" s="6">
        <v>1536</v>
      </c>
      <c r="D10" s="6">
        <v>2048</v>
      </c>
      <c r="E10" s="3" t="s">
        <v>8</v>
      </c>
    </row>
    <row r="11" spans="1:9" x14ac:dyDescent="0.3">
      <c r="A11" s="3"/>
      <c r="B11" s="7">
        <f>B10*B9/1000000</f>
        <v>1.3107200000000001</v>
      </c>
      <c r="C11" s="7">
        <f>C10*C9/1000000</f>
        <v>3.1457280000000001</v>
      </c>
      <c r="D11" s="7">
        <f>D10*D9/1000000</f>
        <v>5.0135040000000002</v>
      </c>
      <c r="E11" s="3"/>
    </row>
    <row r="13" spans="1:9" x14ac:dyDescent="0.3">
      <c r="B13" s="3" t="s">
        <v>36</v>
      </c>
      <c r="C13" s="3"/>
      <c r="D13" s="3"/>
      <c r="E13" s="3"/>
      <c r="F13" s="3"/>
      <c r="G13" s="3"/>
      <c r="H13" s="3"/>
    </row>
    <row r="14" spans="1:9" x14ac:dyDescent="0.3">
      <c r="B14" s="3">
        <v>4.5999999999999996</v>
      </c>
      <c r="C14" s="3">
        <v>6</v>
      </c>
      <c r="D14" s="3">
        <v>8</v>
      </c>
      <c r="E14" s="3">
        <v>12</v>
      </c>
      <c r="F14" s="3">
        <v>16</v>
      </c>
      <c r="G14" s="3">
        <v>25</v>
      </c>
      <c r="H14" s="3" t="str">
        <f>E14&amp;"macro"</f>
        <v>12macro</v>
      </c>
      <c r="I14" t="s">
        <v>6</v>
      </c>
    </row>
    <row r="15" spans="1:9" x14ac:dyDescent="0.3">
      <c r="B15" s="3">
        <v>3.5</v>
      </c>
      <c r="C15" s="3">
        <v>3.5</v>
      </c>
      <c r="D15" s="3">
        <v>3.5</v>
      </c>
      <c r="E15" s="3">
        <v>4</v>
      </c>
      <c r="F15" s="3">
        <v>4</v>
      </c>
      <c r="G15" s="3">
        <v>4</v>
      </c>
      <c r="H15" s="6">
        <v>4</v>
      </c>
      <c r="I15" t="s">
        <v>37</v>
      </c>
    </row>
    <row r="16" spans="1:9" x14ac:dyDescent="0.3">
      <c r="B16" s="3">
        <v>25</v>
      </c>
      <c r="C16" s="3">
        <v>50</v>
      </c>
      <c r="D16" s="3">
        <v>50</v>
      </c>
      <c r="E16" s="3">
        <v>75</v>
      </c>
      <c r="F16" s="3">
        <v>100</v>
      </c>
      <c r="G16" s="3">
        <v>250</v>
      </c>
      <c r="H16" s="3">
        <v>35</v>
      </c>
      <c r="I16" t="s">
        <v>38</v>
      </c>
    </row>
    <row r="17" spans="2:9" x14ac:dyDescent="0.3">
      <c r="B17" s="3">
        <v>65500</v>
      </c>
      <c r="C17" s="3">
        <v>65500</v>
      </c>
      <c r="D17" s="3">
        <v>65500</v>
      </c>
      <c r="E17" s="3">
        <v>5000</v>
      </c>
      <c r="F17" s="3">
        <v>1500</v>
      </c>
      <c r="G17" s="3">
        <v>1500</v>
      </c>
      <c r="H17" s="3">
        <v>65</v>
      </c>
      <c r="I17" t="s">
        <v>39</v>
      </c>
    </row>
    <row r="19" spans="2:9" x14ac:dyDescent="0.3">
      <c r="B19" s="11" t="s">
        <v>40</v>
      </c>
      <c r="C19" s="11" t="s">
        <v>14</v>
      </c>
    </row>
    <row r="20" spans="2:9" x14ac:dyDescent="0.3">
      <c r="B20" s="11">
        <v>2</v>
      </c>
      <c r="C20" s="11">
        <v>1</v>
      </c>
      <c r="D20" t="s">
        <v>41</v>
      </c>
    </row>
    <row r="21" spans="2:9" x14ac:dyDescent="0.3">
      <c r="B21" s="11">
        <f>INDEX(B20:C20,MATCH(Sizing!B10,B19:C19,0))</f>
        <v>1</v>
      </c>
      <c r="C21" s="3" t="s">
        <v>42</v>
      </c>
    </row>
    <row r="23" spans="2:9" x14ac:dyDescent="0.3">
      <c r="B23">
        <v>15</v>
      </c>
      <c r="C23" t="s">
        <v>6</v>
      </c>
      <c r="D23" t="s">
        <v>43</v>
      </c>
    </row>
    <row r="25" spans="2:9" x14ac:dyDescent="0.3">
      <c r="B25" s="3" t="s">
        <v>44</v>
      </c>
      <c r="C25" s="3" t="s">
        <v>45</v>
      </c>
    </row>
    <row r="26" spans="2:9" x14ac:dyDescent="0.3">
      <c r="B26" s="3" t="s">
        <v>46</v>
      </c>
      <c r="C26" s="3">
        <v>15</v>
      </c>
    </row>
    <row r="27" spans="2:9" x14ac:dyDescent="0.3">
      <c r="B27" s="3" t="s">
        <v>47</v>
      </c>
      <c r="C27" s="3">
        <v>25.4</v>
      </c>
    </row>
    <row r="28" spans="2:9" x14ac:dyDescent="0.3">
      <c r="B28" s="3" t="s">
        <v>6</v>
      </c>
      <c r="C28" s="3">
        <v>1</v>
      </c>
    </row>
    <row r="29" spans="2:9" x14ac:dyDescent="0.3">
      <c r="B29" s="3" t="s">
        <v>48</v>
      </c>
      <c r="C29" s="3">
        <f>LOOKUP(Sizing!C9,B26:B28,C26:C28)</f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2C0F-E0C5-48C5-BF33-25DCB189B5F3}">
  <dimension ref="A1:H9"/>
  <sheetViews>
    <sheetView zoomScaleNormal="100" workbookViewId="0">
      <selection activeCell="T20" sqref="T20"/>
    </sheetView>
  </sheetViews>
  <sheetFormatPr defaultRowHeight="14.4" x14ac:dyDescent="0.3"/>
  <cols>
    <col min="3" max="3" width="9.5546875" bestFit="1" customWidth="1"/>
    <col min="7" max="7" width="17.44140625" bestFit="1" customWidth="1"/>
  </cols>
  <sheetData>
    <row r="1" spans="1:8" x14ac:dyDescent="0.3">
      <c r="A1" s="3" t="s">
        <v>51</v>
      </c>
      <c r="B1" s="3" t="s">
        <v>49</v>
      </c>
      <c r="C1" s="3" t="s">
        <v>50</v>
      </c>
      <c r="E1" s="3" t="s">
        <v>52</v>
      </c>
      <c r="F1" s="3" t="s">
        <v>53</v>
      </c>
      <c r="G1" s="3" t="s">
        <v>54</v>
      </c>
    </row>
    <row r="2" spans="1:8" x14ac:dyDescent="0.3">
      <c r="A2" s="3">
        <v>1</v>
      </c>
      <c r="B2" s="3">
        <v>200</v>
      </c>
      <c r="C2" s="3">
        <v>177</v>
      </c>
      <c r="E2" s="3">
        <v>1</v>
      </c>
      <c r="F2" s="3">
        <v>100</v>
      </c>
      <c r="G2" s="3">
        <v>94</v>
      </c>
      <c r="H2">
        <f>F2-G2</f>
        <v>6</v>
      </c>
    </row>
    <row r="3" spans="1:8" x14ac:dyDescent="0.3">
      <c r="A3" s="3">
        <v>2</v>
      </c>
      <c r="B3" s="3">
        <v>250</v>
      </c>
      <c r="C3" s="3">
        <v>217</v>
      </c>
      <c r="E3" s="3">
        <v>2</v>
      </c>
      <c r="F3" s="3">
        <v>150</v>
      </c>
      <c r="G3" s="3">
        <v>136</v>
      </c>
      <c r="H3">
        <f t="shared" ref="H3:H9" si="0">F3-G3</f>
        <v>14</v>
      </c>
    </row>
    <row r="4" spans="1:8" x14ac:dyDescent="0.3">
      <c r="A4" s="3">
        <v>3</v>
      </c>
      <c r="B4" s="3">
        <v>300</v>
      </c>
      <c r="C4" s="3">
        <v>254</v>
      </c>
      <c r="E4" s="3">
        <v>3</v>
      </c>
      <c r="F4" s="3">
        <v>200</v>
      </c>
      <c r="G4" s="3">
        <v>179</v>
      </c>
      <c r="H4">
        <f t="shared" si="0"/>
        <v>21</v>
      </c>
    </row>
    <row r="5" spans="1:8" x14ac:dyDescent="0.3">
      <c r="A5" s="3">
        <v>4</v>
      </c>
      <c r="B5" s="3">
        <v>350</v>
      </c>
      <c r="C5" s="3">
        <v>291</v>
      </c>
      <c r="E5" s="3">
        <v>4</v>
      </c>
      <c r="F5" s="3">
        <v>250</v>
      </c>
      <c r="G5" s="3">
        <v>219</v>
      </c>
      <c r="H5">
        <f t="shared" si="0"/>
        <v>31</v>
      </c>
    </row>
    <row r="6" spans="1:8" x14ac:dyDescent="0.3">
      <c r="A6" s="3">
        <v>5</v>
      </c>
      <c r="B6" s="3">
        <v>400</v>
      </c>
      <c r="C6" s="3">
        <v>330</v>
      </c>
      <c r="E6" s="3">
        <v>5</v>
      </c>
      <c r="F6" s="3">
        <v>300</v>
      </c>
      <c r="G6" s="3">
        <v>258</v>
      </c>
      <c r="H6">
        <f t="shared" si="0"/>
        <v>42</v>
      </c>
    </row>
    <row r="7" spans="1:8" x14ac:dyDescent="0.3">
      <c r="A7" s="6">
        <v>6</v>
      </c>
      <c r="B7" s="6">
        <v>450</v>
      </c>
      <c r="C7" s="6">
        <v>369</v>
      </c>
      <c r="E7" s="6">
        <v>6</v>
      </c>
      <c r="F7" s="6">
        <v>350</v>
      </c>
      <c r="G7" s="6">
        <v>297</v>
      </c>
      <c r="H7">
        <f t="shared" si="0"/>
        <v>53</v>
      </c>
    </row>
    <row r="8" spans="1:8" x14ac:dyDescent="0.3">
      <c r="E8" s="3">
        <v>7</v>
      </c>
      <c r="F8" s="3">
        <v>400</v>
      </c>
      <c r="G8" s="3">
        <v>334</v>
      </c>
      <c r="H8">
        <f t="shared" si="0"/>
        <v>66</v>
      </c>
    </row>
    <row r="9" spans="1:8" x14ac:dyDescent="0.3">
      <c r="E9" s="3">
        <v>8</v>
      </c>
      <c r="F9" s="3">
        <v>450</v>
      </c>
      <c r="G9" s="3">
        <v>370</v>
      </c>
      <c r="H9">
        <f t="shared" si="0"/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C44F-5EEF-4B89-AF9D-0F9A73A64A39}">
  <sheetPr>
    <pageSetUpPr fitToPage="1"/>
  </sheetPr>
  <dimension ref="A1"/>
  <sheetViews>
    <sheetView zoomScale="220" zoomScaleNormal="220" workbookViewId="0">
      <selection activeCell="K13" sqref="K13"/>
    </sheetView>
  </sheetViews>
  <sheetFormatPr defaultRowHeight="14.4" x14ac:dyDescent="0.3"/>
  <sheetData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08181-DAE8-4882-866B-E27B86B73BB7}">
  <sheetPr>
    <pageSetUpPr fitToPage="1"/>
  </sheetPr>
  <dimension ref="A1"/>
  <sheetViews>
    <sheetView zoomScaleNormal="100" workbookViewId="0">
      <selection activeCell="E20" sqref="E20"/>
    </sheetView>
  </sheetViews>
  <sheetFormatPr defaultRowHeight="14.4" x14ac:dyDescent="0.3"/>
  <sheetData/>
  <pageMargins left="0.7" right="0.7" top="0.75" bottom="0.75" header="0.3" footer="0.3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18413419C89BE42830EF073107BF191" ma:contentTypeVersion="12" ma:contentTypeDescription="Opret et nyt dokument." ma:contentTypeScope="" ma:versionID="f378d39f70f8ccef2c653ca9a9a484c6">
  <xsd:schema xmlns:xsd="http://www.w3.org/2001/XMLSchema" xmlns:xs="http://www.w3.org/2001/XMLSchema" xmlns:p="http://schemas.microsoft.com/office/2006/metadata/properties" xmlns:ns2="55f0b959-d2b0-40e1-a277-aa2e81684862" xmlns:ns3="3d6ea859-0d7e-4227-aa07-751f194626d6" targetNamespace="http://schemas.microsoft.com/office/2006/metadata/properties" ma:root="true" ma:fieldsID="fd4b525a05734832cb143a6f2e1cfd5a" ns2:_="" ns3:_="">
    <xsd:import namespace="55f0b959-d2b0-40e1-a277-aa2e81684862"/>
    <xsd:import namespace="3d6ea859-0d7e-4227-aa07-751f194626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0b959-d2b0-40e1-a277-aa2e816848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ea859-0d7e-4227-aa07-751f194626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CCFC18-EB80-4347-A5FE-DC08EEE6C2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B17C0C-B890-4844-B48C-A8A59515999F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3d6ea859-0d7e-4227-aa07-751f194626d6"/>
    <ds:schemaRef ds:uri="55f0b959-d2b0-40e1-a277-aa2e81684862"/>
  </ds:schemaRefs>
</ds:datastoreItem>
</file>

<file path=customXml/itemProps3.xml><?xml version="1.0" encoding="utf-8"?>
<ds:datastoreItem xmlns:ds="http://schemas.openxmlformats.org/officeDocument/2006/customXml" ds:itemID="{E09815FF-4CA7-4438-9FA3-343150B9E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f0b959-d2b0-40e1-a277-aa2e81684862"/>
    <ds:schemaRef ds:uri="3d6ea859-0d7e-4227-aa07-751f194626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Sizing</vt:lpstr>
      <vt:lpstr>Data</vt:lpstr>
      <vt:lpstr>Tests</vt:lpstr>
      <vt:lpstr>Focus comparison</vt:lpstr>
      <vt:lpstr>Calibration formula</vt:lpstr>
    </vt:vector>
  </TitlesOfParts>
  <Manager/>
  <Company>Bernecker + Rainer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Darji Varad</dc:creator>
  <cp:keywords/>
  <dc:description/>
  <cp:lastModifiedBy>Andreas Følbæk Gravgaard</cp:lastModifiedBy>
  <cp:revision/>
  <cp:lastPrinted>2021-11-24T12:25:47Z</cp:lastPrinted>
  <dcterms:created xsi:type="dcterms:W3CDTF">2020-01-14T17:39:00Z</dcterms:created>
  <dcterms:modified xsi:type="dcterms:W3CDTF">2021-12-13T14:32:01Z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0x010100B18413419C89BE42830EF073107BF191</vt:lpwstr>
  </property>
</Properties>
</file>